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0"/>
  <workbookPr codeName="ThisWorkbook" defaultThemeVersion="124226"/>
  <mc:AlternateContent xmlns:mc="http://schemas.openxmlformats.org/markup-compatibility/2006">
    <mc:Choice Requires="x15">
      <x15ac:absPath xmlns:x15ac="http://schemas.microsoft.com/office/spreadsheetml/2010/11/ac" url="C:\Users\mp5997\Documents\"/>
    </mc:Choice>
  </mc:AlternateContent>
  <xr:revisionPtr revIDLastSave="0" documentId="8_{4431BD6A-87C2-42D5-B81A-DE7F64F1BB01}" xr6:coauthVersionLast="47" xr6:coauthVersionMax="47" xr10:uidLastSave="{00000000-0000-0000-0000-000000000000}"/>
  <bookViews>
    <workbookView xWindow="-108" yWindow="-108" windowWidth="23256" windowHeight="12576" tabRatio="790" firstSheet="25" activeTab="25"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Schedule 3A_Income Statement" sheetId="36" r:id="rId10"/>
    <sheet name="Schedule 3B_Income_Eastern" sheetId="37" r:id="rId11"/>
    <sheet name="Schedule 3C_Income_Western" sheetId="53" r:id="rId12"/>
    <sheet name="Schedule 3D_Income_The Cape" sheetId="54" r:id="rId13"/>
    <sheet name="4_Footnotes" sheetId="50" r:id="rId14"/>
    <sheet name="Schedule 5_Cash Flow" sheetId="13" r:id="rId15"/>
    <sheet name="Schedule 6_Medical Expense" sheetId="40" r:id="rId16"/>
    <sheet name="Schedule 7_Utilization" sheetId="28" r:id="rId17"/>
    <sheet name="Schedule 8_Indicators" sheetId="6" r:id="rId18"/>
    <sheet name="Schedule 9_Solvency Req." sheetId="7" r:id="rId19"/>
    <sheet name="Schedule 10_APMs" sheetId="49" r:id="rId20"/>
    <sheet name="11A_Lag Report Physician" sheetId="44" r:id="rId21"/>
    <sheet name="11B_Lag Report Inpatient" sheetId="45" r:id="rId22"/>
    <sheet name="11C_Lag Report Outpatient" sheetId="46" r:id="rId23"/>
    <sheet name="11D_Lag Report Pharmacy" sheetId="47" r:id="rId24"/>
    <sheet name="11E_Lag Report Other" sheetId="48" r:id="rId25"/>
    <sheet name="Schedule 12_Certification" sheetId="8" r:id="rId26"/>
    <sheet name="Notes" sheetId="11" r:id="rId27"/>
    <sheet name="ChangeLog" sheetId="52" r:id="rId28"/>
    <sheet name="ICO MS" sheetId="2" state="hidden" r:id="rId29"/>
  </sheets>
  <externalReferences>
    <externalReference r:id="rId30"/>
    <externalReference r:id="rId31"/>
    <externalReference r:id="rId32"/>
  </externalReferences>
  <definedNames>
    <definedName name="__123Graph_A" hidden="1">[1]General!$AC$35:$AO$35</definedName>
    <definedName name="__123Graph_AAUTHS" hidden="1">[1]General!$AC$57:$AC$65</definedName>
    <definedName name="__123Graph_AIPIBNR" hidden="1">#REF!</definedName>
    <definedName name="__123Graph_ATOTAL" hidden="1">[1]General!$AC$10:$AO$10</definedName>
    <definedName name="__123Graph_ATYPEA" hidden="1">#REF!</definedName>
    <definedName name="__123Graph_ATYPED" hidden="1">#REF!</definedName>
    <definedName name="__123Graph_ATYPEE" hidden="1">[1]General!$AC$20:$AO$20</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[1]General!$AC$14:$AO$14</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[1]General!$AG$57:$AG$65</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[1]General!$AC$15:$AO$15</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Specification'!$A$7:$G$101</definedName>
    <definedName name="_xlnm._FilterDatabase" localSheetId="6" hidden="1">'COS Technical Specifications'!$A$3:$H$82</definedName>
    <definedName name="_Key1" localSheetId="13" hidden="1">#REF!</definedName>
    <definedName name="_Key1" localSheetId="5" hidden="1">#REF!</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Key2" localSheetId="13" hidden="1">#REF!</definedName>
    <definedName name="_Key2" localSheetId="5"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hidden="1">#REF!</definedName>
    <definedName name="_May15">5</definedName>
    <definedName name="_one94" localSheetId="13">#REF!</definedName>
    <definedName name="_one94" localSheetId="5">#REF!</definedName>
    <definedName name="_one94" localSheetId="19">#REF!</definedName>
    <definedName name="_one94" localSheetId="11">#REF!</definedName>
    <definedName name="_one94" localSheetId="12">#REF!</definedName>
    <definedName name="_one94">#REF!</definedName>
    <definedName name="_Order1" hidden="1">255</definedName>
    <definedName name="_Order2" hidden="1">255</definedName>
    <definedName name="_Sort" localSheetId="13" hidden="1">#REF!</definedName>
    <definedName name="_Sort" localSheetId="5" hidden="1">#REF!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hidden="1">#REF!</definedName>
    <definedName name="agmc6" localSheetId="13">'[2]Page 1'!#REF!</definedName>
    <definedName name="agmc6" localSheetId="27">'[2]Page 1'!#REF!</definedName>
    <definedName name="agmc6" localSheetId="5">#REF!</definedName>
    <definedName name="agmc6" localSheetId="19">'[2]Page 1'!#REF!</definedName>
    <definedName name="agmc6" localSheetId="11">'[2]Page 1'!#REF!</definedName>
    <definedName name="agmc6" localSheetId="12">'[2]Page 1'!#REF!</definedName>
    <definedName name="agmc6">#REF!</definedName>
    <definedName name="April12">300</definedName>
    <definedName name="April15">4</definedName>
    <definedName name="April9">300</definedName>
    <definedName name="August14">400</definedName>
    <definedName name="August15">8</definedName>
    <definedName name="Calendar" localSheetId="13">#REF!</definedName>
    <definedName name="Calendar" localSheetId="5">#REF!</definedName>
    <definedName name="Calendar" localSheetId="19">#REF!</definedName>
    <definedName name="Calendar" localSheetId="11">#REF!</definedName>
    <definedName name="Calendar" localSheetId="12">#REF!</definedName>
    <definedName name="Calendar">#REF!</definedName>
    <definedName name="ClaimsProcsd" localSheetId="13">#REF!</definedName>
    <definedName name="ClaimsProcsd" localSheetId="5">#REF!</definedName>
    <definedName name="ClaimsProcsd" localSheetId="19">#REF!</definedName>
    <definedName name="ClaimsProcsd" localSheetId="11">#REF!</definedName>
    <definedName name="ClaimsProcsd" localSheetId="12">#REF!</definedName>
    <definedName name="ClaimsProcsd">#REF!</definedName>
    <definedName name="combobox">"Drop Down 3"</definedName>
    <definedName name="CoPay_IP" localSheetId="13">#REF!</definedName>
    <definedName name="CoPay_IP" localSheetId="5">#REF!</definedName>
    <definedName name="CoPay_IP" localSheetId="19">#REF!</definedName>
    <definedName name="CoPay_IP" localSheetId="11">#REF!</definedName>
    <definedName name="CoPay_IP" localSheetId="12">#REF!</definedName>
    <definedName name="CoPay_IP">#REF!</definedName>
    <definedName name="CoPay_Other" localSheetId="13">#REF!</definedName>
    <definedName name="CoPay_Other" localSheetId="5">#REF!</definedName>
    <definedName name="CoPay_Other" localSheetId="19">#REF!</definedName>
    <definedName name="CoPay_Other" localSheetId="11">#REF!</definedName>
    <definedName name="CoPay_Other" localSheetId="12">#REF!</definedName>
    <definedName name="CoPay_Other">#REF!</definedName>
    <definedName name="CoPay_Rx" localSheetId="13">#REF!</definedName>
    <definedName name="CoPay_Rx" localSheetId="5">#REF!</definedName>
    <definedName name="CoPay_Rx" localSheetId="19">#REF!</definedName>
    <definedName name="CoPay_Rx" localSheetId="11">#REF!</definedName>
    <definedName name="CoPay_Rx" localSheetId="12">#REF!</definedName>
    <definedName name="CoPay_Rx">#REF!</definedName>
    <definedName name="CoPay_XrayRad" localSheetId="13">#REF!</definedName>
    <definedName name="CoPay_XrayRad" localSheetId="5">#REF!</definedName>
    <definedName name="CoPay_XrayRad" localSheetId="11">#REF!</definedName>
    <definedName name="CoPay_XrayRad" localSheetId="12">#REF!</definedName>
    <definedName name="CoPay_XrayRad">#REF!</definedName>
    <definedName name="Data" localSheetId="13">#REF!</definedName>
    <definedName name="Data" localSheetId="5">#REF!</definedName>
    <definedName name="Data" localSheetId="11">#REF!</definedName>
    <definedName name="Data" localSheetId="12">#REF!</definedName>
    <definedName name="Data">#REF!</definedName>
    <definedName name="Date1">36740</definedName>
    <definedName name="DC_COS" localSheetId="13">#REF!</definedName>
    <definedName name="DC_COS" localSheetId="5">#REF!</definedName>
    <definedName name="DC_COS" localSheetId="19">#REF!</definedName>
    <definedName name="DC_COS" localSheetId="11">#REF!</definedName>
    <definedName name="DC_COS" localSheetId="12">#REF!</definedName>
    <definedName name="DC_COS">#REF!</definedName>
    <definedName name="December14">400</definedName>
    <definedName name="December15">12</definedName>
    <definedName name="Dept" localSheetId="13">#REF!</definedName>
    <definedName name="Dept" localSheetId="5">#REF!</definedName>
    <definedName name="Dept" localSheetId="19">#REF!</definedName>
    <definedName name="Dept" localSheetId="11">#REF!</definedName>
    <definedName name="Dept" localSheetId="12">#REF!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13">#REF!</definedName>
    <definedName name="INCSTATEMENT" localSheetId="5">#REF!</definedName>
    <definedName name="INCSTATEMENT" localSheetId="19">#REF!</definedName>
    <definedName name="INCSTATEMENT" localSheetId="11">#REF!</definedName>
    <definedName name="INCSTATEMENT" localSheetId="12">#REF!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13">#REF!</definedName>
    <definedName name="Link1" localSheetId="27">[3]AdministrativeExpenses!#REF!</definedName>
    <definedName name="Link1" localSheetId="5">[3]AdministrativeExpenses!#REF!</definedName>
    <definedName name="Link1" localSheetId="19">#REF!</definedName>
    <definedName name="Link1" localSheetId="11">#REF!</definedName>
    <definedName name="Link1" localSheetId="12">#REF!</definedName>
    <definedName name="Link1">#REF!</definedName>
    <definedName name="Macro10" localSheetId="13">#N/A</definedName>
    <definedName name="Macro10" localSheetId="27">ChangeLog!Macro10</definedName>
    <definedName name="Macro10" localSheetId="19">#N/A</definedName>
    <definedName name="Macro10">'4_Footnotes'!Macro10</definedName>
    <definedName name="macro11" localSheetId="13">#N/A</definedName>
    <definedName name="macro11" localSheetId="27">ChangeLog!macro11</definedName>
    <definedName name="macro11" localSheetId="19">#N/A</definedName>
    <definedName name="macro11">'4_Footnotes'!macro11</definedName>
    <definedName name="macro14" localSheetId="13">#N/A</definedName>
    <definedName name="macro14" localSheetId="27">ChangeLog!macro14</definedName>
    <definedName name="macro14" localSheetId="19">#N/A</definedName>
    <definedName name="macro14">'4_Footnotes'!macro14</definedName>
    <definedName name="Macro4" localSheetId="13">#N/A</definedName>
    <definedName name="Macro4" localSheetId="27">ChangeLog!Macro4</definedName>
    <definedName name="Macro4" localSheetId="19">#N/A</definedName>
    <definedName name="Macro4">'4_Footnotes'!Macro4</definedName>
    <definedName name="Macro5" localSheetId="13">#N/A</definedName>
    <definedName name="Macro5" localSheetId="27">ChangeLog!Macro5</definedName>
    <definedName name="Macro5" localSheetId="19">#N/A</definedName>
    <definedName name="Macro5">'4_Footnotes'!Macro5</definedName>
    <definedName name="Macro6" localSheetId="13">#N/A</definedName>
    <definedName name="Macro6" localSheetId="27">ChangeLog!Macro6</definedName>
    <definedName name="Macro6" localSheetId="19">#N/A</definedName>
    <definedName name="Macro6">'4_Footnotes'!Macro6</definedName>
    <definedName name="March12">300</definedName>
    <definedName name="March15">3</definedName>
    <definedName name="March4">20000</definedName>
    <definedName name="March9">300</definedName>
    <definedName name="New_2005" localSheetId="13">#REF!</definedName>
    <definedName name="New_2005" localSheetId="5">#REF!</definedName>
    <definedName name="New_2005" localSheetId="19">#REF!</definedName>
    <definedName name="New_2005" localSheetId="11">#REF!</definedName>
    <definedName name="New_2005" localSheetId="12">#REF!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13">#REF!</definedName>
    <definedName name="plancntygrpscores" localSheetId="5">#REF!</definedName>
    <definedName name="plancntygrpscores" localSheetId="19">#REF!</definedName>
    <definedName name="plancntygrpscores" localSheetId="11">#REF!</definedName>
    <definedName name="plancntygrpscores" localSheetId="12">#REF!</definedName>
    <definedName name="plancntygrpscores">#REF!</definedName>
    <definedName name="previous" localSheetId="13">#REF!</definedName>
    <definedName name="previous" localSheetId="5">#REF!</definedName>
    <definedName name="previous" localSheetId="19">#REF!</definedName>
    <definedName name="previous" localSheetId="11">#REF!</definedName>
    <definedName name="previous" localSheetId="12">#REF!</definedName>
    <definedName name="previous">#REF!</definedName>
    <definedName name="_xlnm.Print_Area" localSheetId="20">'11A_Lag Report Physician'!$A$1:$AH$47</definedName>
    <definedName name="_xlnm.Print_Area" localSheetId="21">'11B_Lag Report Inpatient'!$A$1:$AH$47</definedName>
    <definedName name="_xlnm.Print_Area" localSheetId="22">'11C_Lag Report Outpatient'!$A$1:$AH$47</definedName>
    <definedName name="_xlnm.Print_Area" localSheetId="23">'11D_Lag Report Pharmacy'!$A$1:$AH$47</definedName>
    <definedName name="_xlnm.Print_Area" localSheetId="24">'11E_Lag Report Other'!$A$1:$AH$47</definedName>
    <definedName name="_xlnm.Print_Area" localSheetId="13">'4_Footnotes'!$A$1:$D$28</definedName>
    <definedName name="_xlnm.Print_Area" localSheetId="27">ChangeLog!$A$1:$D$12</definedName>
    <definedName name="_xlnm.Print_Area" localSheetId="8">'Schedule 2_Balance Sheet'!$A$1:$F$96</definedName>
    <definedName name="_xlnm.Print_Area" localSheetId="9">'Schedule 3A_Income Statement'!$A$1:$K$98</definedName>
    <definedName name="_xlnm.Print_Area" localSheetId="10">'Schedule 3B_Income_Eastern'!$A$1:$K$98</definedName>
    <definedName name="_xlnm.Print_Area" localSheetId="11">'Schedule 3C_Income_Western'!$A$1:$K$98</definedName>
    <definedName name="_xlnm.Print_Area" localSheetId="12">'Schedule 3D_Income_The Cape'!$A$1:$K$98</definedName>
    <definedName name="_xlnm.Print_Area" localSheetId="14">'Schedule 5_Cash Flow'!$A$1:$E$47</definedName>
    <definedName name="_xlnm.Print_Area" localSheetId="17">'Schedule 8_Indicators'!$A$1:$E$46</definedName>
    <definedName name="_xlnm.Print_Area" localSheetId="18">'Schedule 9_Solvency Req.'!$A$1:$J$64</definedName>
    <definedName name="Print_Area_MI" localSheetId="13">#REF!</definedName>
    <definedName name="Print_Area_MI" localSheetId="5">#REF!</definedName>
    <definedName name="Print_Area_MI" localSheetId="19">#REF!</definedName>
    <definedName name="Print_Area_MI" localSheetId="11">#REF!</definedName>
    <definedName name="Print_Area_MI" localSheetId="12">#REF!</definedName>
    <definedName name="Print_Area_MI">#REF!</definedName>
    <definedName name="_xlnm.Print_Titles" localSheetId="20">'11A_Lag Report Physician'!$A:$B,'11A_Lag Report Physician'!$1:$6</definedName>
    <definedName name="_xlnm.Print_Titles" localSheetId="21">'11B_Lag Report Inpatient'!$A:$B,'11B_Lag Report Inpatient'!$1:$6</definedName>
    <definedName name="_xlnm.Print_Titles" localSheetId="22">'11C_Lag Report Outpatient'!$A:$B,'11C_Lag Report Outpatient'!$1:$6</definedName>
    <definedName name="_xlnm.Print_Titles" localSheetId="23">'11D_Lag Report Pharmacy'!$A:$B,'11D_Lag Report Pharmacy'!$1:$6</definedName>
    <definedName name="_xlnm.Print_Titles" localSheetId="24">'11E_Lag Report Other'!$A:$B,'11E_Lag Report Other'!$1:$6</definedName>
    <definedName name="_xlnm.Print_Titles" localSheetId="13">'4_Footnotes'!$1:$8</definedName>
    <definedName name="_xlnm.Print_Titles" localSheetId="19">'Schedule 10_APMs'!$2:$8</definedName>
    <definedName name="Prt_Shts" localSheetId="13">#REF!</definedName>
    <definedName name="Prt_Shts" localSheetId="5">#REF!</definedName>
    <definedName name="Prt_Shts" localSheetId="11">#REF!</definedName>
    <definedName name="Prt_Shts" localSheetId="12">#REF!</definedName>
    <definedName name="Prt_Shts">#REF!</definedName>
    <definedName name="Region" localSheetId="13">#REF!</definedName>
    <definedName name="Region" localSheetId="27">#REF!</definedName>
    <definedName name="Region" localSheetId="5">#REF!</definedName>
    <definedName name="Region" localSheetId="19">#REF!</definedName>
    <definedName name="Region" localSheetId="11">#REF!</definedName>
    <definedName name="Region" localSheetId="12">#REF!</definedName>
    <definedName name="Region">#REF!</definedName>
    <definedName name="Regions" localSheetId="13">#REF!</definedName>
    <definedName name="Regions" localSheetId="27">#REF!</definedName>
    <definedName name="Regions" localSheetId="5">#REF!</definedName>
    <definedName name="Regions" localSheetId="19">#REF!</definedName>
    <definedName name="Regions" localSheetId="11">#REF!</definedName>
    <definedName name="Regions" localSheetId="12">#REF!</definedName>
    <definedName name="Regions">#REF!</definedName>
    <definedName name="respmgr">"Charlie"</definedName>
    <definedName name="second" localSheetId="13">#REF!</definedName>
    <definedName name="second" localSheetId="5">#REF!</definedName>
    <definedName name="second" localSheetId="19">#REF!</definedName>
    <definedName name="second" localSheetId="11">#REF!</definedName>
    <definedName name="second" localSheetId="12">#REF!</definedName>
    <definedName name="second">#REF!</definedName>
    <definedName name="September15">9</definedName>
    <definedName name="sum">#REF!</definedName>
    <definedName name="Table_1_Summary" localSheetId="13">#REF!</definedName>
    <definedName name="Table_1_Summary" localSheetId="5">#REF!</definedName>
    <definedName name="Table_1_Summary" localSheetId="19">#REF!</definedName>
    <definedName name="Table_1_Summary" localSheetId="11">#REF!</definedName>
    <definedName name="Table_1_Summary" localSheetId="12">#REF!</definedName>
    <definedName name="Table_1_Summary">#REF!</definedName>
    <definedName name="tblInstDeletionsStateExport" localSheetId="13">#REF!</definedName>
    <definedName name="tblInstDeletionsStateExport" localSheetId="5">#REF!</definedName>
    <definedName name="tblInstDeletionsStateExport" localSheetId="19">#REF!</definedName>
    <definedName name="tblInstDeletionsStateExport" localSheetId="11">#REF!</definedName>
    <definedName name="tblInstDeletionsStateExport" localSheetId="12">#REF!</definedName>
    <definedName name="tblInstDeletionsStateExport">#REF!</definedName>
    <definedName name="tblInstStateExport" localSheetId="13">#REF!</definedName>
    <definedName name="tblInstStateExport" localSheetId="5">#REF!</definedName>
    <definedName name="tblInstStateExport" localSheetId="19">#REF!</definedName>
    <definedName name="tblInstStateExport" localSheetId="11">#REF!</definedName>
    <definedName name="tblInstStateExport" localSheetId="12">#REF!</definedName>
    <definedName name="tblInstStateExport">#REF!</definedName>
    <definedName name="tblProvDeletionsStateExport" localSheetId="13">#REF!</definedName>
    <definedName name="tblProvDeletionsStateExport" localSheetId="5">#REF!</definedName>
    <definedName name="tblProvDeletionsStateExport" localSheetId="11">#REF!</definedName>
    <definedName name="tblProvDeletionsStateExport" localSheetId="12">#REF!</definedName>
    <definedName name="tblProvDeletionsStateExport">#REF!</definedName>
    <definedName name="tblProvStateExport" localSheetId="13">#REF!</definedName>
    <definedName name="tblProvStateExport" localSheetId="5">#REF!</definedName>
    <definedName name="tblProvStateExport" localSheetId="11">#REF!</definedName>
    <definedName name="tblProvStateExport" localSheetId="12">#REF!</definedName>
    <definedName name="tblProvStateExport">#REF!</definedName>
    <definedName name="third" localSheetId="13">#REF!</definedName>
    <definedName name="third" localSheetId="5">#REF!</definedName>
    <definedName name="third" localSheetId="11">#REF!</definedName>
    <definedName name="third" localSheetId="12">#REF!</definedName>
    <definedName name="third">#REF!</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36" l="1"/>
  <c r="E21" i="13"/>
  <c r="D21" i="13"/>
  <c r="C21" i="13"/>
  <c r="B21" i="13"/>
  <c r="E19" i="13" l="1"/>
  <c r="D19" i="13"/>
  <c r="F81" i="12" l="1"/>
  <c r="E81" i="12"/>
  <c r="E23" i="13" l="1"/>
  <c r="E22" i="13"/>
  <c r="E18" i="13"/>
  <c r="E17" i="13"/>
  <c r="D23" i="13" l="1"/>
  <c r="D22" i="13"/>
  <c r="D18" i="13"/>
  <c r="D17" i="13"/>
  <c r="C23" i="13" l="1"/>
  <c r="C22" i="13"/>
  <c r="C19" i="13"/>
  <c r="C17" i="13"/>
  <c r="C18" i="13"/>
  <c r="B19" i="13" l="1"/>
  <c r="D82" i="12" l="1"/>
  <c r="C6" i="12" l="1"/>
  <c r="B23" i="13"/>
  <c r="B22" i="13"/>
  <c r="B18" i="13" l="1"/>
  <c r="B17" i="13"/>
  <c r="I18" i="40" l="1"/>
  <c r="U18" i="40"/>
  <c r="X18" i="40"/>
  <c r="Y18" i="40" l="1"/>
  <c r="AE18" i="40" s="1"/>
  <c r="CA43" i="54"/>
  <c r="BZ43" i="54"/>
  <c r="BY43" i="54"/>
  <c r="BX43" i="54"/>
  <c r="BW43" i="54"/>
  <c r="BV43" i="54"/>
  <c r="BU43" i="54"/>
  <c r="BT43" i="54"/>
  <c r="BR43" i="54"/>
  <c r="BQ43" i="54"/>
  <c r="BP43" i="54"/>
  <c r="BO43" i="54"/>
  <c r="BN43" i="54"/>
  <c r="BM43" i="54"/>
  <c r="BL43" i="54"/>
  <c r="BK43" i="54"/>
  <c r="BG43" i="54" l="1"/>
  <c r="BF43" i="54"/>
  <c r="BE43" i="54"/>
  <c r="BD43" i="54"/>
  <c r="BC43" i="54"/>
  <c r="BB43" i="54"/>
  <c r="BA43" i="54"/>
  <c r="AZ43" i="54"/>
  <c r="AX43" i="54"/>
  <c r="AW43" i="54"/>
  <c r="AV43" i="54"/>
  <c r="AU43" i="54"/>
  <c r="AT43" i="54"/>
  <c r="AS43" i="54"/>
  <c r="AR43" i="54"/>
  <c r="AQ43" i="54"/>
  <c r="AI43" i="54"/>
  <c r="AG43" i="54"/>
  <c r="AM43" i="54"/>
  <c r="AK43" i="54"/>
  <c r="S43" i="54"/>
  <c r="R43" i="54"/>
  <c r="O43" i="54"/>
  <c r="N43" i="54"/>
  <c r="Q43" i="54"/>
  <c r="P43" i="54"/>
  <c r="M43" i="54"/>
  <c r="CA43" i="53"/>
  <c r="BZ43" i="53"/>
  <c r="BY43" i="53"/>
  <c r="BX43" i="53"/>
  <c r="BW43" i="53"/>
  <c r="BV43" i="53"/>
  <c r="BU43" i="53"/>
  <c r="BT43" i="53"/>
  <c r="BR43" i="53"/>
  <c r="BQ43" i="53"/>
  <c r="BP43" i="53"/>
  <c r="BO43" i="53"/>
  <c r="BN43" i="53"/>
  <c r="BM43" i="53"/>
  <c r="BL43" i="53"/>
  <c r="BK43" i="53"/>
  <c r="BG43" i="53"/>
  <c r="BF43" i="53"/>
  <c r="BE43" i="53"/>
  <c r="BD43" i="53"/>
  <c r="BC43" i="53"/>
  <c r="BB43" i="53"/>
  <c r="BA43" i="53"/>
  <c r="AZ43" i="53"/>
  <c r="AX43" i="53"/>
  <c r="AW43" i="53"/>
  <c r="AV43" i="53"/>
  <c r="AU43" i="53"/>
  <c r="AT43" i="53"/>
  <c r="AS43" i="53"/>
  <c r="AR43" i="53"/>
  <c r="AQ43" i="53"/>
  <c r="AI43" i="53"/>
  <c r="AM43" i="53"/>
  <c r="AK43" i="53"/>
  <c r="AG43" i="53"/>
  <c r="S43" i="53"/>
  <c r="P43" i="53"/>
  <c r="O43" i="53"/>
  <c r="R43" i="53"/>
  <c r="Q43" i="53"/>
  <c r="N43" i="53"/>
  <c r="M43" i="53"/>
  <c r="CA43" i="37"/>
  <c r="BX43" i="37"/>
  <c r="BW43" i="37"/>
  <c r="BT43" i="37"/>
  <c r="BR43" i="37"/>
  <c r="BQ43" i="37"/>
  <c r="BP43" i="37"/>
  <c r="BO43" i="37"/>
  <c r="BN43" i="37"/>
  <c r="BM43" i="37"/>
  <c r="BL43" i="37"/>
  <c r="BK43" i="37"/>
  <c r="BZ43" i="37"/>
  <c r="BY43" i="37"/>
  <c r="BV43" i="37"/>
  <c r="BU43" i="37"/>
  <c r="AX43" i="37"/>
  <c r="AW43" i="37"/>
  <c r="AV43" i="37"/>
  <c r="AU43" i="37"/>
  <c r="AT43" i="37"/>
  <c r="AS43" i="37"/>
  <c r="AR43" i="37"/>
  <c r="AQ43" i="37"/>
  <c r="BG43" i="37"/>
  <c r="BF43" i="37"/>
  <c r="BE43" i="37"/>
  <c r="BD43" i="37"/>
  <c r="BC43" i="37"/>
  <c r="BB43" i="37"/>
  <c r="BA43" i="37"/>
  <c r="AZ43" i="37"/>
  <c r="AF43" i="37"/>
  <c r="AD43" i="37"/>
  <c r="AC43" i="37"/>
  <c r="AB43" i="37"/>
  <c r="AA43" i="37"/>
  <c r="Z43" i="37"/>
  <c r="Y43" i="37"/>
  <c r="X43" i="37"/>
  <c r="W43" i="37"/>
  <c r="AM43" i="37"/>
  <c r="AL43" i="37"/>
  <c r="AK43" i="37"/>
  <c r="AJ43" i="37"/>
  <c r="AI43" i="37"/>
  <c r="AH43" i="37"/>
  <c r="AG43" i="37"/>
  <c r="L43" i="37"/>
  <c r="J43" i="37"/>
  <c r="I43" i="37"/>
  <c r="H43" i="37"/>
  <c r="G43" i="37"/>
  <c r="F43" i="37"/>
  <c r="E43" i="37"/>
  <c r="D43" i="37"/>
  <c r="C43" i="37"/>
  <c r="S43" i="37"/>
  <c r="R43" i="37"/>
  <c r="Q43" i="37"/>
  <c r="P43" i="37"/>
  <c r="O43" i="37"/>
  <c r="N43" i="37"/>
  <c r="M43" i="37"/>
  <c r="AJ44" i="36" l="1"/>
  <c r="BF66" i="54"/>
  <c r="AH45" i="36"/>
  <c r="AH44" i="36"/>
  <c r="BZ45" i="36"/>
  <c r="BO66" i="53"/>
  <c r="AR66" i="54"/>
  <c r="CF45" i="54"/>
  <c r="CG45" i="54"/>
  <c r="AS66" i="53"/>
  <c r="AT66" i="54"/>
  <c r="AL45" i="36"/>
  <c r="AL44" i="36"/>
  <c r="AJ45" i="36"/>
  <c r="AW66" i="54"/>
  <c r="AF44" i="36"/>
  <c r="AF45" i="36"/>
  <c r="AV66" i="54"/>
  <c r="AW14" i="54"/>
  <c r="I14" i="54"/>
  <c r="BD14" i="54"/>
  <c r="L27" i="39"/>
  <c r="BB14" i="54"/>
  <c r="N14" i="54"/>
  <c r="AQ14" i="54"/>
  <c r="L13" i="39"/>
  <c r="CA85" i="36"/>
  <c r="BZ85" i="36"/>
  <c r="BY85" i="36"/>
  <c r="BX85" i="36"/>
  <c r="BW85" i="36"/>
  <c r="BV85" i="36"/>
  <c r="BU85" i="36"/>
  <c r="BT85" i="36"/>
  <c r="CA84" i="36"/>
  <c r="BZ84" i="36"/>
  <c r="BY84" i="36"/>
  <c r="BX84" i="36"/>
  <c r="BW84" i="36"/>
  <c r="BV84" i="36"/>
  <c r="BU84" i="36"/>
  <c r="BT84" i="36"/>
  <c r="CA83" i="36"/>
  <c r="BZ83" i="36"/>
  <c r="BY83" i="36"/>
  <c r="BX83" i="36"/>
  <c r="BW83" i="36"/>
  <c r="BV83" i="36"/>
  <c r="BU83" i="36"/>
  <c r="BT83" i="36"/>
  <c r="CA82" i="36"/>
  <c r="BZ82" i="36"/>
  <c r="BY82" i="36"/>
  <c r="BX82" i="36"/>
  <c r="BW82" i="36"/>
  <c r="BV82" i="36"/>
  <c r="BU82" i="36"/>
  <c r="BT82" i="36"/>
  <c r="CA80" i="36"/>
  <c r="BZ80" i="36"/>
  <c r="BY80" i="36"/>
  <c r="BX80" i="36"/>
  <c r="BW80" i="36"/>
  <c r="BV80" i="36"/>
  <c r="BU80" i="36"/>
  <c r="BT80" i="36"/>
  <c r="CA78" i="36"/>
  <c r="BZ78" i="36"/>
  <c r="BY78" i="36"/>
  <c r="BX78" i="36"/>
  <c r="BW78" i="36"/>
  <c r="BV78" i="36"/>
  <c r="BU78" i="36"/>
  <c r="BT78" i="36"/>
  <c r="CA77" i="36"/>
  <c r="BZ77" i="36"/>
  <c r="BY77" i="36"/>
  <c r="BX77" i="36"/>
  <c r="BW77" i="36"/>
  <c r="BV77" i="36"/>
  <c r="BU77" i="36"/>
  <c r="BT77" i="36"/>
  <c r="CA76" i="36"/>
  <c r="BZ76" i="36"/>
  <c r="BY76" i="36"/>
  <c r="BX76" i="36"/>
  <c r="BW76" i="36"/>
  <c r="BV76" i="36"/>
  <c r="BU76" i="36"/>
  <c r="BT76" i="36"/>
  <c r="BR85" i="36"/>
  <c r="BQ85" i="36"/>
  <c r="BP85" i="36"/>
  <c r="BO85" i="36"/>
  <c r="BN85" i="36"/>
  <c r="BM85" i="36"/>
  <c r="BL85" i="36"/>
  <c r="BK85" i="36"/>
  <c r="BR84" i="36"/>
  <c r="BQ84" i="36"/>
  <c r="BP84" i="36"/>
  <c r="BO84" i="36"/>
  <c r="BN84" i="36"/>
  <c r="BM84" i="36"/>
  <c r="BL84" i="36"/>
  <c r="BK84" i="36"/>
  <c r="BR83" i="36"/>
  <c r="BQ83" i="36"/>
  <c r="BP83" i="36"/>
  <c r="BO83" i="36"/>
  <c r="BN83" i="36"/>
  <c r="BM83" i="36"/>
  <c r="BL83" i="36"/>
  <c r="BK83" i="36"/>
  <c r="BR82" i="36"/>
  <c r="BQ82" i="36"/>
  <c r="BP82" i="36"/>
  <c r="BO82" i="36"/>
  <c r="BN82" i="36"/>
  <c r="BM82" i="36"/>
  <c r="BL82" i="36"/>
  <c r="BK82" i="36"/>
  <c r="BR80" i="36"/>
  <c r="BQ80" i="36"/>
  <c r="BP80" i="36"/>
  <c r="BO80" i="36"/>
  <c r="BN80" i="36"/>
  <c r="BM80" i="36"/>
  <c r="BL80" i="36"/>
  <c r="BK80" i="36"/>
  <c r="BR78" i="36"/>
  <c r="BQ78" i="36"/>
  <c r="BP78" i="36"/>
  <c r="BO78" i="36"/>
  <c r="BN78" i="36"/>
  <c r="BM78" i="36"/>
  <c r="BL78" i="36"/>
  <c r="BK78" i="36"/>
  <c r="BR77" i="36"/>
  <c r="BQ77" i="36"/>
  <c r="BP77" i="36"/>
  <c r="BO77" i="36"/>
  <c r="BN77" i="36"/>
  <c r="BM77" i="36"/>
  <c r="BL77" i="36"/>
  <c r="BK77" i="36"/>
  <c r="BR76" i="36"/>
  <c r="BQ76" i="36"/>
  <c r="BP76" i="36"/>
  <c r="BO76" i="36"/>
  <c r="BN76" i="36"/>
  <c r="BM76" i="36"/>
  <c r="BL76" i="36"/>
  <c r="BK76" i="36"/>
  <c r="BG85" i="36"/>
  <c r="BF85" i="36"/>
  <c r="BE85" i="36"/>
  <c r="BD85" i="36"/>
  <c r="BC85" i="36"/>
  <c r="BB85" i="36"/>
  <c r="BA85" i="36"/>
  <c r="AZ85" i="36"/>
  <c r="BG84" i="36"/>
  <c r="BF84" i="36"/>
  <c r="BE84" i="36"/>
  <c r="BD84" i="36"/>
  <c r="BC84" i="36"/>
  <c r="BB84" i="36"/>
  <c r="BA84" i="36"/>
  <c r="AZ84" i="36"/>
  <c r="BG83" i="36"/>
  <c r="BF83" i="36"/>
  <c r="BE83" i="36"/>
  <c r="BD83" i="36"/>
  <c r="BC83" i="36"/>
  <c r="BB83" i="36"/>
  <c r="BA83" i="36"/>
  <c r="AZ83" i="36"/>
  <c r="BG82" i="36"/>
  <c r="BF82" i="36"/>
  <c r="BE82" i="36"/>
  <c r="BD82" i="36"/>
  <c r="BC82" i="36"/>
  <c r="BB82" i="36"/>
  <c r="BA82" i="36"/>
  <c r="AZ82" i="36"/>
  <c r="BG80" i="36"/>
  <c r="BF80" i="36"/>
  <c r="BE80" i="36"/>
  <c r="BD80" i="36"/>
  <c r="BC80" i="36"/>
  <c r="BB80" i="36"/>
  <c r="BA80" i="36"/>
  <c r="AZ80" i="36"/>
  <c r="BG78" i="36"/>
  <c r="BF78" i="36"/>
  <c r="BE78" i="36"/>
  <c r="BD78" i="36"/>
  <c r="BC78" i="36"/>
  <c r="BB78" i="36"/>
  <c r="BA78" i="36"/>
  <c r="AZ78" i="36"/>
  <c r="BG77" i="36"/>
  <c r="BF77" i="36"/>
  <c r="BE77" i="36"/>
  <c r="BD77" i="36"/>
  <c r="BC77" i="36"/>
  <c r="BB77" i="36"/>
  <c r="BA77" i="36"/>
  <c r="AZ77" i="36"/>
  <c r="BG76" i="36"/>
  <c r="BF76" i="36"/>
  <c r="BE76" i="36"/>
  <c r="BD76" i="36"/>
  <c r="BC76" i="36"/>
  <c r="BB76" i="36"/>
  <c r="BA76" i="36"/>
  <c r="AZ76" i="36"/>
  <c r="AX85" i="36"/>
  <c r="AW85" i="36"/>
  <c r="AV85" i="36"/>
  <c r="AU85" i="36"/>
  <c r="AT85" i="36"/>
  <c r="AS85" i="36"/>
  <c r="AR85" i="36"/>
  <c r="AQ85" i="36"/>
  <c r="AX84" i="36"/>
  <c r="AW84" i="36"/>
  <c r="AV84" i="36"/>
  <c r="AU84" i="36"/>
  <c r="AT84" i="36"/>
  <c r="AS84" i="36"/>
  <c r="AR84" i="36"/>
  <c r="AQ84" i="36"/>
  <c r="AX83" i="36"/>
  <c r="AW83" i="36"/>
  <c r="AV83" i="36"/>
  <c r="AU83" i="36"/>
  <c r="AT83" i="36"/>
  <c r="AS83" i="36"/>
  <c r="AR83" i="36"/>
  <c r="AQ83" i="36"/>
  <c r="AX82" i="36"/>
  <c r="AW82" i="36"/>
  <c r="AV82" i="36"/>
  <c r="AU82" i="36"/>
  <c r="AT82" i="36"/>
  <c r="AS82" i="36"/>
  <c r="AR82" i="36"/>
  <c r="AQ82" i="36"/>
  <c r="AX80" i="36"/>
  <c r="AW80" i="36"/>
  <c r="AV80" i="36"/>
  <c r="AU80" i="36"/>
  <c r="AT80" i="36"/>
  <c r="AS80" i="36"/>
  <c r="AR80" i="36"/>
  <c r="AQ80" i="36"/>
  <c r="AX78" i="36"/>
  <c r="AW78" i="36"/>
  <c r="AV78" i="36"/>
  <c r="AU78" i="36"/>
  <c r="AT78" i="36"/>
  <c r="AS78" i="36"/>
  <c r="AR78" i="36"/>
  <c r="AQ78" i="36"/>
  <c r="AX77" i="36"/>
  <c r="AW77" i="36"/>
  <c r="AV77" i="36"/>
  <c r="AU77" i="36"/>
  <c r="AT77" i="36"/>
  <c r="AS77" i="36"/>
  <c r="AR77" i="36"/>
  <c r="AQ77" i="36"/>
  <c r="AX76" i="36"/>
  <c r="AW76" i="36"/>
  <c r="AV76" i="36"/>
  <c r="AU76" i="36"/>
  <c r="AT76" i="36"/>
  <c r="AS76" i="36"/>
  <c r="AR76" i="36"/>
  <c r="AQ76" i="36"/>
  <c r="AM85" i="36"/>
  <c r="AL85" i="36"/>
  <c r="AK85" i="36"/>
  <c r="AJ85" i="36"/>
  <c r="AI85" i="36"/>
  <c r="AH85" i="36"/>
  <c r="AG85" i="36"/>
  <c r="AF85" i="36"/>
  <c r="AM84" i="36"/>
  <c r="AL84" i="36"/>
  <c r="AK84" i="36"/>
  <c r="AJ84" i="36"/>
  <c r="AI84" i="36"/>
  <c r="AH84" i="36"/>
  <c r="AG84" i="36"/>
  <c r="AF84" i="36"/>
  <c r="AM83" i="36"/>
  <c r="AL83" i="36"/>
  <c r="AK83" i="36"/>
  <c r="AJ83" i="36"/>
  <c r="AI83" i="36"/>
  <c r="AH83" i="36"/>
  <c r="AG83" i="36"/>
  <c r="AF83" i="36"/>
  <c r="AM82" i="36"/>
  <c r="AL82" i="36"/>
  <c r="AK82" i="36"/>
  <c r="AJ82" i="36"/>
  <c r="AI82" i="36"/>
  <c r="AH82" i="36"/>
  <c r="AG82" i="36"/>
  <c r="AF82" i="36"/>
  <c r="AM80" i="36"/>
  <c r="AL80" i="36"/>
  <c r="AK80" i="36"/>
  <c r="AJ80" i="36"/>
  <c r="AI80" i="36"/>
  <c r="AH80" i="36"/>
  <c r="AG80" i="36"/>
  <c r="AF80" i="36"/>
  <c r="AM78" i="36"/>
  <c r="AL78" i="36"/>
  <c r="AK78" i="36"/>
  <c r="AJ78" i="36"/>
  <c r="AI78" i="36"/>
  <c r="AH78" i="36"/>
  <c r="AG78" i="36"/>
  <c r="AF78" i="36"/>
  <c r="AM77" i="36"/>
  <c r="AL77" i="36"/>
  <c r="AK77" i="36"/>
  <c r="AJ77" i="36"/>
  <c r="AI77" i="36"/>
  <c r="AH77" i="36"/>
  <c r="AG77" i="36"/>
  <c r="AF77" i="36"/>
  <c r="AM76" i="36"/>
  <c r="AL76" i="36"/>
  <c r="AK76" i="36"/>
  <c r="AJ76" i="36"/>
  <c r="AI76" i="36"/>
  <c r="AH76" i="36"/>
  <c r="AG76" i="36"/>
  <c r="AF76" i="36"/>
  <c r="AD85" i="36"/>
  <c r="AC85" i="36"/>
  <c r="AB85" i="36"/>
  <c r="AA85" i="36"/>
  <c r="Z85" i="36"/>
  <c r="Y85" i="36"/>
  <c r="X85" i="36"/>
  <c r="W85" i="36"/>
  <c r="AD84" i="36"/>
  <c r="AC84" i="36"/>
  <c r="AB84" i="36"/>
  <c r="AA84" i="36"/>
  <c r="Z84" i="36"/>
  <c r="Y84" i="36"/>
  <c r="X84" i="36"/>
  <c r="W84" i="36"/>
  <c r="AD83" i="36"/>
  <c r="AC83" i="36"/>
  <c r="AB83" i="36"/>
  <c r="AA83" i="36"/>
  <c r="Z83" i="36"/>
  <c r="Y83" i="36"/>
  <c r="X83" i="36"/>
  <c r="W83" i="36"/>
  <c r="AD82" i="36"/>
  <c r="AC82" i="36"/>
  <c r="AB82" i="36"/>
  <c r="AA82" i="36"/>
  <c r="Z82" i="36"/>
  <c r="Y82" i="36"/>
  <c r="X82" i="36"/>
  <c r="W82" i="36"/>
  <c r="AD80" i="36"/>
  <c r="AC80" i="36"/>
  <c r="AB80" i="36"/>
  <c r="AA80" i="36"/>
  <c r="Z80" i="36"/>
  <c r="Y80" i="36"/>
  <c r="X80" i="36"/>
  <c r="W80" i="36"/>
  <c r="AD78" i="36"/>
  <c r="AC78" i="36"/>
  <c r="AB78" i="36"/>
  <c r="AA78" i="36"/>
  <c r="Z78" i="36"/>
  <c r="Y78" i="36"/>
  <c r="X78" i="36"/>
  <c r="W78" i="36"/>
  <c r="AD77" i="36"/>
  <c r="AC77" i="36"/>
  <c r="AB77" i="36"/>
  <c r="AA77" i="36"/>
  <c r="Z77" i="36"/>
  <c r="Y77" i="36"/>
  <c r="X77" i="36"/>
  <c r="W77" i="36"/>
  <c r="AD76" i="36"/>
  <c r="AC76" i="36"/>
  <c r="AB76" i="36"/>
  <c r="AA76" i="36"/>
  <c r="Z76" i="36"/>
  <c r="Y76" i="36"/>
  <c r="X76" i="36"/>
  <c r="W76" i="36"/>
  <c r="S85" i="36"/>
  <c r="R85" i="36"/>
  <c r="Q85" i="36"/>
  <c r="P85" i="36"/>
  <c r="O85" i="36"/>
  <c r="N85" i="36"/>
  <c r="M85" i="36"/>
  <c r="L85" i="36"/>
  <c r="S84" i="36"/>
  <c r="R84" i="36"/>
  <c r="Q84" i="36"/>
  <c r="P84" i="36"/>
  <c r="O84" i="36"/>
  <c r="N84" i="36"/>
  <c r="M84" i="36"/>
  <c r="L84" i="36"/>
  <c r="S83" i="36"/>
  <c r="R83" i="36"/>
  <c r="Q83" i="36"/>
  <c r="P83" i="36"/>
  <c r="O83" i="36"/>
  <c r="N83" i="36"/>
  <c r="M83" i="36"/>
  <c r="L83" i="36"/>
  <c r="S82" i="36"/>
  <c r="R82" i="36"/>
  <c r="Q82" i="36"/>
  <c r="P82" i="36"/>
  <c r="O82" i="36"/>
  <c r="N82" i="36"/>
  <c r="M82" i="36"/>
  <c r="L82" i="36"/>
  <c r="S80" i="36"/>
  <c r="R80" i="36"/>
  <c r="Q80" i="36"/>
  <c r="P80" i="36"/>
  <c r="O80" i="36"/>
  <c r="N80" i="36"/>
  <c r="M80" i="36"/>
  <c r="L80" i="36"/>
  <c r="S78" i="36"/>
  <c r="R78" i="36"/>
  <c r="Q78" i="36"/>
  <c r="P78" i="36"/>
  <c r="O78" i="36"/>
  <c r="N78" i="36"/>
  <c r="M78" i="36"/>
  <c r="L78" i="36"/>
  <c r="S77" i="36"/>
  <c r="R77" i="36"/>
  <c r="Q77" i="36"/>
  <c r="P77" i="36"/>
  <c r="O77" i="36"/>
  <c r="N77" i="36"/>
  <c r="M77" i="36"/>
  <c r="L77" i="36"/>
  <c r="S76" i="36"/>
  <c r="R76" i="36"/>
  <c r="Q76" i="36"/>
  <c r="P76" i="36"/>
  <c r="O76" i="36"/>
  <c r="N76" i="36"/>
  <c r="M76" i="36"/>
  <c r="L76" i="36"/>
  <c r="J85" i="36"/>
  <c r="I85" i="36"/>
  <c r="H85" i="36"/>
  <c r="G85" i="36"/>
  <c r="F85" i="36"/>
  <c r="E85" i="36"/>
  <c r="D85" i="36"/>
  <c r="J84" i="36"/>
  <c r="I84" i="36"/>
  <c r="H84" i="36"/>
  <c r="G84" i="36"/>
  <c r="F84" i="36"/>
  <c r="E84" i="36"/>
  <c r="D84" i="36"/>
  <c r="J83" i="36"/>
  <c r="I83" i="36"/>
  <c r="H83" i="36"/>
  <c r="G83" i="36"/>
  <c r="F83" i="36"/>
  <c r="E83" i="36"/>
  <c r="D83" i="36"/>
  <c r="J82" i="36"/>
  <c r="I82" i="36"/>
  <c r="H82" i="36"/>
  <c r="G82" i="36"/>
  <c r="F82" i="36"/>
  <c r="E82" i="36"/>
  <c r="D82" i="36"/>
  <c r="J80" i="36"/>
  <c r="I80" i="36"/>
  <c r="H80" i="36"/>
  <c r="G80" i="36"/>
  <c r="F80" i="36"/>
  <c r="E80" i="36"/>
  <c r="D80" i="36"/>
  <c r="J78" i="36"/>
  <c r="I78" i="36"/>
  <c r="H78" i="36"/>
  <c r="G78" i="36"/>
  <c r="F78" i="36"/>
  <c r="E78" i="36"/>
  <c r="D78" i="36"/>
  <c r="J77" i="36"/>
  <c r="I77" i="36"/>
  <c r="H77" i="36"/>
  <c r="G77" i="36"/>
  <c r="F77" i="36"/>
  <c r="E77" i="36"/>
  <c r="D77" i="36"/>
  <c r="J76" i="36"/>
  <c r="I76" i="36"/>
  <c r="H76" i="36"/>
  <c r="G76" i="36"/>
  <c r="F76" i="36"/>
  <c r="E76" i="36"/>
  <c r="D76" i="36"/>
  <c r="C85" i="36"/>
  <c r="C84" i="36"/>
  <c r="C83" i="36"/>
  <c r="C82" i="36"/>
  <c r="C80" i="36"/>
  <c r="C78" i="36"/>
  <c r="C77" i="36"/>
  <c r="C76" i="36"/>
  <c r="CA64" i="36"/>
  <c r="BZ64" i="36"/>
  <c r="BY64" i="36"/>
  <c r="BX64" i="36"/>
  <c r="BW64" i="36"/>
  <c r="BV64" i="36"/>
  <c r="BU64" i="36"/>
  <c r="BT64" i="36"/>
  <c r="CA63" i="36"/>
  <c r="BZ63" i="36"/>
  <c r="BY63" i="36"/>
  <c r="BX63" i="36"/>
  <c r="BW63" i="36"/>
  <c r="BV63" i="36"/>
  <c r="BU63" i="36"/>
  <c r="BT63" i="36"/>
  <c r="CA62" i="36"/>
  <c r="CA70" i="36" s="1"/>
  <c r="BZ62" i="36"/>
  <c r="BZ70" i="36" s="1"/>
  <c r="BY62" i="36"/>
  <c r="BX62" i="36"/>
  <c r="BW62" i="36"/>
  <c r="BW70" i="36" s="1"/>
  <c r="BV62" i="36"/>
  <c r="BV70" i="36" s="1"/>
  <c r="BU62" i="36"/>
  <c r="BT62" i="36"/>
  <c r="CA61" i="36"/>
  <c r="BZ61" i="36"/>
  <c r="BY61" i="36"/>
  <c r="BX61" i="36"/>
  <c r="BW61" i="36"/>
  <c r="BV61" i="36"/>
  <c r="BU61" i="36"/>
  <c r="BT61" i="36"/>
  <c r="CA60" i="36"/>
  <c r="BZ60" i="36"/>
  <c r="BY60" i="36"/>
  <c r="BX60" i="36"/>
  <c r="BW60" i="36"/>
  <c r="BV60" i="36"/>
  <c r="BU60" i="36"/>
  <c r="BT60" i="36"/>
  <c r="CA59" i="36"/>
  <c r="BZ59" i="36"/>
  <c r="BY59" i="36"/>
  <c r="BX59" i="36"/>
  <c r="BW59" i="36"/>
  <c r="BV59" i="36"/>
  <c r="BU59" i="36"/>
  <c r="BT59" i="36"/>
  <c r="CA58" i="36"/>
  <c r="BZ58" i="36"/>
  <c r="BY58" i="36"/>
  <c r="BX58" i="36"/>
  <c r="BW58" i="36"/>
  <c r="BV58" i="36"/>
  <c r="BU58" i="36"/>
  <c r="BT58" i="36"/>
  <c r="CA57" i="36"/>
  <c r="BZ57" i="36"/>
  <c r="BY57" i="36"/>
  <c r="BX57" i="36"/>
  <c r="BW57" i="36"/>
  <c r="BV57" i="36"/>
  <c r="BU57" i="36"/>
  <c r="BT57" i="36"/>
  <c r="CA56" i="36"/>
  <c r="BZ56" i="36"/>
  <c r="BY56" i="36"/>
  <c r="BX56" i="36"/>
  <c r="BW56" i="36"/>
  <c r="BV56" i="36"/>
  <c r="BU56" i="36"/>
  <c r="BT56" i="36"/>
  <c r="CA55" i="36"/>
  <c r="BZ55" i="36"/>
  <c r="BY55" i="36"/>
  <c r="BX55" i="36"/>
  <c r="BW55" i="36"/>
  <c r="BV55" i="36"/>
  <c r="BU55" i="36"/>
  <c r="BT55" i="36"/>
  <c r="CA54" i="36"/>
  <c r="BZ54" i="36"/>
  <c r="BY54" i="36"/>
  <c r="BX54" i="36"/>
  <c r="BW54" i="36"/>
  <c r="BV54" i="36"/>
  <c r="BU54" i="36"/>
  <c r="BT54" i="36"/>
  <c r="CA53" i="36"/>
  <c r="BZ53" i="36"/>
  <c r="BY53" i="36"/>
  <c r="BX53" i="36"/>
  <c r="BW53" i="36"/>
  <c r="BV53" i="36"/>
  <c r="BU53" i="36"/>
  <c r="BT53" i="36"/>
  <c r="CA52" i="36"/>
  <c r="BZ52" i="36"/>
  <c r="BY52" i="36"/>
  <c r="BX52" i="36"/>
  <c r="BW52" i="36"/>
  <c r="BV52" i="36"/>
  <c r="BU52" i="36"/>
  <c r="BT52" i="36"/>
  <c r="CA51" i="36"/>
  <c r="BZ51" i="36"/>
  <c r="BY51" i="36"/>
  <c r="BX51" i="36"/>
  <c r="BW51" i="36"/>
  <c r="BV51" i="36"/>
  <c r="BU51" i="36"/>
  <c r="BT51" i="36"/>
  <c r="CA50" i="36"/>
  <c r="BZ50" i="36"/>
  <c r="BY50" i="36"/>
  <c r="BX50" i="36"/>
  <c r="BW50" i="36"/>
  <c r="BV50" i="36"/>
  <c r="BU50" i="36"/>
  <c r="BT50" i="36"/>
  <c r="CA49" i="36"/>
  <c r="BZ49" i="36"/>
  <c r="BY49" i="36"/>
  <c r="BX49" i="36"/>
  <c r="BW49" i="36"/>
  <c r="BV49" i="36"/>
  <c r="BU49" i="36"/>
  <c r="BT49" i="36"/>
  <c r="CA48" i="36"/>
  <c r="BZ48" i="36"/>
  <c r="BY48" i="36"/>
  <c r="BX48" i="36"/>
  <c r="BW48" i="36"/>
  <c r="BV48" i="36"/>
  <c r="BU48" i="36"/>
  <c r="BT48" i="36"/>
  <c r="BZ47" i="36"/>
  <c r="BX47" i="36"/>
  <c r="BV47" i="36"/>
  <c r="BT47" i="36"/>
  <c r="BZ46" i="36"/>
  <c r="BX46" i="36"/>
  <c r="BW46" i="36"/>
  <c r="BV46" i="36"/>
  <c r="BU46" i="36"/>
  <c r="BT46" i="36"/>
  <c r="CA43" i="36"/>
  <c r="BZ43" i="36"/>
  <c r="BY43" i="36"/>
  <c r="BX43" i="36"/>
  <c r="BW43" i="36"/>
  <c r="BV43" i="36"/>
  <c r="BU43" i="36"/>
  <c r="BT43" i="36"/>
  <c r="CA42" i="36"/>
  <c r="BZ42" i="36"/>
  <c r="BY42" i="36"/>
  <c r="BX42" i="36"/>
  <c r="BW42" i="36"/>
  <c r="BV42" i="36"/>
  <c r="BU42" i="36"/>
  <c r="BT42" i="36"/>
  <c r="CA41" i="36"/>
  <c r="BZ41" i="36"/>
  <c r="BY41" i="36"/>
  <c r="BX41" i="36"/>
  <c r="BW41" i="36"/>
  <c r="BV41" i="36"/>
  <c r="BU41" i="36"/>
  <c r="BT41" i="36"/>
  <c r="CA40" i="36"/>
  <c r="BZ40" i="36"/>
  <c r="BY40" i="36"/>
  <c r="BX40" i="36"/>
  <c r="BW40" i="36"/>
  <c r="BV40" i="36"/>
  <c r="BU40" i="36"/>
  <c r="BT40" i="36"/>
  <c r="CA39" i="36"/>
  <c r="BZ39" i="36"/>
  <c r="BY39" i="36"/>
  <c r="BX39" i="36"/>
  <c r="BW39" i="36"/>
  <c r="BV39" i="36"/>
  <c r="BU39" i="36"/>
  <c r="BT39" i="36"/>
  <c r="CA38" i="36"/>
  <c r="BZ38" i="36"/>
  <c r="BY38" i="36"/>
  <c r="BX38" i="36"/>
  <c r="BW38" i="36"/>
  <c r="BV38" i="36"/>
  <c r="BU38" i="36"/>
  <c r="BT38" i="36"/>
  <c r="CA37" i="36"/>
  <c r="BZ37" i="36"/>
  <c r="BY37" i="36"/>
  <c r="BX37" i="36"/>
  <c r="BW37" i="36"/>
  <c r="BV37" i="36"/>
  <c r="BU37" i="36"/>
  <c r="BT37" i="36"/>
  <c r="CA36" i="36"/>
  <c r="BZ36" i="36"/>
  <c r="BY36" i="36"/>
  <c r="BX36" i="36"/>
  <c r="BW36" i="36"/>
  <c r="BV36" i="36"/>
  <c r="BU36" i="36"/>
  <c r="BT36" i="36"/>
  <c r="CA35" i="36"/>
  <c r="BZ35" i="36"/>
  <c r="BY35" i="36"/>
  <c r="BX35" i="36"/>
  <c r="BW35" i="36"/>
  <c r="BV35" i="36"/>
  <c r="BU35" i="36"/>
  <c r="BT35" i="36"/>
  <c r="BR64" i="36"/>
  <c r="BQ64" i="36"/>
  <c r="BP64" i="36"/>
  <c r="BO64" i="36"/>
  <c r="BN64" i="36"/>
  <c r="BM64" i="36"/>
  <c r="BL64" i="36"/>
  <c r="BK64" i="36"/>
  <c r="BR63" i="36"/>
  <c r="BQ63" i="36"/>
  <c r="BP63" i="36"/>
  <c r="BO63" i="36"/>
  <c r="BN63" i="36"/>
  <c r="BM63" i="36"/>
  <c r="BL63" i="36"/>
  <c r="BK63" i="36"/>
  <c r="BR62" i="36"/>
  <c r="BR70" i="36" s="1"/>
  <c r="BQ62" i="36"/>
  <c r="BQ70" i="36" s="1"/>
  <c r="BP62" i="36"/>
  <c r="BO62" i="36"/>
  <c r="BN62" i="36"/>
  <c r="BN70" i="36" s="1"/>
  <c r="BM62" i="36"/>
  <c r="BM70" i="36" s="1"/>
  <c r="BL62" i="36"/>
  <c r="BK62" i="36"/>
  <c r="BR61" i="36"/>
  <c r="BQ61" i="36"/>
  <c r="BP61" i="36"/>
  <c r="BO61" i="36"/>
  <c r="BN61" i="36"/>
  <c r="BM61" i="36"/>
  <c r="BL61" i="36"/>
  <c r="BK61" i="36"/>
  <c r="BR60" i="36"/>
  <c r="BQ60" i="36"/>
  <c r="BP60" i="36"/>
  <c r="BO60" i="36"/>
  <c r="BN60" i="36"/>
  <c r="BM60" i="36"/>
  <c r="BL60" i="36"/>
  <c r="BK60" i="36"/>
  <c r="BR59" i="36"/>
  <c r="BQ59" i="36"/>
  <c r="BP59" i="36"/>
  <c r="BO59" i="36"/>
  <c r="BN59" i="36"/>
  <c r="BM59" i="36"/>
  <c r="BL59" i="36"/>
  <c r="BK59" i="36"/>
  <c r="BR58" i="36"/>
  <c r="BQ58" i="36"/>
  <c r="BP58" i="36"/>
  <c r="BO58" i="36"/>
  <c r="BN58" i="36"/>
  <c r="BM58" i="36"/>
  <c r="BL58" i="36"/>
  <c r="BK58" i="36"/>
  <c r="BR57" i="36"/>
  <c r="BQ57" i="36"/>
  <c r="BP57" i="36"/>
  <c r="BO57" i="36"/>
  <c r="BN57" i="36"/>
  <c r="BM57" i="36"/>
  <c r="BL57" i="36"/>
  <c r="BK57" i="36"/>
  <c r="BR56" i="36"/>
  <c r="BQ56" i="36"/>
  <c r="BP56" i="36"/>
  <c r="BO56" i="36"/>
  <c r="BN56" i="36"/>
  <c r="BM56" i="36"/>
  <c r="BL56" i="36"/>
  <c r="BK56" i="36"/>
  <c r="BR55" i="36"/>
  <c r="BQ55" i="36"/>
  <c r="BP55" i="36"/>
  <c r="BO55" i="36"/>
  <c r="BN55" i="36"/>
  <c r="BM55" i="36"/>
  <c r="BL55" i="36"/>
  <c r="BK55" i="36"/>
  <c r="BR54" i="36"/>
  <c r="BQ54" i="36"/>
  <c r="BP54" i="36"/>
  <c r="BO54" i="36"/>
  <c r="BN54" i="36"/>
  <c r="BM54" i="36"/>
  <c r="BL54" i="36"/>
  <c r="BK54" i="36"/>
  <c r="BR53" i="36"/>
  <c r="BQ53" i="36"/>
  <c r="BP53" i="36"/>
  <c r="BO53" i="36"/>
  <c r="BN53" i="36"/>
  <c r="BM53" i="36"/>
  <c r="BL53" i="36"/>
  <c r="BK53" i="36"/>
  <c r="BR52" i="36"/>
  <c r="BQ52" i="36"/>
  <c r="BP52" i="36"/>
  <c r="BO52" i="36"/>
  <c r="BN52" i="36"/>
  <c r="BM52" i="36"/>
  <c r="BL52" i="36"/>
  <c r="BK52" i="36"/>
  <c r="BR51" i="36"/>
  <c r="BQ51" i="36"/>
  <c r="BP51" i="36"/>
  <c r="BO51" i="36"/>
  <c r="BN51" i="36"/>
  <c r="BM51" i="36"/>
  <c r="BL51" i="36"/>
  <c r="BK51" i="36"/>
  <c r="BR50" i="36"/>
  <c r="BQ50" i="36"/>
  <c r="BP50" i="36"/>
  <c r="BO50" i="36"/>
  <c r="BN50" i="36"/>
  <c r="BM50" i="36"/>
  <c r="BL50" i="36"/>
  <c r="BK50" i="36"/>
  <c r="BR49" i="36"/>
  <c r="BQ49" i="36"/>
  <c r="BP49" i="36"/>
  <c r="BO49" i="36"/>
  <c r="BN49" i="36"/>
  <c r="BM49" i="36"/>
  <c r="BL49" i="36"/>
  <c r="BK49" i="36"/>
  <c r="BR48" i="36"/>
  <c r="BQ48" i="36"/>
  <c r="BP48" i="36"/>
  <c r="BO48" i="36"/>
  <c r="BN48" i="36"/>
  <c r="BM48" i="36"/>
  <c r="BL48" i="36"/>
  <c r="BK48" i="36"/>
  <c r="BR43" i="36"/>
  <c r="BQ43" i="36"/>
  <c r="BP43" i="36"/>
  <c r="BO43" i="36"/>
  <c r="BN43" i="36"/>
  <c r="BM43" i="36"/>
  <c r="BL43" i="36"/>
  <c r="BK43" i="36"/>
  <c r="BR42" i="36"/>
  <c r="BQ42" i="36"/>
  <c r="BP42" i="36"/>
  <c r="BO42" i="36"/>
  <c r="BN42" i="36"/>
  <c r="BM42" i="36"/>
  <c r="BL42" i="36"/>
  <c r="BK42" i="36"/>
  <c r="BR41" i="36"/>
  <c r="BQ41" i="36"/>
  <c r="BP41" i="36"/>
  <c r="BO41" i="36"/>
  <c r="BN41" i="36"/>
  <c r="BM41" i="36"/>
  <c r="BL41" i="36"/>
  <c r="BK41" i="36"/>
  <c r="BR40" i="36"/>
  <c r="BQ40" i="36"/>
  <c r="BP40" i="36"/>
  <c r="BO40" i="36"/>
  <c r="BN40" i="36"/>
  <c r="BM40" i="36"/>
  <c r="BL40" i="36"/>
  <c r="BK40" i="36"/>
  <c r="BR39" i="36"/>
  <c r="BQ39" i="36"/>
  <c r="BP39" i="36"/>
  <c r="BO39" i="36"/>
  <c r="BN39" i="36"/>
  <c r="BM39" i="36"/>
  <c r="BL39" i="36"/>
  <c r="BK39" i="36"/>
  <c r="BR38" i="36"/>
  <c r="BQ38" i="36"/>
  <c r="BP38" i="36"/>
  <c r="BO38" i="36"/>
  <c r="BN38" i="36"/>
  <c r="BM38" i="36"/>
  <c r="BL38" i="36"/>
  <c r="BK38" i="36"/>
  <c r="BR37" i="36"/>
  <c r="BQ37" i="36"/>
  <c r="BP37" i="36"/>
  <c r="BO37" i="36"/>
  <c r="BN37" i="36"/>
  <c r="BM37" i="36"/>
  <c r="BL37" i="36"/>
  <c r="BK37" i="36"/>
  <c r="BR36" i="36"/>
  <c r="BQ36" i="36"/>
  <c r="BP36" i="36"/>
  <c r="BO36" i="36"/>
  <c r="BN36" i="36"/>
  <c r="BM36" i="36"/>
  <c r="BL36" i="36"/>
  <c r="BK36" i="36"/>
  <c r="BR35" i="36"/>
  <c r="BQ35" i="36"/>
  <c r="BP35" i="36"/>
  <c r="BO35" i="36"/>
  <c r="BN35" i="36"/>
  <c r="BM35" i="36"/>
  <c r="BL35" i="36"/>
  <c r="BK35" i="36"/>
  <c r="BG64" i="36"/>
  <c r="BF64" i="36"/>
  <c r="BE64" i="36"/>
  <c r="BD64" i="36"/>
  <c r="BC64" i="36"/>
  <c r="BB64" i="36"/>
  <c r="BA64" i="36"/>
  <c r="AZ64" i="36"/>
  <c r="BG63" i="36"/>
  <c r="BF63" i="36"/>
  <c r="BE63" i="36"/>
  <c r="BD63" i="36"/>
  <c r="BC63" i="36"/>
  <c r="BB63" i="36"/>
  <c r="BA63" i="36"/>
  <c r="AZ63" i="36"/>
  <c r="BG62" i="36"/>
  <c r="BG70" i="36" s="1"/>
  <c r="BF62" i="36"/>
  <c r="BF70" i="36" s="1"/>
  <c r="BE62" i="36"/>
  <c r="BD62" i="36"/>
  <c r="BC62" i="36"/>
  <c r="BC70" i="36" s="1"/>
  <c r="BB62" i="36"/>
  <c r="BB70" i="36" s="1"/>
  <c r="BA62" i="36"/>
  <c r="AZ62" i="36"/>
  <c r="BG61" i="36"/>
  <c r="BF61" i="36"/>
  <c r="BE61" i="36"/>
  <c r="BD61" i="36"/>
  <c r="BC61" i="36"/>
  <c r="BB61" i="36"/>
  <c r="BA61" i="36"/>
  <c r="AZ61" i="36"/>
  <c r="BG60" i="36"/>
  <c r="BF60" i="36"/>
  <c r="BE60" i="36"/>
  <c r="BD60" i="36"/>
  <c r="BC60" i="36"/>
  <c r="BB60" i="36"/>
  <c r="BA60" i="36"/>
  <c r="AZ60" i="36"/>
  <c r="BG59" i="36"/>
  <c r="BF59" i="36"/>
  <c r="BE59" i="36"/>
  <c r="BD59" i="36"/>
  <c r="BC59" i="36"/>
  <c r="BB59" i="36"/>
  <c r="BA59" i="36"/>
  <c r="AZ59" i="36"/>
  <c r="BG58" i="36"/>
  <c r="BF58" i="36"/>
  <c r="BE58" i="36"/>
  <c r="BD58" i="36"/>
  <c r="BC58" i="36"/>
  <c r="BB58" i="36"/>
  <c r="BA58" i="36"/>
  <c r="AZ58" i="36"/>
  <c r="BG57" i="36"/>
  <c r="BF57" i="36"/>
  <c r="BE57" i="36"/>
  <c r="BD57" i="36"/>
  <c r="BC57" i="36"/>
  <c r="BB57" i="36"/>
  <c r="BA57" i="36"/>
  <c r="AZ57" i="36"/>
  <c r="BG56" i="36"/>
  <c r="BF56" i="36"/>
  <c r="BE56" i="36"/>
  <c r="BD56" i="36"/>
  <c r="BC56" i="36"/>
  <c r="BB56" i="36"/>
  <c r="BA56" i="36"/>
  <c r="AZ56" i="36"/>
  <c r="BG55" i="36"/>
  <c r="BF55" i="36"/>
  <c r="BE55" i="36"/>
  <c r="BD55" i="36"/>
  <c r="BC55" i="36"/>
  <c r="BB55" i="36"/>
  <c r="BA55" i="36"/>
  <c r="AZ55" i="36"/>
  <c r="BG54" i="36"/>
  <c r="BF54" i="36"/>
  <c r="BE54" i="36"/>
  <c r="BD54" i="36"/>
  <c r="BC54" i="36"/>
  <c r="BB54" i="36"/>
  <c r="BA54" i="36"/>
  <c r="AZ54" i="36"/>
  <c r="BG53" i="36"/>
  <c r="BF53" i="36"/>
  <c r="BE53" i="36"/>
  <c r="BD53" i="36"/>
  <c r="BC53" i="36"/>
  <c r="BB53" i="36"/>
  <c r="BA53" i="36"/>
  <c r="AZ53" i="36"/>
  <c r="BG52" i="36"/>
  <c r="BF52" i="36"/>
  <c r="BE52" i="36"/>
  <c r="BD52" i="36"/>
  <c r="BC52" i="36"/>
  <c r="BB52" i="36"/>
  <c r="BA52" i="36"/>
  <c r="AZ52" i="36"/>
  <c r="BG51" i="36"/>
  <c r="BF51" i="36"/>
  <c r="BE51" i="36"/>
  <c r="BD51" i="36"/>
  <c r="BC51" i="36"/>
  <c r="BB51" i="36"/>
  <c r="BA51" i="36"/>
  <c r="AZ51" i="36"/>
  <c r="BG50" i="36"/>
  <c r="BF50" i="36"/>
  <c r="BE50" i="36"/>
  <c r="BD50" i="36"/>
  <c r="BC50" i="36"/>
  <c r="BB50" i="36"/>
  <c r="BA50" i="36"/>
  <c r="AZ50" i="36"/>
  <c r="BG49" i="36"/>
  <c r="BF49" i="36"/>
  <c r="BE49" i="36"/>
  <c r="BD49" i="36"/>
  <c r="BC49" i="36"/>
  <c r="BB49" i="36"/>
  <c r="BA49" i="36"/>
  <c r="AZ49" i="36"/>
  <c r="BG48" i="36"/>
  <c r="BF48" i="36"/>
  <c r="BE48" i="36"/>
  <c r="BD48" i="36"/>
  <c r="BC48" i="36"/>
  <c r="BB48" i="36"/>
  <c r="BA48" i="36"/>
  <c r="AZ48" i="36"/>
  <c r="BF47" i="36"/>
  <c r="BD47" i="36"/>
  <c r="BB47" i="36"/>
  <c r="AZ47" i="36"/>
  <c r="BG46" i="36"/>
  <c r="BF46" i="36"/>
  <c r="BE46" i="36"/>
  <c r="BD46" i="36"/>
  <c r="BC46" i="36"/>
  <c r="BB46" i="36"/>
  <c r="BA46" i="36"/>
  <c r="AZ46" i="36"/>
  <c r="BG43" i="36"/>
  <c r="BF43" i="36"/>
  <c r="BE43" i="36"/>
  <c r="BD43" i="36"/>
  <c r="BC43" i="36"/>
  <c r="BB43" i="36"/>
  <c r="BA43" i="36"/>
  <c r="AZ43" i="36"/>
  <c r="BG42" i="36"/>
  <c r="BF42" i="36"/>
  <c r="BE42" i="36"/>
  <c r="BD42" i="36"/>
  <c r="BC42" i="36"/>
  <c r="BB42" i="36"/>
  <c r="BA42" i="36"/>
  <c r="AZ42" i="36"/>
  <c r="BG41" i="36"/>
  <c r="BF41" i="36"/>
  <c r="BE41" i="36"/>
  <c r="BD41" i="36"/>
  <c r="BC41" i="36"/>
  <c r="BB41" i="36"/>
  <c r="BA41" i="36"/>
  <c r="AZ41" i="36"/>
  <c r="BG40" i="36"/>
  <c r="BF40" i="36"/>
  <c r="BE40" i="36"/>
  <c r="BD40" i="36"/>
  <c r="BC40" i="36"/>
  <c r="BB40" i="36"/>
  <c r="BA40" i="36"/>
  <c r="AZ40" i="36"/>
  <c r="BG39" i="36"/>
  <c r="BF39" i="36"/>
  <c r="BE39" i="36"/>
  <c r="BD39" i="36"/>
  <c r="BC39" i="36"/>
  <c r="BB39" i="36"/>
  <c r="BA39" i="36"/>
  <c r="AZ39" i="36"/>
  <c r="BG38" i="36"/>
  <c r="BF38" i="36"/>
  <c r="BE38" i="36"/>
  <c r="BD38" i="36"/>
  <c r="BC38" i="36"/>
  <c r="BB38" i="36"/>
  <c r="BA38" i="36"/>
  <c r="AZ38" i="36"/>
  <c r="BG37" i="36"/>
  <c r="BF37" i="36"/>
  <c r="BE37" i="36"/>
  <c r="BD37" i="36"/>
  <c r="BC37" i="36"/>
  <c r="BB37" i="36"/>
  <c r="BA37" i="36"/>
  <c r="AZ37" i="36"/>
  <c r="BG36" i="36"/>
  <c r="BF36" i="36"/>
  <c r="BE36" i="36"/>
  <c r="BD36" i="36"/>
  <c r="BC36" i="36"/>
  <c r="BB36" i="36"/>
  <c r="BA36" i="36"/>
  <c r="AZ36" i="36"/>
  <c r="BG35" i="36"/>
  <c r="BF35" i="36"/>
  <c r="BE35" i="36"/>
  <c r="BD35" i="36"/>
  <c r="BC35" i="36"/>
  <c r="BB35" i="36"/>
  <c r="BA35" i="36"/>
  <c r="AZ35" i="36"/>
  <c r="AX64" i="36"/>
  <c r="AW64" i="36"/>
  <c r="AV64" i="36"/>
  <c r="AU64" i="36"/>
  <c r="AT64" i="36"/>
  <c r="AS64" i="36"/>
  <c r="AR64" i="36"/>
  <c r="AQ64" i="36"/>
  <c r="AX63" i="36"/>
  <c r="AW63" i="36"/>
  <c r="AV63" i="36"/>
  <c r="AU63" i="36"/>
  <c r="AT63" i="36"/>
  <c r="AS63" i="36"/>
  <c r="AR63" i="36"/>
  <c r="AQ63" i="36"/>
  <c r="AX62" i="36"/>
  <c r="AX70" i="36" s="1"/>
  <c r="AW62" i="36"/>
  <c r="AW70" i="36" s="1"/>
  <c r="AV62" i="36"/>
  <c r="AU62" i="36"/>
  <c r="AT62" i="36"/>
  <c r="AT70" i="36" s="1"/>
  <c r="AS62" i="36"/>
  <c r="AS70" i="36" s="1"/>
  <c r="AR62" i="36"/>
  <c r="AQ62" i="36"/>
  <c r="AX61" i="36"/>
  <c r="AW61" i="36"/>
  <c r="AV61" i="36"/>
  <c r="AU61" i="36"/>
  <c r="AT61" i="36"/>
  <c r="AS61" i="36"/>
  <c r="AR61" i="36"/>
  <c r="AQ61" i="36"/>
  <c r="AX60" i="36"/>
  <c r="AW60" i="36"/>
  <c r="AV60" i="36"/>
  <c r="AU60" i="36"/>
  <c r="AT60" i="36"/>
  <c r="AS60" i="36"/>
  <c r="AR60" i="36"/>
  <c r="AQ60" i="36"/>
  <c r="AX59" i="36"/>
  <c r="AW59" i="36"/>
  <c r="AV59" i="36"/>
  <c r="AU59" i="36"/>
  <c r="AT59" i="36"/>
  <c r="AS59" i="36"/>
  <c r="AR59" i="36"/>
  <c r="AQ59" i="36"/>
  <c r="AX58" i="36"/>
  <c r="AW58" i="36"/>
  <c r="AV58" i="36"/>
  <c r="AU58" i="36"/>
  <c r="AT58" i="36"/>
  <c r="AS58" i="36"/>
  <c r="AR58" i="36"/>
  <c r="AQ58" i="36"/>
  <c r="AX57" i="36"/>
  <c r="AW57" i="36"/>
  <c r="AV57" i="36"/>
  <c r="AU57" i="36"/>
  <c r="AT57" i="36"/>
  <c r="AS57" i="36"/>
  <c r="AR57" i="36"/>
  <c r="AQ57" i="36"/>
  <c r="AX56" i="36"/>
  <c r="AW56" i="36"/>
  <c r="AV56" i="36"/>
  <c r="AU56" i="36"/>
  <c r="AT56" i="36"/>
  <c r="AS56" i="36"/>
  <c r="AR56" i="36"/>
  <c r="AQ56" i="36"/>
  <c r="AX55" i="36"/>
  <c r="AW55" i="36"/>
  <c r="AV55" i="36"/>
  <c r="AU55" i="36"/>
  <c r="AT55" i="36"/>
  <c r="AS55" i="36"/>
  <c r="AR55" i="36"/>
  <c r="AQ55" i="36"/>
  <c r="AX54" i="36"/>
  <c r="AW54" i="36"/>
  <c r="AV54" i="36"/>
  <c r="AU54" i="36"/>
  <c r="AT54" i="36"/>
  <c r="AS54" i="36"/>
  <c r="AR54" i="36"/>
  <c r="AQ54" i="36"/>
  <c r="AX53" i="36"/>
  <c r="AW53" i="36"/>
  <c r="AV53" i="36"/>
  <c r="AU53" i="36"/>
  <c r="AT53" i="36"/>
  <c r="AS53" i="36"/>
  <c r="AR53" i="36"/>
  <c r="AQ53" i="36"/>
  <c r="AX52" i="36"/>
  <c r="AW52" i="36"/>
  <c r="AV52" i="36"/>
  <c r="AU52" i="36"/>
  <c r="AT52" i="36"/>
  <c r="AS52" i="36"/>
  <c r="AR52" i="36"/>
  <c r="AQ52" i="36"/>
  <c r="AX51" i="36"/>
  <c r="AW51" i="36"/>
  <c r="AV51" i="36"/>
  <c r="AU51" i="36"/>
  <c r="AT51" i="36"/>
  <c r="AS51" i="36"/>
  <c r="AR51" i="36"/>
  <c r="AQ51" i="36"/>
  <c r="AX50" i="36"/>
  <c r="AW50" i="36"/>
  <c r="AV50" i="36"/>
  <c r="AU50" i="36"/>
  <c r="AT50" i="36"/>
  <c r="AS50" i="36"/>
  <c r="AR50" i="36"/>
  <c r="AQ50" i="36"/>
  <c r="AX49" i="36"/>
  <c r="AW49" i="36"/>
  <c r="AV49" i="36"/>
  <c r="AU49" i="36"/>
  <c r="AT49" i="36"/>
  <c r="AS49" i="36"/>
  <c r="AR49" i="36"/>
  <c r="AQ49" i="36"/>
  <c r="AX48" i="36"/>
  <c r="AW48" i="36"/>
  <c r="AV48" i="36"/>
  <c r="AU48" i="36"/>
  <c r="AT48" i="36"/>
  <c r="AS48" i="36"/>
  <c r="AR48" i="36"/>
  <c r="AQ48" i="36"/>
  <c r="AX43" i="36"/>
  <c r="AW43" i="36"/>
  <c r="AV43" i="36"/>
  <c r="AU43" i="36"/>
  <c r="AT43" i="36"/>
  <c r="AS43" i="36"/>
  <c r="AR43" i="36"/>
  <c r="AQ43" i="36"/>
  <c r="AX42" i="36"/>
  <c r="AW42" i="36"/>
  <c r="AV42" i="36"/>
  <c r="AU42" i="36"/>
  <c r="AT42" i="36"/>
  <c r="AS42" i="36"/>
  <c r="AR42" i="36"/>
  <c r="AQ42" i="36"/>
  <c r="AX41" i="36"/>
  <c r="AW41" i="36"/>
  <c r="AV41" i="36"/>
  <c r="AU41" i="36"/>
  <c r="AT41" i="36"/>
  <c r="AS41" i="36"/>
  <c r="AR41" i="36"/>
  <c r="AQ41" i="36"/>
  <c r="AX40" i="36"/>
  <c r="AW40" i="36"/>
  <c r="AV40" i="36"/>
  <c r="AU40" i="36"/>
  <c r="AT40" i="36"/>
  <c r="AS40" i="36"/>
  <c r="AR40" i="36"/>
  <c r="AQ40" i="36"/>
  <c r="AX39" i="36"/>
  <c r="AW39" i="36"/>
  <c r="AV39" i="36"/>
  <c r="AU39" i="36"/>
  <c r="AT39" i="36"/>
  <c r="AS39" i="36"/>
  <c r="AR39" i="36"/>
  <c r="AQ39" i="36"/>
  <c r="AX38" i="36"/>
  <c r="AW38" i="36"/>
  <c r="AV38" i="36"/>
  <c r="AU38" i="36"/>
  <c r="AT38" i="36"/>
  <c r="AS38" i="36"/>
  <c r="AR38" i="36"/>
  <c r="AQ38" i="36"/>
  <c r="AX37" i="36"/>
  <c r="AW37" i="36"/>
  <c r="AV37" i="36"/>
  <c r="AU37" i="36"/>
  <c r="AT37" i="36"/>
  <c r="AS37" i="36"/>
  <c r="AR37" i="36"/>
  <c r="AQ37" i="36"/>
  <c r="AX36" i="36"/>
  <c r="AW36" i="36"/>
  <c r="AV36" i="36"/>
  <c r="AU36" i="36"/>
  <c r="AT36" i="36"/>
  <c r="AS36" i="36"/>
  <c r="AR36" i="36"/>
  <c r="AQ36" i="36"/>
  <c r="AX35" i="36"/>
  <c r="AW35" i="36"/>
  <c r="AV35" i="36"/>
  <c r="AU35" i="36"/>
  <c r="AT35" i="36"/>
  <c r="AS35" i="36"/>
  <c r="AR35" i="36"/>
  <c r="AQ35" i="36"/>
  <c r="AM64" i="36"/>
  <c r="AL64" i="36"/>
  <c r="AK64" i="36"/>
  <c r="AJ64" i="36"/>
  <c r="AI64" i="36"/>
  <c r="AH64" i="36"/>
  <c r="AG64" i="36"/>
  <c r="AF64" i="36"/>
  <c r="AM63" i="36"/>
  <c r="AL63" i="36"/>
  <c r="AK63" i="36"/>
  <c r="AJ63" i="36"/>
  <c r="AI63" i="36"/>
  <c r="AH63" i="36"/>
  <c r="AG63" i="36"/>
  <c r="AF63" i="36"/>
  <c r="AM62" i="36"/>
  <c r="AM70" i="36" s="1"/>
  <c r="AL62" i="36"/>
  <c r="AL70" i="36" s="1"/>
  <c r="AK62" i="36"/>
  <c r="AJ62" i="36"/>
  <c r="AI62" i="36"/>
  <c r="AI70" i="36" s="1"/>
  <c r="AH62" i="36"/>
  <c r="AH70" i="36" s="1"/>
  <c r="AG62" i="36"/>
  <c r="AF62" i="36"/>
  <c r="AM61" i="36"/>
  <c r="AL61" i="36"/>
  <c r="AK61" i="36"/>
  <c r="AJ61" i="36"/>
  <c r="AI61" i="36"/>
  <c r="AH61" i="36"/>
  <c r="AG61" i="36"/>
  <c r="AF61" i="36"/>
  <c r="AM60" i="36"/>
  <c r="AL60" i="36"/>
  <c r="AK60" i="36"/>
  <c r="AJ60" i="36"/>
  <c r="AI60" i="36"/>
  <c r="AH60" i="36"/>
  <c r="AG60" i="36"/>
  <c r="AF60" i="36"/>
  <c r="AM59" i="36"/>
  <c r="AL59" i="36"/>
  <c r="AK59" i="36"/>
  <c r="AJ59" i="36"/>
  <c r="AI59" i="36"/>
  <c r="AH59" i="36"/>
  <c r="AG59" i="36"/>
  <c r="AF59" i="36"/>
  <c r="AM58" i="36"/>
  <c r="AL58" i="36"/>
  <c r="AK58" i="36"/>
  <c r="AJ58" i="36"/>
  <c r="AI58" i="36"/>
  <c r="AH58" i="36"/>
  <c r="AG58" i="36"/>
  <c r="AF58" i="36"/>
  <c r="AM57" i="36"/>
  <c r="AL57" i="36"/>
  <c r="AK57" i="36"/>
  <c r="AJ57" i="36"/>
  <c r="AI57" i="36"/>
  <c r="AH57" i="36"/>
  <c r="AG57" i="36"/>
  <c r="AF57" i="36"/>
  <c r="AM56" i="36"/>
  <c r="AL56" i="36"/>
  <c r="AK56" i="36"/>
  <c r="AJ56" i="36"/>
  <c r="AI56" i="36"/>
  <c r="AH56" i="36"/>
  <c r="AG56" i="36"/>
  <c r="AF56" i="36"/>
  <c r="AM55" i="36"/>
  <c r="AL55" i="36"/>
  <c r="AK55" i="36"/>
  <c r="AJ55" i="36"/>
  <c r="AI55" i="36"/>
  <c r="AH55" i="36"/>
  <c r="AG55" i="36"/>
  <c r="AF55" i="36"/>
  <c r="AM54" i="36"/>
  <c r="AL54" i="36"/>
  <c r="AK54" i="36"/>
  <c r="AJ54" i="36"/>
  <c r="AI54" i="36"/>
  <c r="AH54" i="36"/>
  <c r="AG54" i="36"/>
  <c r="AF54" i="36"/>
  <c r="AM53" i="36"/>
  <c r="AL53" i="36"/>
  <c r="AK53" i="36"/>
  <c r="AJ53" i="36"/>
  <c r="AI53" i="36"/>
  <c r="AH53" i="36"/>
  <c r="AG53" i="36"/>
  <c r="AF53" i="36"/>
  <c r="AM52" i="36"/>
  <c r="AL52" i="36"/>
  <c r="AK52" i="36"/>
  <c r="AJ52" i="36"/>
  <c r="AI52" i="36"/>
  <c r="AH52" i="36"/>
  <c r="AG52" i="36"/>
  <c r="AF52" i="36"/>
  <c r="AM51" i="36"/>
  <c r="AL51" i="36"/>
  <c r="AK51" i="36"/>
  <c r="AJ51" i="36"/>
  <c r="AI51" i="36"/>
  <c r="AH51" i="36"/>
  <c r="AG51" i="36"/>
  <c r="AF51" i="36"/>
  <c r="AM50" i="36"/>
  <c r="AL50" i="36"/>
  <c r="AK50" i="36"/>
  <c r="AJ50" i="36"/>
  <c r="AI50" i="36"/>
  <c r="AH50" i="36"/>
  <c r="AG50" i="36"/>
  <c r="AF50" i="36"/>
  <c r="AM49" i="36"/>
  <c r="AL49" i="36"/>
  <c r="AK49" i="36"/>
  <c r="AJ49" i="36"/>
  <c r="AI49" i="36"/>
  <c r="AH49" i="36"/>
  <c r="AG49" i="36"/>
  <c r="AF49" i="36"/>
  <c r="AM48" i="36"/>
  <c r="AL48" i="36"/>
  <c r="AK48" i="36"/>
  <c r="AJ48" i="36"/>
  <c r="AI48" i="36"/>
  <c r="AH48" i="36"/>
  <c r="AG48" i="36"/>
  <c r="AF48" i="36"/>
  <c r="AL47" i="36"/>
  <c r="AJ47" i="36"/>
  <c r="AH47" i="36"/>
  <c r="AF47" i="36"/>
  <c r="AM46" i="36"/>
  <c r="AL46" i="36"/>
  <c r="AK46" i="36"/>
  <c r="AJ46" i="36"/>
  <c r="AI46" i="36"/>
  <c r="AH46" i="36"/>
  <c r="AG46" i="36"/>
  <c r="AF46" i="36"/>
  <c r="AM43" i="36"/>
  <c r="AL43" i="36"/>
  <c r="AK43" i="36"/>
  <c r="AJ43" i="36"/>
  <c r="AI43" i="36"/>
  <c r="AH43" i="36"/>
  <c r="AG43" i="36"/>
  <c r="AF43" i="36"/>
  <c r="AM42" i="36"/>
  <c r="AL42" i="36"/>
  <c r="AK42" i="36"/>
  <c r="AJ42" i="36"/>
  <c r="AI42" i="36"/>
  <c r="AH42" i="36"/>
  <c r="AG42" i="36"/>
  <c r="AF42" i="36"/>
  <c r="AM41" i="36"/>
  <c r="AL41" i="36"/>
  <c r="AK41" i="36"/>
  <c r="AJ41" i="36"/>
  <c r="AI41" i="36"/>
  <c r="AH41" i="36"/>
  <c r="AG41" i="36"/>
  <c r="AF41" i="36"/>
  <c r="AM40" i="36"/>
  <c r="AL40" i="36"/>
  <c r="AK40" i="36"/>
  <c r="AJ40" i="36"/>
  <c r="AI40" i="36"/>
  <c r="AH40" i="36"/>
  <c r="AG40" i="36"/>
  <c r="AF40" i="36"/>
  <c r="AM39" i="36"/>
  <c r="AL39" i="36"/>
  <c r="AK39" i="36"/>
  <c r="AJ39" i="36"/>
  <c r="AI39" i="36"/>
  <c r="AH39" i="36"/>
  <c r="AG39" i="36"/>
  <c r="AF39" i="36"/>
  <c r="AM38" i="36"/>
  <c r="AL38" i="36"/>
  <c r="AK38" i="36"/>
  <c r="AJ38" i="36"/>
  <c r="AI38" i="36"/>
  <c r="AH38" i="36"/>
  <c r="AG38" i="36"/>
  <c r="AF38" i="36"/>
  <c r="AM37" i="36"/>
  <c r="AL37" i="36"/>
  <c r="AK37" i="36"/>
  <c r="AJ37" i="36"/>
  <c r="AI37" i="36"/>
  <c r="AH37" i="36"/>
  <c r="AG37" i="36"/>
  <c r="AF37" i="36"/>
  <c r="AM36" i="36"/>
  <c r="AL36" i="36"/>
  <c r="AK36" i="36"/>
  <c r="AJ36" i="36"/>
  <c r="AI36" i="36"/>
  <c r="AH36" i="36"/>
  <c r="AG36" i="36"/>
  <c r="AF36" i="36"/>
  <c r="AM35" i="36"/>
  <c r="AL35" i="36"/>
  <c r="AK35" i="36"/>
  <c r="AJ35" i="36"/>
  <c r="AI35" i="36"/>
  <c r="AH35" i="36"/>
  <c r="AG35" i="36"/>
  <c r="AF35" i="36"/>
  <c r="AD64" i="36"/>
  <c r="AC64" i="36"/>
  <c r="AB64" i="36"/>
  <c r="AA64" i="36"/>
  <c r="Z64" i="36"/>
  <c r="Y64" i="36"/>
  <c r="X64" i="36"/>
  <c r="W64" i="36"/>
  <c r="AD63" i="36"/>
  <c r="AC63" i="36"/>
  <c r="AB63" i="36"/>
  <c r="AA63" i="36"/>
  <c r="Z63" i="36"/>
  <c r="Y63" i="36"/>
  <c r="X63" i="36"/>
  <c r="W63" i="36"/>
  <c r="AD62" i="36"/>
  <c r="AD70" i="36" s="1"/>
  <c r="AC62" i="36"/>
  <c r="AC70" i="36" s="1"/>
  <c r="AB62" i="36"/>
  <c r="AA62" i="36"/>
  <c r="Z62" i="36"/>
  <c r="Z70" i="36" s="1"/>
  <c r="Y62" i="36"/>
  <c r="Y70" i="36" s="1"/>
  <c r="X62" i="36"/>
  <c r="W62" i="36"/>
  <c r="AD61" i="36"/>
  <c r="AC61" i="36"/>
  <c r="AB61" i="36"/>
  <c r="AA61" i="36"/>
  <c r="Z61" i="36"/>
  <c r="Y61" i="36"/>
  <c r="X61" i="36"/>
  <c r="W61" i="36"/>
  <c r="AD60" i="36"/>
  <c r="AC60" i="36"/>
  <c r="AB60" i="36"/>
  <c r="AA60" i="36"/>
  <c r="Z60" i="36"/>
  <c r="Y60" i="36"/>
  <c r="X60" i="36"/>
  <c r="W60" i="36"/>
  <c r="AD59" i="36"/>
  <c r="AC59" i="36"/>
  <c r="AB59" i="36"/>
  <c r="AA59" i="36"/>
  <c r="Z59" i="36"/>
  <c r="Y59" i="36"/>
  <c r="X59" i="36"/>
  <c r="W59" i="36"/>
  <c r="AD58" i="36"/>
  <c r="AC58" i="36"/>
  <c r="AB58" i="36"/>
  <c r="AA58" i="36"/>
  <c r="Z58" i="36"/>
  <c r="Y58" i="36"/>
  <c r="X58" i="36"/>
  <c r="W58" i="36"/>
  <c r="AD57" i="36"/>
  <c r="AC57" i="36"/>
  <c r="AB57" i="36"/>
  <c r="AA57" i="36"/>
  <c r="Z57" i="36"/>
  <c r="Y57" i="36"/>
  <c r="X57" i="36"/>
  <c r="W57" i="36"/>
  <c r="AD56" i="36"/>
  <c r="AC56" i="36"/>
  <c r="AB56" i="36"/>
  <c r="AA56" i="36"/>
  <c r="Z56" i="36"/>
  <c r="Y56" i="36"/>
  <c r="X56" i="36"/>
  <c r="W56" i="36"/>
  <c r="AD55" i="36"/>
  <c r="AC55" i="36"/>
  <c r="AB55" i="36"/>
  <c r="AA55" i="36"/>
  <c r="Z55" i="36"/>
  <c r="Y55" i="36"/>
  <c r="X55" i="36"/>
  <c r="W55" i="36"/>
  <c r="AD54" i="36"/>
  <c r="AC54" i="36"/>
  <c r="AB54" i="36"/>
  <c r="AA54" i="36"/>
  <c r="Z54" i="36"/>
  <c r="Y54" i="36"/>
  <c r="X54" i="36"/>
  <c r="W54" i="36"/>
  <c r="AD53" i="36"/>
  <c r="AC53" i="36"/>
  <c r="AB53" i="36"/>
  <c r="AA53" i="36"/>
  <c r="Z53" i="36"/>
  <c r="Y53" i="36"/>
  <c r="X53" i="36"/>
  <c r="W53" i="36"/>
  <c r="AD52" i="36"/>
  <c r="AC52" i="36"/>
  <c r="AB52" i="36"/>
  <c r="AA52" i="36"/>
  <c r="Z52" i="36"/>
  <c r="Y52" i="36"/>
  <c r="X52" i="36"/>
  <c r="W52" i="36"/>
  <c r="AD51" i="36"/>
  <c r="AC51" i="36"/>
  <c r="AB51" i="36"/>
  <c r="AA51" i="36"/>
  <c r="Z51" i="36"/>
  <c r="Y51" i="36"/>
  <c r="X51" i="36"/>
  <c r="W51" i="36"/>
  <c r="AD50" i="36"/>
  <c r="AC50" i="36"/>
  <c r="AB50" i="36"/>
  <c r="AA50" i="36"/>
  <c r="Z50" i="36"/>
  <c r="Y50" i="36"/>
  <c r="X50" i="36"/>
  <c r="W50" i="36"/>
  <c r="AD49" i="36"/>
  <c r="AC49" i="36"/>
  <c r="AB49" i="36"/>
  <c r="AA49" i="36"/>
  <c r="Z49" i="36"/>
  <c r="Y49" i="36"/>
  <c r="X49" i="36"/>
  <c r="W49" i="36"/>
  <c r="AD48" i="36"/>
  <c r="AC48" i="36"/>
  <c r="AB48" i="36"/>
  <c r="AA48" i="36"/>
  <c r="Z48" i="36"/>
  <c r="Y48" i="36"/>
  <c r="X48" i="36"/>
  <c r="W48" i="36"/>
  <c r="AD43" i="36"/>
  <c r="AC43" i="36"/>
  <c r="AB43" i="36"/>
  <c r="AA43" i="36"/>
  <c r="Z43" i="36"/>
  <c r="Y43" i="36"/>
  <c r="X43" i="36"/>
  <c r="W43" i="36"/>
  <c r="AD42" i="36"/>
  <c r="AC42" i="36"/>
  <c r="AB42" i="36"/>
  <c r="AA42" i="36"/>
  <c r="Z42" i="36"/>
  <c r="Y42" i="36"/>
  <c r="X42" i="36"/>
  <c r="W42" i="36"/>
  <c r="AD41" i="36"/>
  <c r="AC41" i="36"/>
  <c r="AB41" i="36"/>
  <c r="AA41" i="36"/>
  <c r="Z41" i="36"/>
  <c r="Y41" i="36"/>
  <c r="X41" i="36"/>
  <c r="W41" i="36"/>
  <c r="AD40" i="36"/>
  <c r="AC40" i="36"/>
  <c r="AB40" i="36"/>
  <c r="AA40" i="36"/>
  <c r="Z40" i="36"/>
  <c r="Y40" i="36"/>
  <c r="X40" i="36"/>
  <c r="W40" i="36"/>
  <c r="AD39" i="36"/>
  <c r="AC39" i="36"/>
  <c r="AB39" i="36"/>
  <c r="AA39" i="36"/>
  <c r="Z39" i="36"/>
  <c r="Y39" i="36"/>
  <c r="X39" i="36"/>
  <c r="W39" i="36"/>
  <c r="AD38" i="36"/>
  <c r="AC38" i="36"/>
  <c r="AB38" i="36"/>
  <c r="AA38" i="36"/>
  <c r="Z38" i="36"/>
  <c r="Y38" i="36"/>
  <c r="X38" i="36"/>
  <c r="W38" i="36"/>
  <c r="AD37" i="36"/>
  <c r="AC37" i="36"/>
  <c r="AB37" i="36"/>
  <c r="AA37" i="36"/>
  <c r="Z37" i="36"/>
  <c r="Y37" i="36"/>
  <c r="X37" i="36"/>
  <c r="W37" i="36"/>
  <c r="AD36" i="36"/>
  <c r="AC36" i="36"/>
  <c r="AB36" i="36"/>
  <c r="AA36" i="36"/>
  <c r="Z36" i="36"/>
  <c r="Y36" i="36"/>
  <c r="X36" i="36"/>
  <c r="W36" i="36"/>
  <c r="AD35" i="36"/>
  <c r="AC35" i="36"/>
  <c r="AB35" i="36"/>
  <c r="AA35" i="36"/>
  <c r="Z35" i="36"/>
  <c r="Y35" i="36"/>
  <c r="X35" i="36"/>
  <c r="W35" i="36"/>
  <c r="S64" i="36"/>
  <c r="R64" i="36"/>
  <c r="Q64" i="36"/>
  <c r="P64" i="36"/>
  <c r="O64" i="36"/>
  <c r="N64" i="36"/>
  <c r="M64" i="36"/>
  <c r="L64" i="36"/>
  <c r="S63" i="36"/>
  <c r="R63" i="36"/>
  <c r="Q63" i="36"/>
  <c r="P63" i="36"/>
  <c r="O63" i="36"/>
  <c r="N63" i="36"/>
  <c r="M63" i="36"/>
  <c r="L63" i="36"/>
  <c r="S62" i="36"/>
  <c r="S70" i="36" s="1"/>
  <c r="R62" i="36"/>
  <c r="R70" i="36" s="1"/>
  <c r="Q62" i="36"/>
  <c r="P62" i="36"/>
  <c r="O62" i="36"/>
  <c r="O70" i="36" s="1"/>
  <c r="N62" i="36"/>
  <c r="N70" i="36" s="1"/>
  <c r="M62" i="36"/>
  <c r="L62" i="36"/>
  <c r="S61" i="36"/>
  <c r="R61" i="36"/>
  <c r="Q61" i="36"/>
  <c r="P61" i="36"/>
  <c r="O61" i="36"/>
  <c r="N61" i="36"/>
  <c r="M61" i="36"/>
  <c r="L61" i="36"/>
  <c r="S60" i="36"/>
  <c r="R60" i="36"/>
  <c r="Q60" i="36"/>
  <c r="P60" i="36"/>
  <c r="O60" i="36"/>
  <c r="N60" i="36"/>
  <c r="M60" i="36"/>
  <c r="L60" i="36"/>
  <c r="S59" i="36"/>
  <c r="R59" i="36"/>
  <c r="Q59" i="36"/>
  <c r="P59" i="36"/>
  <c r="O59" i="36"/>
  <c r="N59" i="36"/>
  <c r="M59" i="36"/>
  <c r="L59" i="36"/>
  <c r="S58" i="36"/>
  <c r="R58" i="36"/>
  <c r="Q58" i="36"/>
  <c r="P58" i="36"/>
  <c r="O58" i="36"/>
  <c r="N58" i="36"/>
  <c r="M58" i="36"/>
  <c r="L58" i="36"/>
  <c r="S57" i="36"/>
  <c r="R57" i="36"/>
  <c r="Q57" i="36"/>
  <c r="P57" i="36"/>
  <c r="O57" i="36"/>
  <c r="N57" i="36"/>
  <c r="M57" i="36"/>
  <c r="L57" i="36"/>
  <c r="S56" i="36"/>
  <c r="R56" i="36"/>
  <c r="Q56" i="36"/>
  <c r="P56" i="36"/>
  <c r="O56" i="36"/>
  <c r="N56" i="36"/>
  <c r="M56" i="36"/>
  <c r="L56" i="36"/>
  <c r="S55" i="36"/>
  <c r="R55" i="36"/>
  <c r="Q55" i="36"/>
  <c r="P55" i="36"/>
  <c r="O55" i="36"/>
  <c r="N55" i="36"/>
  <c r="M55" i="36"/>
  <c r="L55" i="36"/>
  <c r="S54" i="36"/>
  <c r="R54" i="36"/>
  <c r="Q54" i="36"/>
  <c r="P54" i="36"/>
  <c r="O54" i="36"/>
  <c r="N54" i="36"/>
  <c r="M54" i="36"/>
  <c r="L54" i="36"/>
  <c r="S53" i="36"/>
  <c r="R53" i="36"/>
  <c r="Q53" i="36"/>
  <c r="P53" i="36"/>
  <c r="O53" i="36"/>
  <c r="N53" i="36"/>
  <c r="M53" i="36"/>
  <c r="L53" i="36"/>
  <c r="S52" i="36"/>
  <c r="R52" i="36"/>
  <c r="Q52" i="36"/>
  <c r="P52" i="36"/>
  <c r="O52" i="36"/>
  <c r="N52" i="36"/>
  <c r="M52" i="36"/>
  <c r="L52" i="36"/>
  <c r="S51" i="36"/>
  <c r="R51" i="36"/>
  <c r="Q51" i="36"/>
  <c r="P51" i="36"/>
  <c r="O51" i="36"/>
  <c r="N51" i="36"/>
  <c r="M51" i="36"/>
  <c r="L51" i="36"/>
  <c r="S50" i="36"/>
  <c r="R50" i="36"/>
  <c r="Q50" i="36"/>
  <c r="P50" i="36"/>
  <c r="O50" i="36"/>
  <c r="N50" i="36"/>
  <c r="M50" i="36"/>
  <c r="L50" i="36"/>
  <c r="S49" i="36"/>
  <c r="R49" i="36"/>
  <c r="Q49" i="36"/>
  <c r="P49" i="36"/>
  <c r="O49" i="36"/>
  <c r="N49" i="36"/>
  <c r="M49" i="36"/>
  <c r="L49" i="36"/>
  <c r="S48" i="36"/>
  <c r="R48" i="36"/>
  <c r="Q48" i="36"/>
  <c r="P48" i="36"/>
  <c r="O48" i="36"/>
  <c r="N48" i="36"/>
  <c r="M48" i="36"/>
  <c r="L48" i="36"/>
  <c r="R47" i="36"/>
  <c r="P47" i="36"/>
  <c r="N47" i="36"/>
  <c r="L47" i="36"/>
  <c r="S46" i="36"/>
  <c r="R46" i="36"/>
  <c r="Q46" i="36"/>
  <c r="P46" i="36"/>
  <c r="O46" i="36"/>
  <c r="N46" i="36"/>
  <c r="M46" i="36"/>
  <c r="L46" i="36"/>
  <c r="L45" i="36"/>
  <c r="L44" i="36"/>
  <c r="S43" i="36"/>
  <c r="R43" i="36"/>
  <c r="Q43" i="36"/>
  <c r="P43" i="36"/>
  <c r="O43" i="36"/>
  <c r="N43" i="36"/>
  <c r="M43" i="36"/>
  <c r="L43" i="36"/>
  <c r="S42" i="36"/>
  <c r="R42" i="36"/>
  <c r="Q42" i="36"/>
  <c r="P42" i="36"/>
  <c r="O42" i="36"/>
  <c r="N42" i="36"/>
  <c r="M42" i="36"/>
  <c r="L42" i="36"/>
  <c r="S41" i="36"/>
  <c r="R41" i="36"/>
  <c r="Q41" i="36"/>
  <c r="P41" i="36"/>
  <c r="O41" i="36"/>
  <c r="N41" i="36"/>
  <c r="M41" i="36"/>
  <c r="L41" i="36"/>
  <c r="S40" i="36"/>
  <c r="R40" i="36"/>
  <c r="Q40" i="36"/>
  <c r="P40" i="36"/>
  <c r="O40" i="36"/>
  <c r="N40" i="36"/>
  <c r="M40" i="36"/>
  <c r="L40" i="36"/>
  <c r="S39" i="36"/>
  <c r="R39" i="36"/>
  <c r="Q39" i="36"/>
  <c r="P39" i="36"/>
  <c r="O39" i="36"/>
  <c r="N39" i="36"/>
  <c r="M39" i="36"/>
  <c r="L39" i="36"/>
  <c r="S38" i="36"/>
  <c r="R38" i="36"/>
  <c r="Q38" i="36"/>
  <c r="P38" i="36"/>
  <c r="O38" i="36"/>
  <c r="N38" i="36"/>
  <c r="M38" i="36"/>
  <c r="L38" i="36"/>
  <c r="S37" i="36"/>
  <c r="R37" i="36"/>
  <c r="Q37" i="36"/>
  <c r="P37" i="36"/>
  <c r="O37" i="36"/>
  <c r="N37" i="36"/>
  <c r="M37" i="36"/>
  <c r="L37" i="36"/>
  <c r="S36" i="36"/>
  <c r="R36" i="36"/>
  <c r="Q36" i="36"/>
  <c r="P36" i="36"/>
  <c r="O36" i="36"/>
  <c r="N36" i="36"/>
  <c r="M36" i="36"/>
  <c r="L36" i="36"/>
  <c r="S35" i="36"/>
  <c r="R35" i="36"/>
  <c r="Q35" i="36"/>
  <c r="P35" i="36"/>
  <c r="O35" i="36"/>
  <c r="N35" i="36"/>
  <c r="M35" i="36"/>
  <c r="L35" i="36"/>
  <c r="J64" i="36"/>
  <c r="I64" i="36"/>
  <c r="H64" i="36"/>
  <c r="G64" i="36"/>
  <c r="F64" i="36"/>
  <c r="E64" i="36"/>
  <c r="D64" i="36"/>
  <c r="J63" i="36"/>
  <c r="I63" i="36"/>
  <c r="H63" i="36"/>
  <c r="G63" i="36"/>
  <c r="F63" i="36"/>
  <c r="E63" i="36"/>
  <c r="D63" i="36"/>
  <c r="J62" i="36"/>
  <c r="J70" i="36" s="1"/>
  <c r="I62" i="36"/>
  <c r="H62" i="36"/>
  <c r="G62" i="36"/>
  <c r="F62" i="36"/>
  <c r="E62" i="36"/>
  <c r="D62" i="36"/>
  <c r="J61" i="36"/>
  <c r="I61" i="36"/>
  <c r="H61" i="36"/>
  <c r="G61" i="36"/>
  <c r="F61" i="36"/>
  <c r="E61" i="36"/>
  <c r="D61" i="36"/>
  <c r="J60" i="36"/>
  <c r="I60" i="36"/>
  <c r="H60" i="36"/>
  <c r="G60" i="36"/>
  <c r="F60" i="36"/>
  <c r="E60" i="36"/>
  <c r="D60" i="36"/>
  <c r="J59" i="36"/>
  <c r="I59" i="36"/>
  <c r="H59" i="36"/>
  <c r="G59" i="36"/>
  <c r="F59" i="36"/>
  <c r="E59" i="36"/>
  <c r="D59" i="36"/>
  <c r="J58" i="36"/>
  <c r="I58" i="36"/>
  <c r="H58" i="36"/>
  <c r="G58" i="36"/>
  <c r="F58" i="36"/>
  <c r="E58" i="36"/>
  <c r="D58" i="36"/>
  <c r="J57" i="36"/>
  <c r="I57" i="36"/>
  <c r="H57" i="36"/>
  <c r="G57" i="36"/>
  <c r="F57" i="36"/>
  <c r="E57" i="36"/>
  <c r="D57" i="36"/>
  <c r="J56" i="36"/>
  <c r="I56" i="36"/>
  <c r="H56" i="36"/>
  <c r="G56" i="36"/>
  <c r="F56" i="36"/>
  <c r="E56" i="36"/>
  <c r="D56" i="36"/>
  <c r="J55" i="36"/>
  <c r="I55" i="36"/>
  <c r="H55" i="36"/>
  <c r="G55" i="36"/>
  <c r="F55" i="36"/>
  <c r="E55" i="36"/>
  <c r="D55" i="36"/>
  <c r="J54" i="36"/>
  <c r="I54" i="36"/>
  <c r="H54" i="36"/>
  <c r="G54" i="36"/>
  <c r="F54" i="36"/>
  <c r="E54" i="36"/>
  <c r="D54" i="36"/>
  <c r="J53" i="36"/>
  <c r="I53" i="36"/>
  <c r="H53" i="36"/>
  <c r="G53" i="36"/>
  <c r="F53" i="36"/>
  <c r="E53" i="36"/>
  <c r="D53" i="36"/>
  <c r="J52" i="36"/>
  <c r="I52" i="36"/>
  <c r="H52" i="36"/>
  <c r="G52" i="36"/>
  <c r="F52" i="36"/>
  <c r="E52" i="36"/>
  <c r="D52" i="36"/>
  <c r="J51" i="36"/>
  <c r="I51" i="36"/>
  <c r="H51" i="36"/>
  <c r="G51" i="36"/>
  <c r="F51" i="36"/>
  <c r="E51" i="36"/>
  <c r="D51" i="36"/>
  <c r="J50" i="36"/>
  <c r="I50" i="36"/>
  <c r="H50" i="36"/>
  <c r="G50" i="36"/>
  <c r="F50" i="36"/>
  <c r="E50" i="36"/>
  <c r="D50" i="36"/>
  <c r="J49" i="36"/>
  <c r="I49" i="36"/>
  <c r="H49" i="36"/>
  <c r="G49" i="36"/>
  <c r="F49" i="36"/>
  <c r="E49" i="36"/>
  <c r="D49" i="36"/>
  <c r="J48" i="36"/>
  <c r="I48" i="36"/>
  <c r="H48" i="36"/>
  <c r="G48" i="36"/>
  <c r="F48" i="36"/>
  <c r="E48" i="36"/>
  <c r="D48" i="36"/>
  <c r="J43" i="36"/>
  <c r="I43" i="36"/>
  <c r="H43" i="36"/>
  <c r="G43" i="36"/>
  <c r="F43" i="36"/>
  <c r="E43" i="36"/>
  <c r="D43" i="36"/>
  <c r="J42" i="36"/>
  <c r="I42" i="36"/>
  <c r="H42" i="36"/>
  <c r="G42" i="36"/>
  <c r="F42" i="36"/>
  <c r="E42" i="36"/>
  <c r="D4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C64" i="36"/>
  <c r="C63" i="36"/>
  <c r="C62" i="36"/>
  <c r="C61" i="36"/>
  <c r="C60" i="36"/>
  <c r="C59" i="36"/>
  <c r="C58" i="36"/>
  <c r="C57" i="36"/>
  <c r="C56" i="36"/>
  <c r="C55" i="36"/>
  <c r="C54" i="36"/>
  <c r="C53" i="36"/>
  <c r="C52" i="36"/>
  <c r="C51" i="36"/>
  <c r="C50" i="36"/>
  <c r="C49" i="36"/>
  <c r="C48" i="36"/>
  <c r="C43" i="36"/>
  <c r="C42" i="36"/>
  <c r="C41" i="36"/>
  <c r="C40" i="36"/>
  <c r="C39" i="36"/>
  <c r="C38" i="36"/>
  <c r="C37" i="36"/>
  <c r="C36" i="36"/>
  <c r="C35" i="36"/>
  <c r="CA28" i="36"/>
  <c r="BZ28" i="36"/>
  <c r="BY28" i="36"/>
  <c r="BX28" i="36"/>
  <c r="BW28" i="36"/>
  <c r="BV28" i="36"/>
  <c r="BU28" i="36"/>
  <c r="BT28" i="36"/>
  <c r="CB28" i="36" s="1"/>
  <c r="BR28" i="36"/>
  <c r="BQ28" i="36"/>
  <c r="BP28" i="36"/>
  <c r="BO28" i="36"/>
  <c r="BN28" i="36"/>
  <c r="BM28" i="36"/>
  <c r="BL28" i="36"/>
  <c r="BK28" i="36"/>
  <c r="CA27" i="36"/>
  <c r="BZ27" i="36"/>
  <c r="BY27" i="36"/>
  <c r="BX27" i="36"/>
  <c r="BW27" i="36"/>
  <c r="BV27" i="36"/>
  <c r="BU27" i="36"/>
  <c r="BT27" i="36"/>
  <c r="CB27" i="36" s="1"/>
  <c r="BR27" i="36"/>
  <c r="BQ27" i="36"/>
  <c r="BP27" i="36"/>
  <c r="BO27" i="36"/>
  <c r="BN27" i="36"/>
  <c r="BM27" i="36"/>
  <c r="BL27" i="36"/>
  <c r="BK27" i="36"/>
  <c r="CA26" i="36"/>
  <c r="BZ26" i="36"/>
  <c r="BY26" i="36"/>
  <c r="BX26" i="36"/>
  <c r="BW26" i="36"/>
  <c r="BV26" i="36"/>
  <c r="BU26" i="36"/>
  <c r="BT26" i="36"/>
  <c r="CB26" i="36" s="1"/>
  <c r="BR26" i="36"/>
  <c r="BQ26" i="36"/>
  <c r="BP26" i="36"/>
  <c r="BO26" i="36"/>
  <c r="BN26" i="36"/>
  <c r="BM26" i="36"/>
  <c r="BL26" i="36"/>
  <c r="BK26" i="36"/>
  <c r="CA25" i="36"/>
  <c r="BZ25" i="36"/>
  <c r="BY25" i="36"/>
  <c r="BX25" i="36"/>
  <c r="BW25" i="36"/>
  <c r="BV25" i="36"/>
  <c r="BU25" i="36"/>
  <c r="BT25" i="36"/>
  <c r="BZ22" i="36"/>
  <c r="BX22" i="36"/>
  <c r="BV22" i="36"/>
  <c r="BT22" i="36"/>
  <c r="BR22" i="36"/>
  <c r="BQ22" i="36"/>
  <c r="BP22" i="36"/>
  <c r="BO22" i="36"/>
  <c r="BN22" i="36"/>
  <c r="BM22" i="36"/>
  <c r="BL22" i="36"/>
  <c r="BK22" i="36"/>
  <c r="CA21" i="36"/>
  <c r="BZ21" i="36"/>
  <c r="BY21" i="36"/>
  <c r="BX21" i="36"/>
  <c r="BW21" i="36"/>
  <c r="BV21" i="36"/>
  <c r="BU21" i="36"/>
  <c r="BT21" i="36"/>
  <c r="BR21" i="36"/>
  <c r="BQ21" i="36"/>
  <c r="BP21" i="36"/>
  <c r="BO21" i="36"/>
  <c r="BN21" i="36"/>
  <c r="BM21" i="36"/>
  <c r="BL21" i="36"/>
  <c r="BK21" i="36"/>
  <c r="BS21" i="36" s="1"/>
  <c r="CA19" i="36"/>
  <c r="BZ19" i="36"/>
  <c r="BY19" i="36"/>
  <c r="BX19" i="36"/>
  <c r="BW19" i="36"/>
  <c r="BV19" i="36"/>
  <c r="BU19" i="36"/>
  <c r="BT19" i="36"/>
  <c r="BR19" i="36"/>
  <c r="BQ19" i="36"/>
  <c r="BP19" i="36"/>
  <c r="BO19" i="36"/>
  <c r="BN19" i="36"/>
  <c r="BM19" i="36"/>
  <c r="BL19" i="36"/>
  <c r="BK19" i="36"/>
  <c r="CA18" i="36"/>
  <c r="BZ18" i="36"/>
  <c r="BY18" i="36"/>
  <c r="BX18" i="36"/>
  <c r="BW18" i="36"/>
  <c r="BV18" i="36"/>
  <c r="BU18" i="36"/>
  <c r="BT18" i="36"/>
  <c r="BR18" i="36"/>
  <c r="BQ18" i="36"/>
  <c r="BP18" i="36"/>
  <c r="BO18" i="36"/>
  <c r="BN18" i="36"/>
  <c r="BM18" i="36"/>
  <c r="BL18" i="36"/>
  <c r="BK18" i="36"/>
  <c r="CA17" i="36"/>
  <c r="CA20" i="36" s="1"/>
  <c r="BZ17" i="36"/>
  <c r="BZ20" i="36" s="1"/>
  <c r="BY17" i="36"/>
  <c r="BY20" i="36" s="1"/>
  <c r="BX17" i="36"/>
  <c r="BW17" i="36"/>
  <c r="BW20" i="36" s="1"/>
  <c r="BV17" i="36"/>
  <c r="BV20" i="36" s="1"/>
  <c r="BU17" i="36"/>
  <c r="BT17" i="36"/>
  <c r="BR17" i="36"/>
  <c r="BR20" i="36" s="1"/>
  <c r="BQ17" i="36"/>
  <c r="BQ20" i="36" s="1"/>
  <c r="BP17" i="36"/>
  <c r="BP20" i="36" s="1"/>
  <c r="BO17" i="36"/>
  <c r="BO20" i="36" s="1"/>
  <c r="BN17" i="36"/>
  <c r="BN20" i="36" s="1"/>
  <c r="BM17" i="36"/>
  <c r="BM20" i="36" s="1"/>
  <c r="BL17" i="36"/>
  <c r="BL20" i="36" s="1"/>
  <c r="BK17" i="36"/>
  <c r="BK20" i="36" s="1"/>
  <c r="CA16" i="36"/>
  <c r="BZ16" i="36"/>
  <c r="BY16" i="36"/>
  <c r="BX16" i="36"/>
  <c r="BW16" i="36"/>
  <c r="BV16" i="36"/>
  <c r="BU16" i="36"/>
  <c r="BT16" i="36"/>
  <c r="BR16" i="36"/>
  <c r="BR23" i="36" s="1"/>
  <c r="BQ16" i="36"/>
  <c r="BP16" i="36"/>
  <c r="BO16" i="36"/>
  <c r="BO23" i="36" s="1"/>
  <c r="BN16" i="36"/>
  <c r="BN23" i="36" s="1"/>
  <c r="BM16" i="36"/>
  <c r="BL16" i="36"/>
  <c r="BK16" i="36"/>
  <c r="BG28" i="36"/>
  <c r="BF28" i="36"/>
  <c r="BE28" i="36"/>
  <c r="BD28" i="36"/>
  <c r="BC28" i="36"/>
  <c r="BB28" i="36"/>
  <c r="BA28" i="36"/>
  <c r="AZ28" i="36"/>
  <c r="AX28" i="36"/>
  <c r="AW28" i="36"/>
  <c r="AV28" i="36"/>
  <c r="AU28" i="36"/>
  <c r="AT28" i="36"/>
  <c r="AS28" i="36"/>
  <c r="AR28" i="36"/>
  <c r="AQ28" i="36"/>
  <c r="BG27" i="36"/>
  <c r="BF27" i="36"/>
  <c r="BE27" i="36"/>
  <c r="BD27" i="36"/>
  <c r="BC27" i="36"/>
  <c r="BB27" i="36"/>
  <c r="BA27" i="36"/>
  <c r="AZ27" i="36"/>
  <c r="AX27" i="36"/>
  <c r="AW27" i="36"/>
  <c r="AV27" i="36"/>
  <c r="AU27" i="36"/>
  <c r="AT27" i="36"/>
  <c r="AS27" i="36"/>
  <c r="AR27" i="36"/>
  <c r="AQ27" i="36"/>
  <c r="BG26" i="36"/>
  <c r="BF26" i="36"/>
  <c r="BE26" i="36"/>
  <c r="BD26" i="36"/>
  <c r="BC26" i="36"/>
  <c r="BB26" i="36"/>
  <c r="BA26" i="36"/>
  <c r="AZ26" i="36"/>
  <c r="AX26" i="36"/>
  <c r="AW26" i="36"/>
  <c r="AV26" i="36"/>
  <c r="AU26" i="36"/>
  <c r="AT26" i="36"/>
  <c r="AS26" i="36"/>
  <c r="AR26" i="36"/>
  <c r="AQ26" i="36"/>
  <c r="BG25" i="36"/>
  <c r="BF25" i="36"/>
  <c r="BE25" i="36"/>
  <c r="BD25" i="36"/>
  <c r="BC25" i="36"/>
  <c r="BB25" i="36"/>
  <c r="BA25" i="36"/>
  <c r="AZ25" i="36"/>
  <c r="AX25" i="36"/>
  <c r="AW25" i="36"/>
  <c r="AV25" i="36"/>
  <c r="AU25" i="36"/>
  <c r="AT25" i="36"/>
  <c r="AS25" i="36"/>
  <c r="AR25" i="36"/>
  <c r="AQ25" i="36"/>
  <c r="BF22" i="36"/>
  <c r="BD22" i="36"/>
  <c r="BB22" i="36"/>
  <c r="AZ22" i="36"/>
  <c r="AX22" i="36"/>
  <c r="AW22" i="36"/>
  <c r="AV22" i="36"/>
  <c r="AU22" i="36"/>
  <c r="AT22" i="36"/>
  <c r="AS22" i="36"/>
  <c r="AR22" i="36"/>
  <c r="AQ22" i="36"/>
  <c r="BG21" i="36"/>
  <c r="BF21" i="36"/>
  <c r="BE21" i="36"/>
  <c r="BD21" i="36"/>
  <c r="BC21" i="36"/>
  <c r="BB21" i="36"/>
  <c r="BA21" i="36"/>
  <c r="AZ21" i="36"/>
  <c r="AX21" i="36"/>
  <c r="AW21" i="36"/>
  <c r="AV21" i="36"/>
  <c r="AU21" i="36"/>
  <c r="AT21" i="36"/>
  <c r="AS21" i="36"/>
  <c r="AR21" i="36"/>
  <c r="AQ21" i="36"/>
  <c r="BG19" i="36"/>
  <c r="BF19" i="36"/>
  <c r="BE19" i="36"/>
  <c r="BD19" i="36"/>
  <c r="BC19" i="36"/>
  <c r="BB19" i="36"/>
  <c r="BA19" i="36"/>
  <c r="AZ19" i="36"/>
  <c r="AX19" i="36"/>
  <c r="AW19" i="36"/>
  <c r="AV19" i="36"/>
  <c r="AU19" i="36"/>
  <c r="AT19" i="36"/>
  <c r="AS19" i="36"/>
  <c r="AR19" i="36"/>
  <c r="AQ19" i="36"/>
  <c r="BG18" i="36"/>
  <c r="BF18" i="36"/>
  <c r="BE18" i="36"/>
  <c r="BD18" i="36"/>
  <c r="BC18" i="36"/>
  <c r="BB18" i="36"/>
  <c r="BA18" i="36"/>
  <c r="AZ18" i="36"/>
  <c r="AX18" i="36"/>
  <c r="AW18" i="36"/>
  <c r="AV18" i="36"/>
  <c r="AU18" i="36"/>
  <c r="AT18" i="36"/>
  <c r="AS18" i="36"/>
  <c r="AR18" i="36"/>
  <c r="AQ18" i="36"/>
  <c r="BG17" i="36"/>
  <c r="BG20" i="36" s="1"/>
  <c r="BF17" i="36"/>
  <c r="BF20" i="36" s="1"/>
  <c r="BE17" i="36"/>
  <c r="BE20" i="36" s="1"/>
  <c r="BD17" i="36"/>
  <c r="BC17" i="36"/>
  <c r="BC20" i="36" s="1"/>
  <c r="BB17" i="36"/>
  <c r="BB20" i="36" s="1"/>
  <c r="BA17" i="36"/>
  <c r="BA20" i="36" s="1"/>
  <c r="AZ17" i="36"/>
  <c r="AX17" i="36"/>
  <c r="AX20" i="36" s="1"/>
  <c r="AW17" i="36"/>
  <c r="AW20" i="36" s="1"/>
  <c r="AV17" i="36"/>
  <c r="AV20" i="36" s="1"/>
  <c r="AU17" i="36"/>
  <c r="AU20" i="36" s="1"/>
  <c r="AT17" i="36"/>
  <c r="AT20" i="36" s="1"/>
  <c r="AS17" i="36"/>
  <c r="AS20" i="36" s="1"/>
  <c r="AR17" i="36"/>
  <c r="AQ17" i="36"/>
  <c r="AQ20" i="36" s="1"/>
  <c r="BG16" i="36"/>
  <c r="BF16" i="36"/>
  <c r="BE16" i="36"/>
  <c r="BD16" i="36"/>
  <c r="BC16" i="36"/>
  <c r="BB16" i="36"/>
  <c r="BA16" i="36"/>
  <c r="AZ16" i="36"/>
  <c r="AX16" i="36"/>
  <c r="AW16" i="36"/>
  <c r="AV16" i="36"/>
  <c r="AU16" i="36"/>
  <c r="AT16" i="36"/>
  <c r="AT23" i="36" s="1"/>
  <c r="AS16" i="36"/>
  <c r="AS23" i="36" s="1"/>
  <c r="AR16" i="36"/>
  <c r="AQ16" i="36"/>
  <c r="AM28" i="36"/>
  <c r="AL28" i="36"/>
  <c r="AK28" i="36"/>
  <c r="AJ28" i="36"/>
  <c r="AI28" i="36"/>
  <c r="AH28" i="36"/>
  <c r="AG28" i="36"/>
  <c r="AF28" i="36"/>
  <c r="AD28" i="36"/>
  <c r="AC28" i="36"/>
  <c r="AB28" i="36"/>
  <c r="AA28" i="36"/>
  <c r="Z28" i="36"/>
  <c r="Y28" i="36"/>
  <c r="X28" i="36"/>
  <c r="W28" i="36"/>
  <c r="AM27" i="36"/>
  <c r="AL27" i="36"/>
  <c r="AK27" i="36"/>
  <c r="AJ27" i="36"/>
  <c r="AI27" i="36"/>
  <c r="AH27" i="36"/>
  <c r="AG27" i="36"/>
  <c r="AF27" i="36"/>
  <c r="AD27" i="36"/>
  <c r="AC27" i="36"/>
  <c r="AB27" i="36"/>
  <c r="AA27" i="36"/>
  <c r="Z27" i="36"/>
  <c r="Y27" i="36"/>
  <c r="X27" i="36"/>
  <c r="W27" i="36"/>
  <c r="AM26" i="36"/>
  <c r="AL26" i="36"/>
  <c r="AK26" i="36"/>
  <c r="AJ26" i="36"/>
  <c r="AI26" i="36"/>
  <c r="AH26" i="36"/>
  <c r="AG26" i="36"/>
  <c r="AF26" i="36"/>
  <c r="AD26" i="36"/>
  <c r="AC26" i="36"/>
  <c r="AB26" i="36"/>
  <c r="AA26" i="36"/>
  <c r="Z26" i="36"/>
  <c r="Y26" i="36"/>
  <c r="X26" i="36"/>
  <c r="W26" i="36"/>
  <c r="AM25" i="36"/>
  <c r="AL25" i="36"/>
  <c r="AK25" i="36"/>
  <c r="AJ25" i="36"/>
  <c r="AI25" i="36"/>
  <c r="AH25" i="36"/>
  <c r="AG25" i="36"/>
  <c r="AF25" i="36"/>
  <c r="AD25" i="36"/>
  <c r="AC25" i="36"/>
  <c r="AB25" i="36"/>
  <c r="AA25" i="36"/>
  <c r="Z25" i="36"/>
  <c r="Y25" i="36"/>
  <c r="X25" i="36"/>
  <c r="W25" i="36"/>
  <c r="AL22" i="36"/>
  <c r="AJ22" i="36"/>
  <c r="AH22" i="36"/>
  <c r="AF22" i="36"/>
  <c r="AD22" i="36"/>
  <c r="AC22" i="36"/>
  <c r="AB22" i="36"/>
  <c r="AA22" i="36"/>
  <c r="Z22" i="36"/>
  <c r="Y22" i="36"/>
  <c r="X22" i="36"/>
  <c r="W22" i="36"/>
  <c r="AM21" i="36"/>
  <c r="AL21" i="36"/>
  <c r="AK21" i="36"/>
  <c r="AJ21" i="36"/>
  <c r="AI21" i="36"/>
  <c r="AH21" i="36"/>
  <c r="AG21" i="36"/>
  <c r="AF21" i="36"/>
  <c r="AD21" i="36"/>
  <c r="AC21" i="36"/>
  <c r="AB21" i="36"/>
  <c r="AA21" i="36"/>
  <c r="Z21" i="36"/>
  <c r="Y21" i="36"/>
  <c r="X21" i="36"/>
  <c r="W21" i="36"/>
  <c r="AM19" i="36"/>
  <c r="AL19" i="36"/>
  <c r="AK19" i="36"/>
  <c r="AJ19" i="36"/>
  <c r="AI19" i="36"/>
  <c r="AH19" i="36"/>
  <c r="AG19" i="36"/>
  <c r="AF19" i="36"/>
  <c r="AD19" i="36"/>
  <c r="AC19" i="36"/>
  <c r="AB19" i="36"/>
  <c r="AA19" i="36"/>
  <c r="Z19" i="36"/>
  <c r="Y19" i="36"/>
  <c r="X19" i="36"/>
  <c r="W19" i="36"/>
  <c r="AM18" i="36"/>
  <c r="AL18" i="36"/>
  <c r="AK18" i="36"/>
  <c r="AJ18" i="36"/>
  <c r="AI18" i="36"/>
  <c r="AH18" i="36"/>
  <c r="AG18" i="36"/>
  <c r="AF18" i="36"/>
  <c r="AD18" i="36"/>
  <c r="AC18" i="36"/>
  <c r="AB18" i="36"/>
  <c r="AA18" i="36"/>
  <c r="Z18" i="36"/>
  <c r="Y18" i="36"/>
  <c r="X18" i="36"/>
  <c r="W18" i="36"/>
  <c r="AM17" i="36"/>
  <c r="AM20" i="36" s="1"/>
  <c r="AL17" i="36"/>
  <c r="AL20" i="36" s="1"/>
  <c r="AK17" i="36"/>
  <c r="AK20" i="36" s="1"/>
  <c r="AJ17" i="36"/>
  <c r="AI17" i="36"/>
  <c r="AI20" i="36" s="1"/>
  <c r="AH17" i="36"/>
  <c r="AH20" i="36" s="1"/>
  <c r="AG17" i="36"/>
  <c r="AG20" i="36" s="1"/>
  <c r="AF17" i="36"/>
  <c r="AF20" i="36" s="1"/>
  <c r="AD17" i="36"/>
  <c r="AD20" i="36" s="1"/>
  <c r="AC17" i="36"/>
  <c r="AC20" i="36" s="1"/>
  <c r="AB17" i="36"/>
  <c r="AB20" i="36" s="1"/>
  <c r="AA17" i="36"/>
  <c r="AA20" i="36" s="1"/>
  <c r="Z17" i="36"/>
  <c r="Y17" i="36"/>
  <c r="Y20" i="36" s="1"/>
  <c r="X17" i="36"/>
  <c r="X20" i="36" s="1"/>
  <c r="W17" i="36"/>
  <c r="W20" i="36" s="1"/>
  <c r="AM16" i="36"/>
  <c r="AL16" i="36"/>
  <c r="AK16" i="36"/>
  <c r="AJ16" i="36"/>
  <c r="AI16" i="36"/>
  <c r="AH16" i="36"/>
  <c r="AG16" i="36"/>
  <c r="AF16" i="36"/>
  <c r="AD16" i="36"/>
  <c r="AD23" i="36" s="1"/>
  <c r="AC16" i="36"/>
  <c r="AB16" i="36"/>
  <c r="AA16" i="36"/>
  <c r="Z16" i="36"/>
  <c r="Y16" i="36"/>
  <c r="X16" i="36"/>
  <c r="W16" i="36"/>
  <c r="S28" i="36"/>
  <c r="R28" i="36"/>
  <c r="Q28" i="36"/>
  <c r="P28" i="36"/>
  <c r="O28" i="36"/>
  <c r="N28" i="36"/>
  <c r="M28" i="36"/>
  <c r="L28" i="36"/>
  <c r="S27" i="36"/>
  <c r="R27" i="36"/>
  <c r="Q27" i="36"/>
  <c r="P27" i="36"/>
  <c r="O27" i="36"/>
  <c r="N27" i="36"/>
  <c r="M27" i="36"/>
  <c r="L27" i="36"/>
  <c r="S26" i="36"/>
  <c r="R26" i="36"/>
  <c r="Q26" i="36"/>
  <c r="P26" i="36"/>
  <c r="O26" i="36"/>
  <c r="N26" i="36"/>
  <c r="M26" i="36"/>
  <c r="L26" i="36"/>
  <c r="S25" i="36"/>
  <c r="R25" i="36"/>
  <c r="Q25" i="36"/>
  <c r="P25" i="36"/>
  <c r="O25" i="36"/>
  <c r="N25" i="36"/>
  <c r="M25" i="36"/>
  <c r="L25" i="36"/>
  <c r="R22" i="36"/>
  <c r="P22" i="36"/>
  <c r="N22" i="36"/>
  <c r="L22" i="36"/>
  <c r="S21" i="36"/>
  <c r="R21" i="36"/>
  <c r="Q21" i="36"/>
  <c r="P21" i="36"/>
  <c r="O21" i="36"/>
  <c r="N21" i="36"/>
  <c r="M21" i="36"/>
  <c r="L21" i="36"/>
  <c r="S19" i="36"/>
  <c r="R19" i="36"/>
  <c r="Q19" i="36"/>
  <c r="P19" i="36"/>
  <c r="O19" i="36"/>
  <c r="N19" i="36"/>
  <c r="M19" i="36"/>
  <c r="L19" i="36"/>
  <c r="S18" i="36"/>
  <c r="R18" i="36"/>
  <c r="Q18" i="36"/>
  <c r="P18" i="36"/>
  <c r="O18" i="36"/>
  <c r="N18" i="36"/>
  <c r="M18" i="36"/>
  <c r="L18" i="36"/>
  <c r="S17" i="36"/>
  <c r="R17" i="36"/>
  <c r="Q17" i="36"/>
  <c r="P17" i="36"/>
  <c r="O17" i="36"/>
  <c r="N17" i="36"/>
  <c r="M17" i="36"/>
  <c r="L17" i="36"/>
  <c r="S16" i="36"/>
  <c r="R16" i="36"/>
  <c r="Q16" i="36"/>
  <c r="P16" i="36"/>
  <c r="O16" i="36"/>
  <c r="N16" i="36"/>
  <c r="M16" i="36"/>
  <c r="L16" i="36"/>
  <c r="J28" i="36"/>
  <c r="I28" i="36"/>
  <c r="H28" i="36"/>
  <c r="G28" i="36"/>
  <c r="F28" i="36"/>
  <c r="E28" i="36"/>
  <c r="D28" i="36"/>
  <c r="J27" i="36"/>
  <c r="I27" i="36"/>
  <c r="H27" i="36"/>
  <c r="G27" i="36"/>
  <c r="F27" i="36"/>
  <c r="E27" i="36"/>
  <c r="D27" i="36"/>
  <c r="J26" i="36"/>
  <c r="I26" i="36"/>
  <c r="H26" i="36"/>
  <c r="G26" i="36"/>
  <c r="F26" i="36"/>
  <c r="E26" i="36"/>
  <c r="D26" i="36"/>
  <c r="J25" i="36"/>
  <c r="I25" i="36"/>
  <c r="H25" i="36"/>
  <c r="G25" i="36"/>
  <c r="F25" i="36"/>
  <c r="E25" i="36"/>
  <c r="D25" i="36"/>
  <c r="J22" i="36"/>
  <c r="I22" i="36"/>
  <c r="H22" i="36"/>
  <c r="G22" i="36"/>
  <c r="F22" i="36"/>
  <c r="E22" i="36"/>
  <c r="D22" i="36"/>
  <c r="J21" i="36"/>
  <c r="I21" i="36"/>
  <c r="H21" i="36"/>
  <c r="G21" i="36"/>
  <c r="F21" i="36"/>
  <c r="E21" i="36"/>
  <c r="D21" i="36"/>
  <c r="J19" i="36"/>
  <c r="I19" i="36"/>
  <c r="H19" i="36"/>
  <c r="G19" i="36"/>
  <c r="F19" i="36"/>
  <c r="E19" i="36"/>
  <c r="D19" i="36"/>
  <c r="J18" i="36"/>
  <c r="I18" i="36"/>
  <c r="H18" i="36"/>
  <c r="G18" i="36"/>
  <c r="F18" i="36"/>
  <c r="E18" i="36"/>
  <c r="D18" i="36"/>
  <c r="J17" i="36"/>
  <c r="I17" i="36"/>
  <c r="H17" i="36"/>
  <c r="G17" i="36"/>
  <c r="F17" i="36"/>
  <c r="E17" i="36"/>
  <c r="D17" i="36"/>
  <c r="J16" i="36"/>
  <c r="I16" i="36"/>
  <c r="H16" i="36"/>
  <c r="G16" i="36"/>
  <c r="F16" i="36"/>
  <c r="E16" i="36"/>
  <c r="D16" i="36"/>
  <c r="C28" i="36"/>
  <c r="C27" i="36"/>
  <c r="C26" i="36"/>
  <c r="C25" i="36"/>
  <c r="C22" i="36"/>
  <c r="C21" i="36"/>
  <c r="C19" i="36"/>
  <c r="C18" i="36"/>
  <c r="C17" i="36"/>
  <c r="C16" i="36"/>
  <c r="CR85" i="54"/>
  <c r="CQ85" i="54"/>
  <c r="CP85" i="54"/>
  <c r="CO85" i="54"/>
  <c r="CM85" i="54"/>
  <c r="CL85" i="54"/>
  <c r="CK85" i="54"/>
  <c r="CJ85" i="54"/>
  <c r="CH85" i="54"/>
  <c r="CG85" i="54"/>
  <c r="CF85" i="54"/>
  <c r="CE85" i="54"/>
  <c r="CB85" i="54"/>
  <c r="BS85" i="54"/>
  <c r="BH85" i="54"/>
  <c r="AY85" i="54"/>
  <c r="BI85" i="54" s="1"/>
  <c r="AO85" i="54"/>
  <c r="AN85" i="54"/>
  <c r="AE85" i="54"/>
  <c r="U85" i="54"/>
  <c r="T85" i="54"/>
  <c r="CN85" i="54" s="1"/>
  <c r="K85" i="54"/>
  <c r="CR84" i="54"/>
  <c r="CQ84" i="54"/>
  <c r="CP84" i="54"/>
  <c r="CO84" i="54"/>
  <c r="CM84" i="54"/>
  <c r="CL84" i="54"/>
  <c r="CK84" i="54"/>
  <c r="CJ84" i="54"/>
  <c r="CH84" i="54"/>
  <c r="CG84" i="54"/>
  <c r="CF84" i="54"/>
  <c r="CE84" i="54"/>
  <c r="CB84" i="54"/>
  <c r="BS84" i="54"/>
  <c r="BH84" i="54"/>
  <c r="AY84" i="54"/>
  <c r="BI84" i="54" s="1"/>
  <c r="AN84" i="54"/>
  <c r="AE84" i="54"/>
  <c r="AO84" i="54" s="1"/>
  <c r="T84" i="54"/>
  <c r="K84" i="54"/>
  <c r="CI84" i="54" s="1"/>
  <c r="CR83" i="54"/>
  <c r="CQ83" i="54"/>
  <c r="CP83" i="54"/>
  <c r="CO83" i="54"/>
  <c r="CM83" i="54"/>
  <c r="CL83" i="54"/>
  <c r="CK83" i="54"/>
  <c r="CJ83" i="54"/>
  <c r="CH83" i="54"/>
  <c r="CG83" i="54"/>
  <c r="CF83" i="54"/>
  <c r="CE83" i="54"/>
  <c r="CB83" i="54"/>
  <c r="BS83" i="54"/>
  <c r="BH83" i="54"/>
  <c r="AY83" i="54"/>
  <c r="BI83" i="54" s="1"/>
  <c r="AN83" i="54"/>
  <c r="AE83" i="54"/>
  <c r="T83" i="54"/>
  <c r="K83" i="54"/>
  <c r="U83" i="54" s="1"/>
  <c r="CR82" i="54"/>
  <c r="CQ82" i="54"/>
  <c r="CP82" i="54"/>
  <c r="CO82" i="54"/>
  <c r="CM82" i="54"/>
  <c r="CL82" i="54"/>
  <c r="CK82" i="54"/>
  <c r="CJ82" i="54"/>
  <c r="CH82" i="54"/>
  <c r="CG82" i="54"/>
  <c r="CF82" i="54"/>
  <c r="CE82" i="54"/>
  <c r="CB82" i="54"/>
  <c r="BS82" i="54"/>
  <c r="CC82" i="54" s="1"/>
  <c r="BH82" i="54"/>
  <c r="AY82" i="54"/>
  <c r="AN82" i="54"/>
  <c r="AE82" i="54"/>
  <c r="T82" i="54"/>
  <c r="U82" i="54" s="1"/>
  <c r="K82" i="54"/>
  <c r="CR80" i="54"/>
  <c r="CQ80" i="54"/>
  <c r="CP80" i="54"/>
  <c r="CO80" i="54"/>
  <c r="CM80" i="54"/>
  <c r="CL80" i="54"/>
  <c r="CK80" i="54"/>
  <c r="CJ80" i="54"/>
  <c r="CH80" i="54"/>
  <c r="CG80" i="54"/>
  <c r="CF80" i="54"/>
  <c r="CE80" i="54"/>
  <c r="CC80" i="54"/>
  <c r="CB80" i="54"/>
  <c r="BS80" i="54"/>
  <c r="BH80" i="54"/>
  <c r="BI80" i="54" s="1"/>
  <c r="AY80" i="54"/>
  <c r="AN80" i="54"/>
  <c r="AE80" i="54"/>
  <c r="T80" i="54"/>
  <c r="U80" i="54" s="1"/>
  <c r="K80" i="54"/>
  <c r="CI80" i="54" s="1"/>
  <c r="CR78" i="54"/>
  <c r="CQ78" i="54"/>
  <c r="CP78" i="54"/>
  <c r="CO78" i="54"/>
  <c r="CM78" i="54"/>
  <c r="CL78" i="54"/>
  <c r="CK78" i="54"/>
  <c r="CJ78" i="54"/>
  <c r="CH78" i="54"/>
  <c r="CG78" i="54"/>
  <c r="CF78" i="54"/>
  <c r="CE78" i="54"/>
  <c r="CB78" i="54"/>
  <c r="BS78" i="54"/>
  <c r="BH78" i="54"/>
  <c r="BI78" i="54" s="1"/>
  <c r="AY78" i="54"/>
  <c r="AN78" i="54"/>
  <c r="AE78" i="54"/>
  <c r="U78" i="54"/>
  <c r="T78" i="54"/>
  <c r="K78" i="54"/>
  <c r="CR77" i="54"/>
  <c r="CQ77" i="54"/>
  <c r="CP77" i="54"/>
  <c r="CO77" i="54"/>
  <c r="CM77" i="54"/>
  <c r="CL77" i="54"/>
  <c r="CK77" i="54"/>
  <c r="CJ77" i="54"/>
  <c r="CH77" i="54"/>
  <c r="CG77" i="54"/>
  <c r="CF77" i="54"/>
  <c r="CE77" i="54"/>
  <c r="CB77" i="54"/>
  <c r="BS77" i="54"/>
  <c r="BH77" i="54"/>
  <c r="AY77" i="54"/>
  <c r="AN77" i="54"/>
  <c r="AE77" i="54"/>
  <c r="T77" i="54"/>
  <c r="K77" i="54"/>
  <c r="CR76" i="54"/>
  <c r="CQ76" i="54"/>
  <c r="CP76" i="54"/>
  <c r="CO76" i="54"/>
  <c r="CM76" i="54"/>
  <c r="CL76" i="54"/>
  <c r="CK76" i="54"/>
  <c r="CJ76" i="54"/>
  <c r="CH76" i="54"/>
  <c r="CG76" i="54"/>
  <c r="CF76" i="54"/>
  <c r="CE76" i="54"/>
  <c r="CB76" i="54"/>
  <c r="BS76" i="54"/>
  <c r="BH76" i="54"/>
  <c r="AY76" i="54"/>
  <c r="AN76" i="54"/>
  <c r="AE76" i="54"/>
  <c r="T76" i="54"/>
  <c r="K76" i="54"/>
  <c r="CA70" i="54"/>
  <c r="BZ70" i="54"/>
  <c r="BY70" i="54"/>
  <c r="BX70" i="54"/>
  <c r="BW70" i="54"/>
  <c r="BV70" i="54"/>
  <c r="BU70" i="54"/>
  <c r="BT70" i="54"/>
  <c r="BR70" i="54"/>
  <c r="BQ70" i="54"/>
  <c r="BP70" i="54"/>
  <c r="BO70" i="54"/>
  <c r="BN70" i="54"/>
  <c r="BM70" i="54"/>
  <c r="BL70" i="54"/>
  <c r="BK70" i="54"/>
  <c r="BG70" i="54"/>
  <c r="BF70" i="54"/>
  <c r="BE70" i="54"/>
  <c r="BD70" i="54"/>
  <c r="BC70" i="54"/>
  <c r="BB70" i="54"/>
  <c r="BA70" i="54"/>
  <c r="AZ70" i="54"/>
  <c r="AX70" i="54"/>
  <c r="AW70" i="54"/>
  <c r="AV70" i="54"/>
  <c r="AU70" i="54"/>
  <c r="AT70" i="54"/>
  <c r="AS70" i="54"/>
  <c r="AR70" i="54"/>
  <c r="AQ70" i="54"/>
  <c r="AM70" i="54"/>
  <c r="AL70" i="54"/>
  <c r="AK70" i="54"/>
  <c r="AJ70" i="54"/>
  <c r="AI70" i="54"/>
  <c r="AH70" i="54"/>
  <c r="AG70" i="54"/>
  <c r="AF70" i="54"/>
  <c r="AD70" i="54"/>
  <c r="AC70" i="54"/>
  <c r="AB70" i="54"/>
  <c r="AA70" i="54"/>
  <c r="Z70" i="54"/>
  <c r="Y70" i="54"/>
  <c r="X70" i="54"/>
  <c r="W70" i="54"/>
  <c r="S70" i="54"/>
  <c r="R70" i="54"/>
  <c r="Q70" i="54"/>
  <c r="P70" i="54"/>
  <c r="O70" i="54"/>
  <c r="N70" i="54"/>
  <c r="M70" i="54"/>
  <c r="L70" i="54"/>
  <c r="J70" i="54"/>
  <c r="I70" i="54"/>
  <c r="H70" i="54"/>
  <c r="G70" i="54"/>
  <c r="F70" i="54"/>
  <c r="E70" i="54"/>
  <c r="D70" i="54"/>
  <c r="C70" i="54"/>
  <c r="BZ66" i="54"/>
  <c r="BX66" i="54"/>
  <c r="BV66" i="54"/>
  <c r="BT66" i="54"/>
  <c r="BR66" i="54"/>
  <c r="BQ66" i="54"/>
  <c r="BP66" i="54"/>
  <c r="BO66" i="54"/>
  <c r="BN66" i="54"/>
  <c r="BM66" i="54"/>
  <c r="BL66" i="54"/>
  <c r="BK66" i="54"/>
  <c r="AL66" i="54"/>
  <c r="AJ66" i="54"/>
  <c r="AH66" i="54"/>
  <c r="AF66" i="54"/>
  <c r="AD66" i="54"/>
  <c r="AC66" i="54"/>
  <c r="AB66" i="54"/>
  <c r="AA66" i="54"/>
  <c r="Z66" i="54"/>
  <c r="Y66" i="54"/>
  <c r="X66" i="54"/>
  <c r="W66" i="54"/>
  <c r="L66" i="54"/>
  <c r="J66" i="54"/>
  <c r="I66" i="54"/>
  <c r="H66" i="54"/>
  <c r="G66" i="54"/>
  <c r="F66" i="54"/>
  <c r="E66" i="54"/>
  <c r="D66" i="54"/>
  <c r="C66" i="54"/>
  <c r="CR64" i="54"/>
  <c r="CQ64" i="54"/>
  <c r="CP64" i="54"/>
  <c r="CO64" i="54"/>
  <c r="CM64" i="54"/>
  <c r="CL64" i="54"/>
  <c r="CK64" i="54"/>
  <c r="CJ64" i="54"/>
  <c r="CH64" i="54"/>
  <c r="CG64" i="54"/>
  <c r="CF64" i="54"/>
  <c r="CE64" i="54"/>
  <c r="CB64" i="54"/>
  <c r="BS64" i="54"/>
  <c r="BH64" i="54"/>
  <c r="AY64" i="54"/>
  <c r="AN64" i="54"/>
  <c r="AE64" i="54"/>
  <c r="T64" i="54"/>
  <c r="K64" i="54"/>
  <c r="CR63" i="54"/>
  <c r="CQ63" i="54"/>
  <c r="CP63" i="54"/>
  <c r="CO63" i="54"/>
  <c r="CM63" i="54"/>
  <c r="CL63" i="54"/>
  <c r="CK63" i="54"/>
  <c r="CJ63" i="54"/>
  <c r="CH63" i="54"/>
  <c r="CG63" i="54"/>
  <c r="CF63" i="54"/>
  <c r="CE63" i="54"/>
  <c r="CB63" i="54"/>
  <c r="BS63" i="54"/>
  <c r="BH63" i="54"/>
  <c r="AY63" i="54"/>
  <c r="AN63" i="54"/>
  <c r="AE63" i="54"/>
  <c r="T63" i="54"/>
  <c r="K63" i="54"/>
  <c r="CR62" i="54"/>
  <c r="CQ62" i="54"/>
  <c r="CP62" i="54"/>
  <c r="CO62" i="54"/>
  <c r="CM62" i="54"/>
  <c r="CL62" i="54"/>
  <c r="CK62" i="54"/>
  <c r="CJ62" i="54"/>
  <c r="CH62" i="54"/>
  <c r="CG62" i="54"/>
  <c r="CF62" i="54"/>
  <c r="CE62" i="54"/>
  <c r="CB62" i="54"/>
  <c r="BS62" i="54"/>
  <c r="BH62" i="54"/>
  <c r="AY62" i="54"/>
  <c r="AN62" i="54"/>
  <c r="AE62" i="54"/>
  <c r="T62" i="54"/>
  <c r="K62" i="54"/>
  <c r="CR61" i="54"/>
  <c r="CQ61" i="54"/>
  <c r="CP61" i="54"/>
  <c r="CO61" i="54"/>
  <c r="CM61" i="54"/>
  <c r="CL61" i="54"/>
  <c r="CK61" i="54"/>
  <c r="CJ61" i="54"/>
  <c r="CH61" i="54"/>
  <c r="CG61" i="54"/>
  <c r="CF61" i="54"/>
  <c r="CE61" i="54"/>
  <c r="CB61" i="54"/>
  <c r="BS61" i="54"/>
  <c r="BH61" i="54"/>
  <c r="AY61" i="54"/>
  <c r="AN61" i="54"/>
  <c r="AE61" i="54"/>
  <c r="T61" i="54"/>
  <c r="K61" i="54"/>
  <c r="CR60" i="54"/>
  <c r="CQ60" i="54"/>
  <c r="CP60" i="54"/>
  <c r="CO60" i="54"/>
  <c r="CM60" i="54"/>
  <c r="CL60" i="54"/>
  <c r="CK60" i="54"/>
  <c r="CJ60" i="54"/>
  <c r="CH60" i="54"/>
  <c r="CG60" i="54"/>
  <c r="CF60" i="54"/>
  <c r="CE60" i="54"/>
  <c r="CB60" i="54"/>
  <c r="BS60" i="54"/>
  <c r="BH60" i="54"/>
  <c r="AY60" i="54"/>
  <c r="AN60" i="54"/>
  <c r="AE60" i="54"/>
  <c r="T60" i="54"/>
  <c r="K60" i="54"/>
  <c r="CR59" i="54"/>
  <c r="CQ59" i="54"/>
  <c r="CP59" i="54"/>
  <c r="CO59" i="54"/>
  <c r="CM59" i="54"/>
  <c r="CL59" i="54"/>
  <c r="CK59" i="54"/>
  <c r="CJ59" i="54"/>
  <c r="CH59" i="54"/>
  <c r="CG59" i="54"/>
  <c r="CF59" i="54"/>
  <c r="CE59" i="54"/>
  <c r="CB59" i="54"/>
  <c r="BS59" i="54"/>
  <c r="BH59" i="54"/>
  <c r="AY59" i="54"/>
  <c r="AN59" i="54"/>
  <c r="AE59" i="54"/>
  <c r="T59" i="54"/>
  <c r="K59" i="54"/>
  <c r="CR58" i="54"/>
  <c r="CQ58" i="54"/>
  <c r="CP58" i="54"/>
  <c r="CO58" i="54"/>
  <c r="CM58" i="54"/>
  <c r="CL58" i="54"/>
  <c r="CK58" i="54"/>
  <c r="CJ58" i="54"/>
  <c r="CH58" i="54"/>
  <c r="CG58" i="54"/>
  <c r="CF58" i="54"/>
  <c r="CE58" i="54"/>
  <c r="CB58" i="54"/>
  <c r="BS58" i="54"/>
  <c r="BH58" i="54"/>
  <c r="AY58" i="54"/>
  <c r="AN58" i="54"/>
  <c r="AE58" i="54"/>
  <c r="T58" i="54"/>
  <c r="K58" i="54"/>
  <c r="CR57" i="54"/>
  <c r="CQ57" i="54"/>
  <c r="CP57" i="54"/>
  <c r="CO57" i="54"/>
  <c r="CM57" i="54"/>
  <c r="CL57" i="54"/>
  <c r="CK57" i="54"/>
  <c r="CJ57" i="54"/>
  <c r="CH57" i="54"/>
  <c r="CG57" i="54"/>
  <c r="CF57" i="54"/>
  <c r="CE57" i="54"/>
  <c r="CB57" i="54"/>
  <c r="BS57" i="54"/>
  <c r="BH57" i="54"/>
  <c r="AY57" i="54"/>
  <c r="AN57" i="54"/>
  <c r="AE57" i="54"/>
  <c r="T57" i="54"/>
  <c r="K57" i="54"/>
  <c r="CR56" i="54"/>
  <c r="CQ56" i="54"/>
  <c r="CP56" i="54"/>
  <c r="CO56" i="54"/>
  <c r="CM56" i="54"/>
  <c r="CL56" i="54"/>
  <c r="CK56" i="54"/>
  <c r="CJ56" i="54"/>
  <c r="CH56" i="54"/>
  <c r="CG56" i="54"/>
  <c r="CF56" i="54"/>
  <c r="CE56" i="54"/>
  <c r="CB56" i="54"/>
  <c r="BS56" i="54"/>
  <c r="BH56" i="54"/>
  <c r="AY56" i="54"/>
  <c r="AN56" i="54"/>
  <c r="AE56" i="54"/>
  <c r="T56" i="54"/>
  <c r="K56" i="54"/>
  <c r="CR55" i="54"/>
  <c r="CQ55" i="54"/>
  <c r="CP55" i="54"/>
  <c r="CO55" i="54"/>
  <c r="CM55" i="54"/>
  <c r="CL55" i="54"/>
  <c r="CK55" i="54"/>
  <c r="CJ55" i="54"/>
  <c r="CH55" i="54"/>
  <c r="CG55" i="54"/>
  <c r="CF55" i="54"/>
  <c r="CE55" i="54"/>
  <c r="CB55" i="54"/>
  <c r="BS55" i="54"/>
  <c r="BH55" i="54"/>
  <c r="AY55" i="54"/>
  <c r="AN55" i="54"/>
  <c r="AE55" i="54"/>
  <c r="T55" i="54"/>
  <c r="K55" i="54"/>
  <c r="CR54" i="54"/>
  <c r="CQ54" i="54"/>
  <c r="CP54" i="54"/>
  <c r="CO54" i="54"/>
  <c r="CM54" i="54"/>
  <c r="CL54" i="54"/>
  <c r="CK54" i="54"/>
  <c r="CJ54" i="54"/>
  <c r="CH54" i="54"/>
  <c r="CG54" i="54"/>
  <c r="CF54" i="54"/>
  <c r="CE54" i="54"/>
  <c r="CB54" i="54"/>
  <c r="BS54" i="54"/>
  <c r="BH54" i="54"/>
  <c r="AY54" i="54"/>
  <c r="AN54" i="54"/>
  <c r="AE54" i="54"/>
  <c r="T54" i="54"/>
  <c r="K54" i="54"/>
  <c r="CR53" i="54"/>
  <c r="CQ53" i="54"/>
  <c r="CP53" i="54"/>
  <c r="CO53" i="54"/>
  <c r="CM53" i="54"/>
  <c r="CL53" i="54"/>
  <c r="CK53" i="54"/>
  <c r="CJ53" i="54"/>
  <c r="CH53" i="54"/>
  <c r="CG53" i="54"/>
  <c r="CF53" i="54"/>
  <c r="CE53" i="54"/>
  <c r="CB53" i="54"/>
  <c r="BS53" i="54"/>
  <c r="BH53" i="54"/>
  <c r="AY53" i="54"/>
  <c r="AN53" i="54"/>
  <c r="AE53" i="54"/>
  <c r="T53" i="54"/>
  <c r="K53" i="54"/>
  <c r="CR52" i="54"/>
  <c r="CQ52" i="54"/>
  <c r="CP52" i="54"/>
  <c r="CO52" i="54"/>
  <c r="CM52" i="54"/>
  <c r="CL52" i="54"/>
  <c r="CK52" i="54"/>
  <c r="CJ52" i="54"/>
  <c r="CH52" i="54"/>
  <c r="CG52" i="54"/>
  <c r="CF52" i="54"/>
  <c r="CE52" i="54"/>
  <c r="CB52" i="54"/>
  <c r="BS52" i="54"/>
  <c r="BH52" i="54"/>
  <c r="AY52" i="54"/>
  <c r="AN52" i="54"/>
  <c r="AE52" i="54"/>
  <c r="T52" i="54"/>
  <c r="K52" i="54"/>
  <c r="CR51" i="54"/>
  <c r="CQ51" i="54"/>
  <c r="CP51" i="54"/>
  <c r="CO51" i="54"/>
  <c r="CM51" i="54"/>
  <c r="CL51" i="54"/>
  <c r="CK51" i="54"/>
  <c r="CJ51" i="54"/>
  <c r="CH51" i="54"/>
  <c r="CG51" i="54"/>
  <c r="CF51" i="54"/>
  <c r="CE51" i="54"/>
  <c r="CB51" i="54"/>
  <c r="BS51" i="54"/>
  <c r="BH51" i="54"/>
  <c r="AY51" i="54"/>
  <c r="AN51" i="54"/>
  <c r="AE51" i="54"/>
  <c r="T51" i="54"/>
  <c r="K51" i="54"/>
  <c r="CR50" i="54"/>
  <c r="CQ50" i="54"/>
  <c r="CP50" i="54"/>
  <c r="CO50" i="54"/>
  <c r="CM50" i="54"/>
  <c r="CL50" i="54"/>
  <c r="CK50" i="54"/>
  <c r="CJ50" i="54"/>
  <c r="CH50" i="54"/>
  <c r="CG50" i="54"/>
  <c r="CF50" i="54"/>
  <c r="CE50" i="54"/>
  <c r="CB50" i="54"/>
  <c r="BS50" i="54"/>
  <c r="BH50" i="54"/>
  <c r="AY50" i="54"/>
  <c r="AN50" i="54"/>
  <c r="AE50" i="54"/>
  <c r="T50" i="54"/>
  <c r="K50" i="54"/>
  <c r="CR49" i="54"/>
  <c r="CQ49" i="54"/>
  <c r="CP49" i="54"/>
  <c r="CO49" i="54"/>
  <c r="CM49" i="54"/>
  <c r="CL49" i="54"/>
  <c r="CK49" i="54"/>
  <c r="CJ49" i="54"/>
  <c r="CH49" i="54"/>
  <c r="CG49" i="54"/>
  <c r="CF49" i="54"/>
  <c r="CE49" i="54"/>
  <c r="CB49" i="54"/>
  <c r="BS49" i="54"/>
  <c r="BH49" i="54"/>
  <c r="AY49" i="54"/>
  <c r="AN49" i="54"/>
  <c r="AE49" i="54"/>
  <c r="T49" i="54"/>
  <c r="K49" i="54"/>
  <c r="CR48" i="54"/>
  <c r="CQ48" i="54"/>
  <c r="CP48" i="54"/>
  <c r="CO48" i="54"/>
  <c r="CM48" i="54"/>
  <c r="CL48" i="54"/>
  <c r="CK48" i="54"/>
  <c r="CJ48" i="54"/>
  <c r="CH48" i="54"/>
  <c r="CG48" i="54"/>
  <c r="CF48" i="54"/>
  <c r="CE48" i="54"/>
  <c r="CB48" i="54"/>
  <c r="BS48" i="54"/>
  <c r="BH48" i="54"/>
  <c r="AY48" i="54"/>
  <c r="AN48" i="54"/>
  <c r="AE48" i="54"/>
  <c r="T48" i="54"/>
  <c r="K48" i="54"/>
  <c r="CH47" i="54"/>
  <c r="CG47" i="54"/>
  <c r="CF47" i="54"/>
  <c r="CE47" i="54"/>
  <c r="BS47" i="54"/>
  <c r="AY47" i="54"/>
  <c r="AE47" i="54"/>
  <c r="K47" i="54"/>
  <c r="CP46" i="54"/>
  <c r="CO46" i="54"/>
  <c r="CK46" i="54"/>
  <c r="CJ46" i="54"/>
  <c r="CH46" i="54"/>
  <c r="CG46" i="54"/>
  <c r="CF46" i="54"/>
  <c r="CE46" i="54"/>
  <c r="BS46" i="54"/>
  <c r="BH46" i="54"/>
  <c r="AY46" i="54"/>
  <c r="AN46" i="54"/>
  <c r="AE46" i="54"/>
  <c r="T46" i="54"/>
  <c r="K46" i="54"/>
  <c r="CH45" i="54"/>
  <c r="BS45" i="54"/>
  <c r="AE45" i="54"/>
  <c r="K45" i="54"/>
  <c r="BS44" i="54"/>
  <c r="AE44" i="54"/>
  <c r="K44" i="54"/>
  <c r="CR43" i="54"/>
  <c r="CQ43" i="54"/>
  <c r="CP43" i="54"/>
  <c r="CO43" i="54"/>
  <c r="CM43" i="54"/>
  <c r="CL43" i="54"/>
  <c r="CK43" i="54"/>
  <c r="CJ43" i="54"/>
  <c r="CH43" i="54"/>
  <c r="CG43" i="54"/>
  <c r="CF43" i="54"/>
  <c r="CE43" i="54"/>
  <c r="CB43" i="54"/>
  <c r="BS43" i="54"/>
  <c r="BH43" i="54"/>
  <c r="AY43" i="54"/>
  <c r="AN43" i="54"/>
  <c r="AE43" i="54"/>
  <c r="T43" i="54"/>
  <c r="K43" i="54"/>
  <c r="CR42" i="54"/>
  <c r="CQ42" i="54"/>
  <c r="CP42" i="54"/>
  <c r="CO42" i="54"/>
  <c r="CM42" i="54"/>
  <c r="CL42" i="54"/>
  <c r="CK42" i="54"/>
  <c r="CJ42" i="54"/>
  <c r="CH42" i="54"/>
  <c r="CG42" i="54"/>
  <c r="CF42" i="54"/>
  <c r="CE42" i="54"/>
  <c r="CB42" i="54"/>
  <c r="BS42" i="54"/>
  <c r="BH42" i="54"/>
  <c r="AY42" i="54"/>
  <c r="AN42" i="54"/>
  <c r="AE42" i="54"/>
  <c r="T42" i="54"/>
  <c r="K42" i="54"/>
  <c r="CR41" i="54"/>
  <c r="CQ41" i="54"/>
  <c r="CP41" i="54"/>
  <c r="CO41" i="54"/>
  <c r="CM41" i="54"/>
  <c r="CL41" i="54"/>
  <c r="CK41" i="54"/>
  <c r="CJ41" i="54"/>
  <c r="CH41" i="54"/>
  <c r="CG41" i="54"/>
  <c r="CF41" i="54"/>
  <c r="CE41" i="54"/>
  <c r="CB41" i="54"/>
  <c r="BS41" i="54"/>
  <c r="BH41" i="54"/>
  <c r="AY41" i="54"/>
  <c r="AN41" i="54"/>
  <c r="AE41" i="54"/>
  <c r="T41" i="54"/>
  <c r="K41" i="54"/>
  <c r="CR40" i="54"/>
  <c r="CQ40" i="54"/>
  <c r="CP40" i="54"/>
  <c r="CO40" i="54"/>
  <c r="CM40" i="54"/>
  <c r="CL40" i="54"/>
  <c r="CK40" i="54"/>
  <c r="CJ40" i="54"/>
  <c r="CH40" i="54"/>
  <c r="CG40" i="54"/>
  <c r="CF40" i="54"/>
  <c r="CE40" i="54"/>
  <c r="CB40" i="54"/>
  <c r="BS40" i="54"/>
  <c r="BH40" i="54"/>
  <c r="AY40" i="54"/>
  <c r="AN40" i="54"/>
  <c r="AE40" i="54"/>
  <c r="T40" i="54"/>
  <c r="K40" i="54"/>
  <c r="CR39" i="54"/>
  <c r="CQ39" i="54"/>
  <c r="CP39" i="54"/>
  <c r="CO39" i="54"/>
  <c r="CM39" i="54"/>
  <c r="CL39" i="54"/>
  <c r="CK39" i="54"/>
  <c r="CJ39" i="54"/>
  <c r="CH39" i="54"/>
  <c r="CG39" i="54"/>
  <c r="CF39" i="54"/>
  <c r="CE39" i="54"/>
  <c r="CB39" i="54"/>
  <c r="BS39" i="54"/>
  <c r="BH39" i="54"/>
  <c r="AY39" i="54"/>
  <c r="AN39" i="54"/>
  <c r="AE39" i="54"/>
  <c r="T39" i="54"/>
  <c r="K39" i="54"/>
  <c r="CR38" i="54"/>
  <c r="CQ38" i="54"/>
  <c r="CP38" i="54"/>
  <c r="CO38" i="54"/>
  <c r="CM38" i="54"/>
  <c r="CL38" i="54"/>
  <c r="CK38" i="54"/>
  <c r="CJ38" i="54"/>
  <c r="CH38" i="54"/>
  <c r="CG38" i="54"/>
  <c r="CF38" i="54"/>
  <c r="CE38" i="54"/>
  <c r="CB38" i="54"/>
  <c r="BS38" i="54"/>
  <c r="BH38" i="54"/>
  <c r="AY38" i="54"/>
  <c r="AN38" i="54"/>
  <c r="AE38" i="54"/>
  <c r="T38" i="54"/>
  <c r="K38" i="54"/>
  <c r="CR37" i="54"/>
  <c r="CQ37" i="54"/>
  <c r="CP37" i="54"/>
  <c r="CO37" i="54"/>
  <c r="CM37" i="54"/>
  <c r="CL37" i="54"/>
  <c r="CK37" i="54"/>
  <c r="CJ37" i="54"/>
  <c r="CH37" i="54"/>
  <c r="CG37" i="54"/>
  <c r="CF37" i="54"/>
  <c r="CE37" i="54"/>
  <c r="CB37" i="54"/>
  <c r="BS37" i="54"/>
  <c r="BH37" i="54"/>
  <c r="AY37" i="54"/>
  <c r="AN37" i="54"/>
  <c r="AE37" i="54"/>
  <c r="T37" i="54"/>
  <c r="K37" i="54"/>
  <c r="CR36" i="54"/>
  <c r="CQ36" i="54"/>
  <c r="CP36" i="54"/>
  <c r="CO36" i="54"/>
  <c r="CM36" i="54"/>
  <c r="CL36" i="54"/>
  <c r="CK36" i="54"/>
  <c r="CJ36" i="54"/>
  <c r="CH36" i="54"/>
  <c r="CG36" i="54"/>
  <c r="CF36" i="54"/>
  <c r="CE36" i="54"/>
  <c r="CB36" i="54"/>
  <c r="BS36" i="54"/>
  <c r="BH36" i="54"/>
  <c r="AY36" i="54"/>
  <c r="AN36" i="54"/>
  <c r="AE36" i="54"/>
  <c r="T36" i="54"/>
  <c r="K36" i="54"/>
  <c r="CR35" i="54"/>
  <c r="CQ35" i="54"/>
  <c r="CP35" i="54"/>
  <c r="CO35" i="54"/>
  <c r="CM35" i="54"/>
  <c r="CL35" i="54"/>
  <c r="CK35" i="54"/>
  <c r="CJ35" i="54"/>
  <c r="CH35" i="54"/>
  <c r="CG35" i="54"/>
  <c r="CF35" i="54"/>
  <c r="CE35" i="54"/>
  <c r="CB35" i="54"/>
  <c r="BS35" i="54"/>
  <c r="BH35" i="54"/>
  <c r="AY35" i="54"/>
  <c r="AN35" i="54"/>
  <c r="AE35" i="54"/>
  <c r="T35" i="54"/>
  <c r="K35" i="54"/>
  <c r="CR28" i="54"/>
  <c r="CQ28" i="54"/>
  <c r="CP28" i="54"/>
  <c r="CO28" i="54"/>
  <c r="CM28" i="54"/>
  <c r="CL28" i="54"/>
  <c r="CK28" i="54"/>
  <c r="CJ28" i="54"/>
  <c r="CH28" i="54"/>
  <c r="CG28" i="54"/>
  <c r="CF28" i="54"/>
  <c r="CE28" i="54"/>
  <c r="CB28" i="54"/>
  <c r="CC28" i="54" s="1"/>
  <c r="BS28" i="54"/>
  <c r="BH28" i="54"/>
  <c r="AY28" i="54"/>
  <c r="BI28" i="54" s="1"/>
  <c r="AN28" i="54"/>
  <c r="AE28" i="54"/>
  <c r="T28" i="54"/>
  <c r="K28" i="54"/>
  <c r="CR27" i="54"/>
  <c r="CQ27" i="54"/>
  <c r="CP27" i="54"/>
  <c r="CO27" i="54"/>
  <c r="CM27" i="54"/>
  <c r="CL27" i="54"/>
  <c r="CK27" i="54"/>
  <c r="CJ27" i="54"/>
  <c r="CH27" i="54"/>
  <c r="CG27" i="54"/>
  <c r="CF27" i="54"/>
  <c r="CE27" i="54"/>
  <c r="CB27" i="54"/>
  <c r="BS27" i="54"/>
  <c r="BH27" i="54"/>
  <c r="AY27" i="54"/>
  <c r="AN27" i="54"/>
  <c r="AE27" i="54"/>
  <c r="T27" i="54"/>
  <c r="K27" i="54"/>
  <c r="CR26" i="54"/>
  <c r="CQ26" i="54"/>
  <c r="CP26" i="54"/>
  <c r="CO26" i="54"/>
  <c r="CM26" i="54"/>
  <c r="CL26" i="54"/>
  <c r="CK26" i="54"/>
  <c r="CJ26" i="54"/>
  <c r="CH26" i="54"/>
  <c r="CG26" i="54"/>
  <c r="CF26" i="54"/>
  <c r="CE26" i="54"/>
  <c r="CB26" i="54"/>
  <c r="BS26" i="54"/>
  <c r="BH26" i="54"/>
  <c r="AY26" i="54"/>
  <c r="AN26" i="54"/>
  <c r="AE26" i="54"/>
  <c r="T26" i="54"/>
  <c r="K26" i="54"/>
  <c r="CI26" i="54" s="1"/>
  <c r="CM25" i="54"/>
  <c r="CL25" i="54"/>
  <c r="CK25" i="54"/>
  <c r="CJ25" i="54"/>
  <c r="CB25" i="54"/>
  <c r="BH25" i="54"/>
  <c r="AY25" i="54"/>
  <c r="AN25" i="54"/>
  <c r="AE25" i="54"/>
  <c r="AO25" i="54" s="1"/>
  <c r="U25" i="54"/>
  <c r="T25" i="54"/>
  <c r="K25" i="54"/>
  <c r="CH22" i="54"/>
  <c r="CG22" i="54"/>
  <c r="CF22" i="54"/>
  <c r="CE22" i="54"/>
  <c r="BS22" i="54"/>
  <c r="AY22" i="54"/>
  <c r="AE22" i="54"/>
  <c r="K22" i="54"/>
  <c r="CR21" i="54"/>
  <c r="CQ21" i="54"/>
  <c r="CP21" i="54"/>
  <c r="CO21" i="54"/>
  <c r="CM21" i="54"/>
  <c r="CL21" i="54"/>
  <c r="CK21" i="54"/>
  <c r="CJ21" i="54"/>
  <c r="CH21" i="54"/>
  <c r="CG21" i="54"/>
  <c r="CF21" i="54"/>
  <c r="CE21" i="54"/>
  <c r="CB21" i="54"/>
  <c r="BS21" i="54"/>
  <c r="CC21" i="54" s="1"/>
  <c r="BH21" i="54"/>
  <c r="AY21" i="54"/>
  <c r="AN21" i="54"/>
  <c r="AE21" i="54"/>
  <c r="AO21" i="54" s="1"/>
  <c r="T21" i="54"/>
  <c r="CN21" i="54" s="1"/>
  <c r="K21" i="54"/>
  <c r="CA20" i="54"/>
  <c r="BZ20" i="54"/>
  <c r="BZ23" i="54" s="1"/>
  <c r="BY20" i="54"/>
  <c r="BX20" i="54"/>
  <c r="BX23" i="54" s="1"/>
  <c r="BW20" i="54"/>
  <c r="BV20" i="54"/>
  <c r="BV23" i="54" s="1"/>
  <c r="BU20" i="54"/>
  <c r="BT20" i="54"/>
  <c r="BT23" i="54" s="1"/>
  <c r="BR20" i="54"/>
  <c r="BR23" i="54" s="1"/>
  <c r="BQ20" i="54"/>
  <c r="BQ23" i="54" s="1"/>
  <c r="BP20" i="54"/>
  <c r="BP23" i="54" s="1"/>
  <c r="BO20" i="54"/>
  <c r="BO23" i="54" s="1"/>
  <c r="BN20" i="54"/>
  <c r="BN23" i="54" s="1"/>
  <c r="BM20" i="54"/>
  <c r="BM23" i="54" s="1"/>
  <c r="BL20" i="54"/>
  <c r="BL23" i="54" s="1"/>
  <c r="BK20" i="54"/>
  <c r="BG20" i="54"/>
  <c r="BF20" i="54"/>
  <c r="BF23" i="54" s="1"/>
  <c r="BE20" i="54"/>
  <c r="BD20" i="54"/>
  <c r="BD23" i="54" s="1"/>
  <c r="BC20" i="54"/>
  <c r="BB20" i="54"/>
  <c r="BB23" i="54" s="1"/>
  <c r="BA20" i="54"/>
  <c r="AZ20" i="54"/>
  <c r="AZ23" i="54" s="1"/>
  <c r="AX20" i="54"/>
  <c r="AX23" i="54" s="1"/>
  <c r="AW20" i="54"/>
  <c r="AW23" i="54" s="1"/>
  <c r="AV20" i="54"/>
  <c r="AV23" i="54" s="1"/>
  <c r="AU20" i="54"/>
  <c r="AU23" i="54" s="1"/>
  <c r="AT20" i="54"/>
  <c r="AT23" i="54" s="1"/>
  <c r="AS20" i="54"/>
  <c r="AS23" i="54" s="1"/>
  <c r="AR20" i="54"/>
  <c r="AR23" i="54" s="1"/>
  <c r="AQ20" i="54"/>
  <c r="AQ23" i="54" s="1"/>
  <c r="AM20" i="54"/>
  <c r="AL20" i="54"/>
  <c r="AL23" i="54" s="1"/>
  <c r="AK20" i="54"/>
  <c r="AJ20" i="54"/>
  <c r="AI20" i="54"/>
  <c r="AH20" i="54"/>
  <c r="AH23" i="54" s="1"/>
  <c r="AG20" i="54"/>
  <c r="AF20" i="54"/>
  <c r="AF23" i="54" s="1"/>
  <c r="AD20" i="54"/>
  <c r="AD23" i="54" s="1"/>
  <c r="AC20" i="54"/>
  <c r="AC23" i="54" s="1"/>
  <c r="AB20" i="54"/>
  <c r="AB23" i="54" s="1"/>
  <c r="AA20" i="54"/>
  <c r="AA23" i="54" s="1"/>
  <c r="Z20" i="54"/>
  <c r="Z23" i="54" s="1"/>
  <c r="Y20" i="54"/>
  <c r="Y23" i="54" s="1"/>
  <c r="X20" i="54"/>
  <c r="X23" i="54" s="1"/>
  <c r="W20" i="54"/>
  <c r="W23" i="54" s="1"/>
  <c r="S20" i="54"/>
  <c r="R20" i="54"/>
  <c r="Q20" i="54"/>
  <c r="P20" i="54"/>
  <c r="P23" i="54" s="1"/>
  <c r="O20" i="54"/>
  <c r="N20" i="54"/>
  <c r="N23" i="54" s="1"/>
  <c r="M20" i="54"/>
  <c r="L20" i="54"/>
  <c r="J20" i="54"/>
  <c r="J23" i="54" s="1"/>
  <c r="I20" i="54"/>
  <c r="I23" i="54" s="1"/>
  <c r="H20" i="54"/>
  <c r="H23" i="54" s="1"/>
  <c r="G20" i="54"/>
  <c r="F20" i="54"/>
  <c r="F23" i="54" s="1"/>
  <c r="E20" i="54"/>
  <c r="D20" i="54"/>
  <c r="D23" i="54" s="1"/>
  <c r="C20" i="54"/>
  <c r="CR19" i="54"/>
  <c r="CQ19" i="54"/>
  <c r="CP19" i="54"/>
  <c r="CO19" i="54"/>
  <c r="CM19" i="54"/>
  <c r="CL19" i="54"/>
  <c r="CK19" i="54"/>
  <c r="CJ19" i="54"/>
  <c r="CH19" i="54"/>
  <c r="CG19" i="54"/>
  <c r="CF19" i="54"/>
  <c r="CE19" i="54"/>
  <c r="CB19" i="54"/>
  <c r="BS19" i="54"/>
  <c r="BH19" i="54"/>
  <c r="AY19" i="54"/>
  <c r="AN19" i="54"/>
  <c r="AE19" i="54"/>
  <c r="T19" i="54"/>
  <c r="U19" i="54" s="1"/>
  <c r="K19" i="54"/>
  <c r="CR18" i="54"/>
  <c r="CQ18" i="54"/>
  <c r="CP18" i="54"/>
  <c r="CO18" i="54"/>
  <c r="CM18" i="54"/>
  <c r="CL18" i="54"/>
  <c r="CK18" i="54"/>
  <c r="CJ18" i="54"/>
  <c r="CH18" i="54"/>
  <c r="CG18" i="54"/>
  <c r="CF18" i="54"/>
  <c r="CE18" i="54"/>
  <c r="CB18" i="54"/>
  <c r="BS18" i="54"/>
  <c r="BH18" i="54"/>
  <c r="AY18" i="54"/>
  <c r="AN18" i="54"/>
  <c r="AE18" i="54"/>
  <c r="T18" i="54"/>
  <c r="K18" i="54"/>
  <c r="CR17" i="54"/>
  <c r="CQ17" i="54"/>
  <c r="CP17" i="54"/>
  <c r="CO17" i="54"/>
  <c r="CM17" i="54"/>
  <c r="CL17" i="54"/>
  <c r="CK17" i="54"/>
  <c r="CJ17" i="54"/>
  <c r="CH17" i="54"/>
  <c r="CG17" i="54"/>
  <c r="CF17" i="54"/>
  <c r="CE17" i="54"/>
  <c r="CB17" i="54"/>
  <c r="BS17" i="54"/>
  <c r="BH17" i="54"/>
  <c r="AY17" i="54"/>
  <c r="AN17" i="54"/>
  <c r="AE17" i="54"/>
  <c r="T17" i="54"/>
  <c r="K17" i="54"/>
  <c r="CR16" i="54"/>
  <c r="CQ16" i="54"/>
  <c r="CP16" i="54"/>
  <c r="CO16" i="54"/>
  <c r="CM16" i="54"/>
  <c r="CL16" i="54"/>
  <c r="CK16" i="54"/>
  <c r="CJ16" i="54"/>
  <c r="CH16" i="54"/>
  <c r="CG16" i="54"/>
  <c r="CF16" i="54"/>
  <c r="CE16" i="54"/>
  <c r="CB16" i="54"/>
  <c r="BS16" i="54"/>
  <c r="BH16" i="54"/>
  <c r="AY16" i="54"/>
  <c r="AN16" i="54"/>
  <c r="AE16" i="54"/>
  <c r="T16" i="54"/>
  <c r="K16" i="54"/>
  <c r="CA14" i="54"/>
  <c r="BZ14" i="54"/>
  <c r="BY14" i="54"/>
  <c r="BX14" i="54"/>
  <c r="BW14" i="54"/>
  <c r="BV14" i="54"/>
  <c r="BU14" i="54"/>
  <c r="BT14" i="54"/>
  <c r="BR14" i="54"/>
  <c r="BQ14" i="54"/>
  <c r="BP14" i="54"/>
  <c r="BO14" i="54"/>
  <c r="BN14" i="54"/>
  <c r="BM14" i="54"/>
  <c r="BL14" i="54"/>
  <c r="BK14" i="54"/>
  <c r="BG14" i="54"/>
  <c r="BF14" i="54"/>
  <c r="BE14" i="54"/>
  <c r="BC14" i="54"/>
  <c r="BA14" i="54"/>
  <c r="AZ14" i="54"/>
  <c r="AX14" i="54"/>
  <c r="AV14" i="54"/>
  <c r="AT14" i="54"/>
  <c r="AS14" i="54"/>
  <c r="AR14" i="54"/>
  <c r="AM14" i="54"/>
  <c r="AL14" i="54"/>
  <c r="AK14" i="54"/>
  <c r="AJ14" i="54"/>
  <c r="AI14" i="54"/>
  <c r="AH14" i="54"/>
  <c r="AG14" i="54"/>
  <c r="AF14" i="54"/>
  <c r="AD14" i="54"/>
  <c r="AC14" i="54"/>
  <c r="AB14" i="54"/>
  <c r="AA14" i="54"/>
  <c r="Z14" i="54"/>
  <c r="Y14" i="54"/>
  <c r="X14" i="54"/>
  <c r="W14" i="54"/>
  <c r="S14" i="54"/>
  <c r="Q14" i="54"/>
  <c r="O14" i="54"/>
  <c r="M14" i="54"/>
  <c r="L14" i="54"/>
  <c r="J14" i="54"/>
  <c r="H14" i="54"/>
  <c r="F14" i="54"/>
  <c r="E14" i="54"/>
  <c r="D14" i="54"/>
  <c r="CR85" i="53"/>
  <c r="CQ85" i="53"/>
  <c r="CP85" i="53"/>
  <c r="CO85" i="53"/>
  <c r="CM85" i="53"/>
  <c r="CL85" i="53"/>
  <c r="CK85" i="53"/>
  <c r="CJ85" i="53"/>
  <c r="CH85" i="53"/>
  <c r="CG85" i="53"/>
  <c r="CF85" i="53"/>
  <c r="CE85" i="53"/>
  <c r="CB85" i="53"/>
  <c r="CC85" i="53" s="1"/>
  <c r="BS85" i="53"/>
  <c r="BH85" i="53"/>
  <c r="BI85" i="53" s="1"/>
  <c r="AY85" i="53"/>
  <c r="AN85" i="53"/>
  <c r="AE85" i="53"/>
  <c r="T85" i="53"/>
  <c r="K85" i="53"/>
  <c r="CR84" i="53"/>
  <c r="CQ84" i="53"/>
  <c r="CP84" i="53"/>
  <c r="CO84" i="53"/>
  <c r="CM84" i="53"/>
  <c r="CL84" i="53"/>
  <c r="CK84" i="53"/>
  <c r="CJ84" i="53"/>
  <c r="CH84" i="53"/>
  <c r="CG84" i="53"/>
  <c r="CF84" i="53"/>
  <c r="CE84" i="53"/>
  <c r="CB84" i="53"/>
  <c r="CC84" i="53" s="1"/>
  <c r="BS84" i="53"/>
  <c r="BH84" i="53"/>
  <c r="AY84" i="53"/>
  <c r="AN84" i="53"/>
  <c r="AE84" i="53"/>
  <c r="U84" i="53"/>
  <c r="T84" i="53"/>
  <c r="K84" i="53"/>
  <c r="CR83" i="53"/>
  <c r="CQ83" i="53"/>
  <c r="CP83" i="53"/>
  <c r="CO83" i="53"/>
  <c r="CM83" i="53"/>
  <c r="CL83" i="53"/>
  <c r="CK83" i="53"/>
  <c r="CJ83" i="53"/>
  <c r="CH83" i="53"/>
  <c r="CG83" i="53"/>
  <c r="CF83" i="53"/>
  <c r="CE83" i="53"/>
  <c r="CB83" i="53"/>
  <c r="BS83" i="53"/>
  <c r="BH83" i="53"/>
  <c r="AY83" i="53"/>
  <c r="BI83" i="53" s="1"/>
  <c r="AO83" i="53"/>
  <c r="AN83" i="53"/>
  <c r="AE83" i="53"/>
  <c r="T83" i="53"/>
  <c r="K83" i="53"/>
  <c r="CR82" i="53"/>
  <c r="CQ82" i="53"/>
  <c r="CP82" i="53"/>
  <c r="CO82" i="53"/>
  <c r="CM82" i="53"/>
  <c r="CL82" i="53"/>
  <c r="CK82" i="53"/>
  <c r="CJ82" i="53"/>
  <c r="CH82" i="53"/>
  <c r="CG82" i="53"/>
  <c r="CF82" i="53"/>
  <c r="CE82" i="53"/>
  <c r="CB82" i="53"/>
  <c r="CC82" i="53" s="1"/>
  <c r="BS82" i="53"/>
  <c r="BH82" i="53"/>
  <c r="BI82" i="53" s="1"/>
  <c r="AY82" i="53"/>
  <c r="AN82" i="53"/>
  <c r="AE82" i="53"/>
  <c r="T82" i="53"/>
  <c r="K82" i="53"/>
  <c r="CI82" i="53" s="1"/>
  <c r="CR80" i="53"/>
  <c r="CQ80" i="53"/>
  <c r="CP80" i="53"/>
  <c r="CO80" i="53"/>
  <c r="CM80" i="53"/>
  <c r="CL80" i="53"/>
  <c r="CK80" i="53"/>
  <c r="CJ80" i="53"/>
  <c r="CH80" i="53"/>
  <c r="CG80" i="53"/>
  <c r="CF80" i="53"/>
  <c r="CE80" i="53"/>
  <c r="CB80" i="53"/>
  <c r="BS80" i="53"/>
  <c r="BH80" i="53"/>
  <c r="BI80" i="53" s="1"/>
  <c r="AY80" i="53"/>
  <c r="AN80" i="53"/>
  <c r="AE80" i="53"/>
  <c r="T80" i="53"/>
  <c r="K80" i="53"/>
  <c r="CR78" i="53"/>
  <c r="CQ78" i="53"/>
  <c r="CP78" i="53"/>
  <c r="CO78" i="53"/>
  <c r="CM78" i="53"/>
  <c r="CL78" i="53"/>
  <c r="CK78" i="53"/>
  <c r="CJ78" i="53"/>
  <c r="CH78" i="53"/>
  <c r="CG78" i="53"/>
  <c r="CF78" i="53"/>
  <c r="CE78" i="53"/>
  <c r="CB78" i="53"/>
  <c r="BS78" i="53"/>
  <c r="BH78" i="53"/>
  <c r="BI78" i="53" s="1"/>
  <c r="AY78" i="53"/>
  <c r="AN78" i="53"/>
  <c r="AO78" i="53" s="1"/>
  <c r="AE78" i="53"/>
  <c r="T78" i="53"/>
  <c r="K78" i="53"/>
  <c r="CR77" i="53"/>
  <c r="CQ77" i="53"/>
  <c r="CP77" i="53"/>
  <c r="CO77" i="53"/>
  <c r="CM77" i="53"/>
  <c r="CL77" i="53"/>
  <c r="CK77" i="53"/>
  <c r="CJ77" i="53"/>
  <c r="CH77" i="53"/>
  <c r="CG77" i="53"/>
  <c r="CF77" i="53"/>
  <c r="CE77" i="53"/>
  <c r="CB77" i="53"/>
  <c r="BS77" i="53"/>
  <c r="CC77" i="53" s="1"/>
  <c r="BH77" i="53"/>
  <c r="BI77" i="53" s="1"/>
  <c r="AY77" i="53"/>
  <c r="AN77" i="53"/>
  <c r="AE77" i="53"/>
  <c r="T77" i="53"/>
  <c r="U77" i="53" s="1"/>
  <c r="K77" i="53"/>
  <c r="CR76" i="53"/>
  <c r="CQ76" i="53"/>
  <c r="CP76" i="53"/>
  <c r="CO76" i="53"/>
  <c r="CM76" i="53"/>
  <c r="CL76" i="53"/>
  <c r="CK76" i="53"/>
  <c r="CJ76" i="53"/>
  <c r="CH76" i="53"/>
  <c r="CG76" i="53"/>
  <c r="CF76" i="53"/>
  <c r="CE76" i="53"/>
  <c r="CB76" i="53"/>
  <c r="BS76" i="53"/>
  <c r="BH76" i="53"/>
  <c r="AY76" i="53"/>
  <c r="AN76" i="53"/>
  <c r="AE76" i="53"/>
  <c r="T76" i="53"/>
  <c r="CN76" i="53" s="1"/>
  <c r="K76" i="53"/>
  <c r="CA70" i="53"/>
  <c r="BZ70" i="53"/>
  <c r="BY70" i="53"/>
  <c r="BX70" i="53"/>
  <c r="BW70" i="53"/>
  <c r="BV70" i="53"/>
  <c r="BU70" i="53"/>
  <c r="BT70" i="53"/>
  <c r="BR70" i="53"/>
  <c r="BQ70" i="53"/>
  <c r="BP70" i="53"/>
  <c r="BO70" i="53"/>
  <c r="BN70" i="53"/>
  <c r="BM70" i="53"/>
  <c r="BL70" i="53"/>
  <c r="BK70" i="53"/>
  <c r="BG70" i="53"/>
  <c r="BF70" i="53"/>
  <c r="BE70" i="53"/>
  <c r="BD70" i="53"/>
  <c r="BC70" i="53"/>
  <c r="BB70" i="53"/>
  <c r="BA70" i="53"/>
  <c r="AZ70" i="53"/>
  <c r="AX70" i="53"/>
  <c r="AW70" i="53"/>
  <c r="AV70" i="53"/>
  <c r="AU70" i="53"/>
  <c r="AT70" i="53"/>
  <c r="AS70" i="53"/>
  <c r="AR70" i="53"/>
  <c r="AQ70" i="53"/>
  <c r="AM70" i="53"/>
  <c r="AL70" i="53"/>
  <c r="AK70" i="53"/>
  <c r="AJ70" i="53"/>
  <c r="AI70" i="53"/>
  <c r="AH70" i="53"/>
  <c r="AG70" i="53"/>
  <c r="AF70" i="53"/>
  <c r="AD70" i="53"/>
  <c r="AC70" i="53"/>
  <c r="AB70" i="53"/>
  <c r="AA70" i="53"/>
  <c r="Z70" i="53"/>
  <c r="Y70" i="53"/>
  <c r="X70" i="53"/>
  <c r="W70" i="53"/>
  <c r="S70" i="53"/>
  <c r="R70" i="53"/>
  <c r="Q70" i="53"/>
  <c r="P70" i="53"/>
  <c r="O70" i="53"/>
  <c r="N70" i="53"/>
  <c r="M70" i="53"/>
  <c r="L70" i="53"/>
  <c r="J70" i="53"/>
  <c r="I70" i="53"/>
  <c r="H70" i="53"/>
  <c r="G70" i="53"/>
  <c r="F70" i="53"/>
  <c r="E70" i="53"/>
  <c r="D70" i="53"/>
  <c r="C70" i="53"/>
  <c r="AL66" i="53"/>
  <c r="AJ66" i="53"/>
  <c r="AH66" i="53"/>
  <c r="AF66" i="53"/>
  <c r="AD66" i="53"/>
  <c r="AC66" i="53"/>
  <c r="AB66" i="53"/>
  <c r="AA66" i="53"/>
  <c r="Z66" i="53"/>
  <c r="Y66" i="53"/>
  <c r="X66" i="53"/>
  <c r="W66" i="53"/>
  <c r="L66" i="53"/>
  <c r="J66" i="53"/>
  <c r="I66" i="53"/>
  <c r="H66" i="53"/>
  <c r="G66" i="53"/>
  <c r="F66" i="53"/>
  <c r="E66" i="53"/>
  <c r="D66" i="53"/>
  <c r="C66" i="53"/>
  <c r="CR64" i="53"/>
  <c r="CQ64" i="53"/>
  <c r="CP64" i="53"/>
  <c r="CO64" i="53"/>
  <c r="CM64" i="53"/>
  <c r="CL64" i="53"/>
  <c r="CK64" i="53"/>
  <c r="CJ64" i="53"/>
  <c r="CH64" i="53"/>
  <c r="CG64" i="53"/>
  <c r="CF64" i="53"/>
  <c r="CE64" i="53"/>
  <c r="CB64" i="53"/>
  <c r="BS64" i="53"/>
  <c r="BH64" i="53"/>
  <c r="BI64" i="53" s="1"/>
  <c r="AY64" i="53"/>
  <c r="AN64" i="53"/>
  <c r="AE64" i="53"/>
  <c r="T64" i="53"/>
  <c r="K64" i="53"/>
  <c r="CR63" i="53"/>
  <c r="CQ63" i="53"/>
  <c r="CP63" i="53"/>
  <c r="CO63" i="53"/>
  <c r="CM63" i="53"/>
  <c r="CL63" i="53"/>
  <c r="CK63" i="53"/>
  <c r="CJ63" i="53"/>
  <c r="CH63" i="53"/>
  <c r="CG63" i="53"/>
  <c r="CF63" i="53"/>
  <c r="CE63" i="53"/>
  <c r="CB63" i="53"/>
  <c r="BS63" i="53"/>
  <c r="BH63" i="53"/>
  <c r="AY63" i="53"/>
  <c r="AN63" i="53"/>
  <c r="AE63" i="53"/>
  <c r="T63" i="53"/>
  <c r="K63" i="53"/>
  <c r="CR62" i="53"/>
  <c r="CQ62" i="53"/>
  <c r="CP62" i="53"/>
  <c r="CO62" i="53"/>
  <c r="CM62" i="53"/>
  <c r="CL62" i="53"/>
  <c r="CK62" i="53"/>
  <c r="CJ62" i="53"/>
  <c r="CH62" i="53"/>
  <c r="CG62" i="53"/>
  <c r="CF62" i="53"/>
  <c r="CE62" i="53"/>
  <c r="CB62" i="53"/>
  <c r="BS62" i="53"/>
  <c r="BH62" i="53"/>
  <c r="AY62" i="53"/>
  <c r="AN62" i="53"/>
  <c r="AE62" i="53"/>
  <c r="T62" i="53"/>
  <c r="K62" i="53"/>
  <c r="CR61" i="53"/>
  <c r="CQ61" i="53"/>
  <c r="CP61" i="53"/>
  <c r="CO61" i="53"/>
  <c r="CM61" i="53"/>
  <c r="CL61" i="53"/>
  <c r="CK61" i="53"/>
  <c r="CJ61" i="53"/>
  <c r="CH61" i="53"/>
  <c r="CG61" i="53"/>
  <c r="CF61" i="53"/>
  <c r="CE61" i="53"/>
  <c r="CB61" i="53"/>
  <c r="BS61" i="53"/>
  <c r="BH61" i="53"/>
  <c r="AY61" i="53"/>
  <c r="AN61" i="53"/>
  <c r="AE61" i="53"/>
  <c r="T61" i="53"/>
  <c r="K61" i="53"/>
  <c r="CR60" i="53"/>
  <c r="CQ60" i="53"/>
  <c r="CP60" i="53"/>
  <c r="CO60" i="53"/>
  <c r="CM60" i="53"/>
  <c r="CL60" i="53"/>
  <c r="CK60" i="53"/>
  <c r="CJ60" i="53"/>
  <c r="CH60" i="53"/>
  <c r="CG60" i="53"/>
  <c r="CF60" i="53"/>
  <c r="CE60" i="53"/>
  <c r="CB60" i="53"/>
  <c r="BS60" i="53"/>
  <c r="BH60" i="53"/>
  <c r="AY60" i="53"/>
  <c r="AN60" i="53"/>
  <c r="AE60" i="53"/>
  <c r="T60" i="53"/>
  <c r="K60" i="53"/>
  <c r="CR59" i="53"/>
  <c r="CQ59" i="53"/>
  <c r="CP59" i="53"/>
  <c r="CO59" i="53"/>
  <c r="CM59" i="53"/>
  <c r="CL59" i="53"/>
  <c r="CK59" i="53"/>
  <c r="CJ59" i="53"/>
  <c r="CH59" i="53"/>
  <c r="CG59" i="53"/>
  <c r="CF59" i="53"/>
  <c r="CE59" i="53"/>
  <c r="CB59" i="53"/>
  <c r="BS59" i="53"/>
  <c r="BH59" i="53"/>
  <c r="AY59" i="53"/>
  <c r="AN59" i="53"/>
  <c r="AE59" i="53"/>
  <c r="T59" i="53"/>
  <c r="K59" i="53"/>
  <c r="CR58" i="53"/>
  <c r="CQ58" i="53"/>
  <c r="CP58" i="53"/>
  <c r="CO58" i="53"/>
  <c r="CM58" i="53"/>
  <c r="CL58" i="53"/>
  <c r="CK58" i="53"/>
  <c r="CJ58" i="53"/>
  <c r="CH58" i="53"/>
  <c r="CG58" i="53"/>
  <c r="CF58" i="53"/>
  <c r="CE58" i="53"/>
  <c r="CB58" i="53"/>
  <c r="BS58" i="53"/>
  <c r="BH58" i="53"/>
  <c r="AY58" i="53"/>
  <c r="AN58" i="53"/>
  <c r="AE58" i="53"/>
  <c r="T58" i="53"/>
  <c r="K58" i="53"/>
  <c r="CR57" i="53"/>
  <c r="CQ57" i="53"/>
  <c r="CP57" i="53"/>
  <c r="CO57" i="53"/>
  <c r="CM57" i="53"/>
  <c r="CL57" i="53"/>
  <c r="CK57" i="53"/>
  <c r="CJ57" i="53"/>
  <c r="CH57" i="53"/>
  <c r="CG57" i="53"/>
  <c r="CF57" i="53"/>
  <c r="CE57" i="53"/>
  <c r="CB57" i="53"/>
  <c r="BS57" i="53"/>
  <c r="BH57" i="53"/>
  <c r="AY57" i="53"/>
  <c r="AN57" i="53"/>
  <c r="AE57" i="53"/>
  <c r="T57" i="53"/>
  <c r="K57" i="53"/>
  <c r="CR56" i="53"/>
  <c r="CQ56" i="53"/>
  <c r="CP56" i="53"/>
  <c r="CO56" i="53"/>
  <c r="CM56" i="53"/>
  <c r="CL56" i="53"/>
  <c r="CK56" i="53"/>
  <c r="CJ56" i="53"/>
  <c r="CH56" i="53"/>
  <c r="CG56" i="53"/>
  <c r="CF56" i="53"/>
  <c r="CE56" i="53"/>
  <c r="CB56" i="53"/>
  <c r="BS56" i="53"/>
  <c r="BH56" i="53"/>
  <c r="AY56" i="53"/>
  <c r="AN56" i="53"/>
  <c r="AE56" i="53"/>
  <c r="T56" i="53"/>
  <c r="K56" i="53"/>
  <c r="CR55" i="53"/>
  <c r="CQ55" i="53"/>
  <c r="CP55" i="53"/>
  <c r="CO55" i="53"/>
  <c r="CM55" i="53"/>
  <c r="CL55" i="53"/>
  <c r="CK55" i="53"/>
  <c r="CJ55" i="53"/>
  <c r="CH55" i="53"/>
  <c r="CG55" i="53"/>
  <c r="CF55" i="53"/>
  <c r="CE55" i="53"/>
  <c r="CB55" i="53"/>
  <c r="BS55" i="53"/>
  <c r="BH55" i="53"/>
  <c r="AY55" i="53"/>
  <c r="AN55" i="53"/>
  <c r="AE55" i="53"/>
  <c r="T55" i="53"/>
  <c r="K55" i="53"/>
  <c r="CR54" i="53"/>
  <c r="CQ54" i="53"/>
  <c r="CP54" i="53"/>
  <c r="CO54" i="53"/>
  <c r="CM54" i="53"/>
  <c r="CL54" i="53"/>
  <c r="CK54" i="53"/>
  <c r="CJ54" i="53"/>
  <c r="CH54" i="53"/>
  <c r="CG54" i="53"/>
  <c r="CF54" i="53"/>
  <c r="CE54" i="53"/>
  <c r="CB54" i="53"/>
  <c r="BS54" i="53"/>
  <c r="BH54" i="53"/>
  <c r="AY54" i="53"/>
  <c r="AN54" i="53"/>
  <c r="AE54" i="53"/>
  <c r="T54" i="53"/>
  <c r="K54" i="53"/>
  <c r="CR53" i="53"/>
  <c r="CQ53" i="53"/>
  <c r="CP53" i="53"/>
  <c r="CO53" i="53"/>
  <c r="CM53" i="53"/>
  <c r="CL53" i="53"/>
  <c r="CK53" i="53"/>
  <c r="CJ53" i="53"/>
  <c r="CH53" i="53"/>
  <c r="CG53" i="53"/>
  <c r="CF53" i="53"/>
  <c r="CE53" i="53"/>
  <c r="CB53" i="53"/>
  <c r="BS53" i="53"/>
  <c r="BH53" i="53"/>
  <c r="AY53" i="53"/>
  <c r="AN53" i="53"/>
  <c r="AE53" i="53"/>
  <c r="T53" i="53"/>
  <c r="K53" i="53"/>
  <c r="CR52" i="53"/>
  <c r="CQ52" i="53"/>
  <c r="CP52" i="53"/>
  <c r="CO52" i="53"/>
  <c r="CM52" i="53"/>
  <c r="CL52" i="53"/>
  <c r="CK52" i="53"/>
  <c r="CJ52" i="53"/>
  <c r="CH52" i="53"/>
  <c r="CG52" i="53"/>
  <c r="CF52" i="53"/>
  <c r="CE52" i="53"/>
  <c r="CB52" i="53"/>
  <c r="BS52" i="53"/>
  <c r="BH52" i="53"/>
  <c r="AY52" i="53"/>
  <c r="AN52" i="53"/>
  <c r="AE52" i="53"/>
  <c r="T52" i="53"/>
  <c r="K52" i="53"/>
  <c r="CR51" i="53"/>
  <c r="CQ51" i="53"/>
  <c r="CP51" i="53"/>
  <c r="CO51" i="53"/>
  <c r="CM51" i="53"/>
  <c r="CL51" i="53"/>
  <c r="CK51" i="53"/>
  <c r="CJ51" i="53"/>
  <c r="CH51" i="53"/>
  <c r="CG51" i="53"/>
  <c r="CF51" i="53"/>
  <c r="CE51" i="53"/>
  <c r="CB51" i="53"/>
  <c r="BS51" i="53"/>
  <c r="BH51" i="53"/>
  <c r="AY51" i="53"/>
  <c r="AN51" i="53"/>
  <c r="AE51" i="53"/>
  <c r="T51" i="53"/>
  <c r="K51" i="53"/>
  <c r="CR50" i="53"/>
  <c r="CQ50" i="53"/>
  <c r="CP50" i="53"/>
  <c r="CO50" i="53"/>
  <c r="CM50" i="53"/>
  <c r="CL50" i="53"/>
  <c r="CK50" i="53"/>
  <c r="CJ50" i="53"/>
  <c r="CH50" i="53"/>
  <c r="CG50" i="53"/>
  <c r="CF50" i="53"/>
  <c r="CE50" i="53"/>
  <c r="CB50" i="53"/>
  <c r="BS50" i="53"/>
  <c r="BH50" i="53"/>
  <c r="AY50" i="53"/>
  <c r="AN50" i="53"/>
  <c r="AE50" i="53"/>
  <c r="T50" i="53"/>
  <c r="K50" i="53"/>
  <c r="CR49" i="53"/>
  <c r="CQ49" i="53"/>
  <c r="CP49" i="53"/>
  <c r="CO49" i="53"/>
  <c r="CM49" i="53"/>
  <c r="CL49" i="53"/>
  <c r="CK49" i="53"/>
  <c r="CJ49" i="53"/>
  <c r="CH49" i="53"/>
  <c r="CG49" i="53"/>
  <c r="CF49" i="53"/>
  <c r="CE49" i="53"/>
  <c r="CB49" i="53"/>
  <c r="BS49" i="53"/>
  <c r="BH49" i="53"/>
  <c r="AY49" i="53"/>
  <c r="AN49" i="53"/>
  <c r="AE49" i="53"/>
  <c r="T49" i="53"/>
  <c r="K49" i="53"/>
  <c r="CR48" i="53"/>
  <c r="CQ48" i="53"/>
  <c r="CP48" i="53"/>
  <c r="CO48" i="53"/>
  <c r="CM48" i="53"/>
  <c r="CL48" i="53"/>
  <c r="CK48" i="53"/>
  <c r="CJ48" i="53"/>
  <c r="CH48" i="53"/>
  <c r="CG48" i="53"/>
  <c r="CF48" i="53"/>
  <c r="CE48" i="53"/>
  <c r="CB48" i="53"/>
  <c r="BS48" i="53"/>
  <c r="BH48" i="53"/>
  <c r="AY48" i="53"/>
  <c r="AN48" i="53"/>
  <c r="AE48" i="53"/>
  <c r="T48" i="53"/>
  <c r="K48" i="53"/>
  <c r="CH47" i="53"/>
  <c r="CG47" i="53"/>
  <c r="CF47" i="53"/>
  <c r="CE47" i="53"/>
  <c r="BS47" i="53"/>
  <c r="AY47" i="53"/>
  <c r="AE47" i="53"/>
  <c r="K47" i="53"/>
  <c r="CR46" i="53"/>
  <c r="CQ46" i="53"/>
  <c r="CP46" i="53"/>
  <c r="CO46" i="53"/>
  <c r="CM46" i="53"/>
  <c r="CL46" i="53"/>
  <c r="CK46" i="53"/>
  <c r="CJ46" i="53"/>
  <c r="CH46" i="53"/>
  <c r="CG46" i="53"/>
  <c r="CF46" i="53"/>
  <c r="CE46" i="53"/>
  <c r="CB46" i="53"/>
  <c r="BS46" i="53"/>
  <c r="BH46" i="53"/>
  <c r="AY46" i="53"/>
  <c r="AN46" i="53"/>
  <c r="AE46" i="53"/>
  <c r="T46" i="53"/>
  <c r="K46" i="53"/>
  <c r="AE45" i="53"/>
  <c r="K45" i="53"/>
  <c r="AE44" i="53"/>
  <c r="K44" i="53"/>
  <c r="CR43" i="53"/>
  <c r="CQ43" i="53"/>
  <c r="CP43" i="53"/>
  <c r="CO43" i="53"/>
  <c r="CM43" i="53"/>
  <c r="CL43" i="53"/>
  <c r="CK43" i="53"/>
  <c r="CJ43" i="53"/>
  <c r="CH43" i="53"/>
  <c r="CG43" i="53"/>
  <c r="CF43" i="53"/>
  <c r="CE43" i="53"/>
  <c r="CB43" i="53"/>
  <c r="BS43" i="53"/>
  <c r="BH43" i="53"/>
  <c r="AY43" i="53"/>
  <c r="AN43" i="53"/>
  <c r="AE43" i="53"/>
  <c r="T43" i="53"/>
  <c r="K43" i="53"/>
  <c r="CR42" i="53"/>
  <c r="CQ42" i="53"/>
  <c r="CP42" i="53"/>
  <c r="CO42" i="53"/>
  <c r="CM42" i="53"/>
  <c r="CL42" i="53"/>
  <c r="CK42" i="53"/>
  <c r="CJ42" i="53"/>
  <c r="CH42" i="53"/>
  <c r="CG42" i="53"/>
  <c r="CF42" i="53"/>
  <c r="CE42" i="53"/>
  <c r="CB42" i="53"/>
  <c r="BS42" i="53"/>
  <c r="BH42" i="53"/>
  <c r="AY42" i="53"/>
  <c r="AN42" i="53"/>
  <c r="AE42" i="53"/>
  <c r="T42" i="53"/>
  <c r="K42" i="53"/>
  <c r="CR41" i="53"/>
  <c r="CQ41" i="53"/>
  <c r="CP41" i="53"/>
  <c r="CO41" i="53"/>
  <c r="CM41" i="53"/>
  <c r="CL41" i="53"/>
  <c r="CK41" i="53"/>
  <c r="CJ41" i="53"/>
  <c r="CH41" i="53"/>
  <c r="CG41" i="53"/>
  <c r="CF41" i="53"/>
  <c r="CE41" i="53"/>
  <c r="CB41" i="53"/>
  <c r="BS41" i="53"/>
  <c r="BH41" i="53"/>
  <c r="AY41" i="53"/>
  <c r="AN41" i="53"/>
  <c r="AE41" i="53"/>
  <c r="T41" i="53"/>
  <c r="K41" i="53"/>
  <c r="CR40" i="53"/>
  <c r="CQ40" i="53"/>
  <c r="CP40" i="53"/>
  <c r="CO40" i="53"/>
  <c r="CM40" i="53"/>
  <c r="CL40" i="53"/>
  <c r="CK40" i="53"/>
  <c r="CJ40" i="53"/>
  <c r="CH40" i="53"/>
  <c r="CG40" i="53"/>
  <c r="CF40" i="53"/>
  <c r="CE40" i="53"/>
  <c r="CB40" i="53"/>
  <c r="BS40" i="53"/>
  <c r="BH40" i="53"/>
  <c r="AY40" i="53"/>
  <c r="AN40" i="53"/>
  <c r="AE40" i="53"/>
  <c r="T40" i="53"/>
  <c r="K40" i="53"/>
  <c r="CR39" i="53"/>
  <c r="CQ39" i="53"/>
  <c r="CP39" i="53"/>
  <c r="CO39" i="53"/>
  <c r="CM39" i="53"/>
  <c r="CL39" i="53"/>
  <c r="CK39" i="53"/>
  <c r="CJ39" i="53"/>
  <c r="CH39" i="53"/>
  <c r="CG39" i="53"/>
  <c r="CF39" i="53"/>
  <c r="CE39" i="53"/>
  <c r="CB39" i="53"/>
  <c r="BS39" i="53"/>
  <c r="BH39" i="53"/>
  <c r="AY39" i="53"/>
  <c r="AN39" i="53"/>
  <c r="AE39" i="53"/>
  <c r="T39" i="53"/>
  <c r="K39" i="53"/>
  <c r="CR38" i="53"/>
  <c r="CQ38" i="53"/>
  <c r="CP38" i="53"/>
  <c r="CO38" i="53"/>
  <c r="CM38" i="53"/>
  <c r="CL38" i="53"/>
  <c r="CK38" i="53"/>
  <c r="CJ38" i="53"/>
  <c r="CH38" i="53"/>
  <c r="CG38" i="53"/>
  <c r="CF38" i="53"/>
  <c r="CE38" i="53"/>
  <c r="CB38" i="53"/>
  <c r="BS38" i="53"/>
  <c r="BH38" i="53"/>
  <c r="AY38" i="53"/>
  <c r="AN38" i="53"/>
  <c r="AE38" i="53"/>
  <c r="T38" i="53"/>
  <c r="K38" i="53"/>
  <c r="CR37" i="53"/>
  <c r="CQ37" i="53"/>
  <c r="CP37" i="53"/>
  <c r="CO37" i="53"/>
  <c r="CM37" i="53"/>
  <c r="CL37" i="53"/>
  <c r="CK37" i="53"/>
  <c r="CJ37" i="53"/>
  <c r="CH37" i="53"/>
  <c r="CG37" i="53"/>
  <c r="CF37" i="53"/>
  <c r="CE37" i="53"/>
  <c r="CB37" i="53"/>
  <c r="BS37" i="53"/>
  <c r="BH37" i="53"/>
  <c r="AY37" i="53"/>
  <c r="AN37" i="53"/>
  <c r="AE37" i="53"/>
  <c r="T37" i="53"/>
  <c r="K37" i="53"/>
  <c r="CR36" i="53"/>
  <c r="CQ36" i="53"/>
  <c r="CP36" i="53"/>
  <c r="CO36" i="53"/>
  <c r="CM36" i="53"/>
  <c r="CL36" i="53"/>
  <c r="CK36" i="53"/>
  <c r="CJ36" i="53"/>
  <c r="CH36" i="53"/>
  <c r="CG36" i="53"/>
  <c r="CF36" i="53"/>
  <c r="CE36" i="53"/>
  <c r="CB36" i="53"/>
  <c r="BS36" i="53"/>
  <c r="BH36" i="53"/>
  <c r="AY36" i="53"/>
  <c r="AN36" i="53"/>
  <c r="AE36" i="53"/>
  <c r="T36" i="53"/>
  <c r="K36" i="53"/>
  <c r="CR35" i="53"/>
  <c r="CQ35" i="53"/>
  <c r="CP35" i="53"/>
  <c r="CO35" i="53"/>
  <c r="CM35" i="53"/>
  <c r="CL35" i="53"/>
  <c r="CK35" i="53"/>
  <c r="CJ35" i="53"/>
  <c r="CH35" i="53"/>
  <c r="CG35" i="53"/>
  <c r="CF35" i="53"/>
  <c r="CE35" i="53"/>
  <c r="CB35" i="53"/>
  <c r="BS35" i="53"/>
  <c r="BH35" i="53"/>
  <c r="AY35" i="53"/>
  <c r="AN35" i="53"/>
  <c r="AE35" i="53"/>
  <c r="T35" i="53"/>
  <c r="K35" i="53"/>
  <c r="CR28" i="53"/>
  <c r="CQ28" i="53"/>
  <c r="CP28" i="53"/>
  <c r="CO28" i="53"/>
  <c r="CM28" i="53"/>
  <c r="CL28" i="53"/>
  <c r="CK28" i="53"/>
  <c r="CJ28" i="53"/>
  <c r="CH28" i="53"/>
  <c r="CG28" i="53"/>
  <c r="CF28" i="53"/>
  <c r="CE28" i="53"/>
  <c r="CB28" i="53"/>
  <c r="BS28" i="53"/>
  <c r="BI28" i="53"/>
  <c r="BH28" i="53"/>
  <c r="AY28" i="53"/>
  <c r="AN28" i="53"/>
  <c r="AE28" i="53"/>
  <c r="AO28" i="53" s="1"/>
  <c r="T28" i="53"/>
  <c r="CN28" i="53" s="1"/>
  <c r="K28" i="53"/>
  <c r="CR27" i="53"/>
  <c r="CQ27" i="53"/>
  <c r="CP27" i="53"/>
  <c r="CO27" i="53"/>
  <c r="CM27" i="53"/>
  <c r="CL27" i="53"/>
  <c r="CK27" i="53"/>
  <c r="CJ27" i="53"/>
  <c r="CH27" i="53"/>
  <c r="CG27" i="53"/>
  <c r="CF27" i="53"/>
  <c r="CE27" i="53"/>
  <c r="CB27" i="53"/>
  <c r="BS27" i="53"/>
  <c r="CC27" i="53" s="1"/>
  <c r="BH27" i="53"/>
  <c r="AY27" i="53"/>
  <c r="AN27" i="53"/>
  <c r="AE27" i="53"/>
  <c r="T27" i="53"/>
  <c r="K27" i="53"/>
  <c r="CR26" i="53"/>
  <c r="CQ26" i="53"/>
  <c r="CP26" i="53"/>
  <c r="CO26" i="53"/>
  <c r="CM26" i="53"/>
  <c r="CL26" i="53"/>
  <c r="CK26" i="53"/>
  <c r="CJ26" i="53"/>
  <c r="CH26" i="53"/>
  <c r="CG26" i="53"/>
  <c r="CF26" i="53"/>
  <c r="CE26" i="53"/>
  <c r="CB26" i="53"/>
  <c r="BS26" i="53"/>
  <c r="BH26" i="53"/>
  <c r="AY26" i="53"/>
  <c r="AN26" i="53"/>
  <c r="AE26" i="53"/>
  <c r="T26" i="53"/>
  <c r="K26" i="53"/>
  <c r="CM25" i="53"/>
  <c r="CL25" i="53"/>
  <c r="CK25" i="53"/>
  <c r="CJ25" i="53"/>
  <c r="CB25" i="53"/>
  <c r="BH25" i="53"/>
  <c r="BI25" i="53" s="1"/>
  <c r="AY25" i="53"/>
  <c r="AN25" i="53"/>
  <c r="AE25" i="53"/>
  <c r="T25" i="53"/>
  <c r="K25" i="53"/>
  <c r="CH22" i="53"/>
  <c r="CG22" i="53"/>
  <c r="CF22" i="53"/>
  <c r="CE22" i="53"/>
  <c r="BS22" i="53"/>
  <c r="AY22" i="53"/>
  <c r="AE22" i="53"/>
  <c r="K22" i="53"/>
  <c r="CR21" i="53"/>
  <c r="CQ21" i="53"/>
  <c r="CP21" i="53"/>
  <c r="CO21" i="53"/>
  <c r="CM21" i="53"/>
  <c r="CL21" i="53"/>
  <c r="CK21" i="53"/>
  <c r="CJ21" i="53"/>
  <c r="CH21" i="53"/>
  <c r="CG21" i="53"/>
  <c r="CF21" i="53"/>
  <c r="CE21" i="53"/>
  <c r="CB21" i="53"/>
  <c r="BS21" i="53"/>
  <c r="BH21" i="53"/>
  <c r="AY21" i="53"/>
  <c r="AN21" i="53"/>
  <c r="AE21" i="53"/>
  <c r="T21" i="53"/>
  <c r="K21" i="53"/>
  <c r="U21" i="53" s="1"/>
  <c r="CA20" i="53"/>
  <c r="BZ20" i="53"/>
  <c r="BZ23" i="53" s="1"/>
  <c r="BY20" i="53"/>
  <c r="BX20" i="53"/>
  <c r="BX23" i="53" s="1"/>
  <c r="BW20" i="53"/>
  <c r="BV20" i="53"/>
  <c r="BV23" i="53" s="1"/>
  <c r="BU20" i="53"/>
  <c r="BT20" i="53"/>
  <c r="BR20" i="53"/>
  <c r="BR23" i="53" s="1"/>
  <c r="BQ20" i="53"/>
  <c r="BQ23" i="53" s="1"/>
  <c r="BP20" i="53"/>
  <c r="BP23" i="53" s="1"/>
  <c r="BO20" i="53"/>
  <c r="BO23" i="53" s="1"/>
  <c r="BN20" i="53"/>
  <c r="BN23" i="53" s="1"/>
  <c r="BM20" i="53"/>
  <c r="BM23" i="53" s="1"/>
  <c r="BL20" i="53"/>
  <c r="BL23" i="53" s="1"/>
  <c r="BK20" i="53"/>
  <c r="BK23" i="53" s="1"/>
  <c r="BG20" i="53"/>
  <c r="BF20" i="53"/>
  <c r="BF23" i="53" s="1"/>
  <c r="BE20" i="53"/>
  <c r="BD20" i="53"/>
  <c r="BD23" i="53" s="1"/>
  <c r="BC20" i="53"/>
  <c r="BB20" i="53"/>
  <c r="BB23" i="53" s="1"/>
  <c r="BA20" i="53"/>
  <c r="AZ20" i="53"/>
  <c r="AZ23" i="53" s="1"/>
  <c r="AX20" i="53"/>
  <c r="AX23" i="53" s="1"/>
  <c r="AW20" i="53"/>
  <c r="AW23" i="53" s="1"/>
  <c r="AV20" i="53"/>
  <c r="AV23" i="53" s="1"/>
  <c r="AU20" i="53"/>
  <c r="AU23" i="53" s="1"/>
  <c r="AT20" i="53"/>
  <c r="AT23" i="53" s="1"/>
  <c r="AS20" i="53"/>
  <c r="AS23" i="53" s="1"/>
  <c r="AR20" i="53"/>
  <c r="AR23" i="53" s="1"/>
  <c r="AQ20" i="53"/>
  <c r="AQ23" i="53" s="1"/>
  <c r="AM20" i="53"/>
  <c r="AL20" i="53"/>
  <c r="AL23" i="53" s="1"/>
  <c r="AK20" i="53"/>
  <c r="AJ20" i="53"/>
  <c r="AJ23" i="53" s="1"/>
  <c r="AI20" i="53"/>
  <c r="AH20" i="53"/>
  <c r="AH23" i="53" s="1"/>
  <c r="AG20" i="53"/>
  <c r="AF20" i="53"/>
  <c r="AD20" i="53"/>
  <c r="AD23" i="53" s="1"/>
  <c r="AC20" i="53"/>
  <c r="AC23" i="53" s="1"/>
  <c r="AB20" i="53"/>
  <c r="AB23" i="53" s="1"/>
  <c r="AA20" i="53"/>
  <c r="AA23" i="53" s="1"/>
  <c r="Z20" i="53"/>
  <c r="Z23" i="53" s="1"/>
  <c r="Y20" i="53"/>
  <c r="X20" i="53"/>
  <c r="X23" i="53" s="1"/>
  <c r="W20" i="53"/>
  <c r="W23" i="53" s="1"/>
  <c r="S20" i="53"/>
  <c r="R20" i="53"/>
  <c r="Q20" i="53"/>
  <c r="P20" i="53"/>
  <c r="O20" i="53"/>
  <c r="N20" i="53"/>
  <c r="N23" i="53" s="1"/>
  <c r="M20" i="53"/>
  <c r="L20" i="53"/>
  <c r="L23" i="53" s="1"/>
  <c r="J20" i="53"/>
  <c r="J23" i="53" s="1"/>
  <c r="I20" i="53"/>
  <c r="H20" i="53"/>
  <c r="H23" i="53" s="1"/>
  <c r="G20" i="53"/>
  <c r="F20" i="53"/>
  <c r="F23" i="53" s="1"/>
  <c r="E20" i="53"/>
  <c r="E23" i="53" s="1"/>
  <c r="D20" i="53"/>
  <c r="D23" i="53" s="1"/>
  <c r="C20" i="53"/>
  <c r="CR19" i="53"/>
  <c r="CQ19" i="53"/>
  <c r="CP19" i="53"/>
  <c r="CO19" i="53"/>
  <c r="CM19" i="53"/>
  <c r="CL19" i="53"/>
  <c r="CK19" i="53"/>
  <c r="CJ19" i="53"/>
  <c r="CH19" i="53"/>
  <c r="CG19" i="53"/>
  <c r="CF19" i="53"/>
  <c r="CE19" i="53"/>
  <c r="CB19" i="53"/>
  <c r="BS19" i="53"/>
  <c r="BH19" i="53"/>
  <c r="AY19" i="53"/>
  <c r="AN19" i="53"/>
  <c r="AO19" i="53" s="1"/>
  <c r="AE19" i="53"/>
  <c r="T19" i="53"/>
  <c r="K19" i="53"/>
  <c r="CR18" i="53"/>
  <c r="CQ18" i="53"/>
  <c r="CP18" i="53"/>
  <c r="CO18" i="53"/>
  <c r="CM18" i="53"/>
  <c r="CL18" i="53"/>
  <c r="CK18" i="53"/>
  <c r="CJ18" i="53"/>
  <c r="CH18" i="53"/>
  <c r="CG18" i="53"/>
  <c r="CF18" i="53"/>
  <c r="CE18" i="53"/>
  <c r="CB18" i="53"/>
  <c r="BS18" i="53"/>
  <c r="BH18" i="53"/>
  <c r="AY18" i="53"/>
  <c r="AN18" i="53"/>
  <c r="AE18" i="53"/>
  <c r="T18" i="53"/>
  <c r="K18" i="53"/>
  <c r="CR17" i="53"/>
  <c r="CQ17" i="53"/>
  <c r="CP17" i="53"/>
  <c r="CO17" i="53"/>
  <c r="CM17" i="53"/>
  <c r="CL17" i="53"/>
  <c r="CK17" i="53"/>
  <c r="CJ17" i="53"/>
  <c r="CH17" i="53"/>
  <c r="CG17" i="53"/>
  <c r="CF17" i="53"/>
  <c r="CE17" i="53"/>
  <c r="CB17" i="53"/>
  <c r="BS17" i="53"/>
  <c r="BH17" i="53"/>
  <c r="AY17" i="53"/>
  <c r="AN17" i="53"/>
  <c r="AE17" i="53"/>
  <c r="T17" i="53"/>
  <c r="K17" i="53"/>
  <c r="CR16" i="53"/>
  <c r="CQ16" i="53"/>
  <c r="CP16" i="53"/>
  <c r="CO16" i="53"/>
  <c r="CM16" i="53"/>
  <c r="CL16" i="53"/>
  <c r="CK16" i="53"/>
  <c r="CJ16" i="53"/>
  <c r="CH16" i="53"/>
  <c r="CG16" i="53"/>
  <c r="CF16" i="53"/>
  <c r="CE16" i="53"/>
  <c r="CB16" i="53"/>
  <c r="BS16" i="53"/>
  <c r="BH16" i="53"/>
  <c r="AY16" i="53"/>
  <c r="AN16" i="53"/>
  <c r="AE16" i="53"/>
  <c r="T16" i="53"/>
  <c r="K16" i="53"/>
  <c r="CA14" i="53"/>
  <c r="BZ14" i="53"/>
  <c r="BY14" i="53"/>
  <c r="BX14" i="53"/>
  <c r="BW14" i="53"/>
  <c r="BV14" i="53"/>
  <c r="BU14" i="53"/>
  <c r="BT14" i="53"/>
  <c r="BR14" i="53"/>
  <c r="BQ14" i="53"/>
  <c r="BP14" i="53"/>
  <c r="BO14" i="53"/>
  <c r="BN14" i="53"/>
  <c r="BM14" i="53"/>
  <c r="BL14" i="53"/>
  <c r="BK14" i="53"/>
  <c r="BG14" i="53"/>
  <c r="BF14" i="53"/>
  <c r="BE14" i="53"/>
  <c r="BC14" i="53"/>
  <c r="BA14" i="53"/>
  <c r="AZ14" i="53"/>
  <c r="AX14" i="53"/>
  <c r="AV14" i="53"/>
  <c r="AT14" i="53"/>
  <c r="AS14" i="53"/>
  <c r="AR14" i="53"/>
  <c r="AM14" i="53"/>
  <c r="AL14" i="53"/>
  <c r="AK14" i="53"/>
  <c r="AJ14" i="53"/>
  <c r="AI14" i="53"/>
  <c r="AH14" i="53"/>
  <c r="AG14" i="53"/>
  <c r="AF14" i="53"/>
  <c r="AD14" i="53"/>
  <c r="AC14" i="53"/>
  <c r="AB14" i="53"/>
  <c r="AA14" i="53"/>
  <c r="Z14" i="53"/>
  <c r="Y14" i="53"/>
  <c r="X14" i="53"/>
  <c r="W14" i="53"/>
  <c r="S14" i="53"/>
  <c r="Q14" i="53"/>
  <c r="O14" i="53"/>
  <c r="M14" i="53"/>
  <c r="L14" i="53"/>
  <c r="J14" i="53"/>
  <c r="H14" i="53"/>
  <c r="F14" i="53"/>
  <c r="E14" i="53"/>
  <c r="D14" i="53"/>
  <c r="E41" i="39"/>
  <c r="F41" i="39"/>
  <c r="G41" i="39"/>
  <c r="I41" i="39"/>
  <c r="J41" i="39"/>
  <c r="K41" i="39"/>
  <c r="BD20" i="36" l="1"/>
  <c r="AO61" i="54"/>
  <c r="CE44" i="54"/>
  <c r="AZ66" i="54"/>
  <c r="BB44" i="36"/>
  <c r="AO62" i="54"/>
  <c r="CC62" i="54"/>
  <c r="CC64" i="54"/>
  <c r="CF44" i="54"/>
  <c r="CF66" i="54" s="1"/>
  <c r="Z20" i="36"/>
  <c r="Z23" i="36" s="1"/>
  <c r="CC59" i="54"/>
  <c r="AX66" i="54"/>
  <c r="BN66" i="53"/>
  <c r="BX66" i="53"/>
  <c r="BD66" i="54"/>
  <c r="BX45" i="36"/>
  <c r="CF45" i="53"/>
  <c r="CF44" i="53"/>
  <c r="AR66" i="53"/>
  <c r="BD45" i="36"/>
  <c r="BV66" i="53"/>
  <c r="BB66" i="53"/>
  <c r="AL23" i="36"/>
  <c r="BB23" i="36"/>
  <c r="BV23" i="36"/>
  <c r="BZ23" i="36"/>
  <c r="BF44" i="36"/>
  <c r="P66" i="53"/>
  <c r="R45" i="36"/>
  <c r="BV45" i="36"/>
  <c r="N66" i="54"/>
  <c r="N45" i="36"/>
  <c r="P45" i="36"/>
  <c r="P66" i="54"/>
  <c r="BL66" i="53"/>
  <c r="BD44" i="36"/>
  <c r="CH45" i="53"/>
  <c r="BX44" i="36"/>
  <c r="BV44" i="36"/>
  <c r="BK66" i="53"/>
  <c r="BZ66" i="53"/>
  <c r="BF66" i="53"/>
  <c r="N66" i="53"/>
  <c r="CG44" i="53"/>
  <c r="N44" i="36"/>
  <c r="P44" i="36"/>
  <c r="AW66" i="53"/>
  <c r="BS44" i="53"/>
  <c r="R44" i="36"/>
  <c r="CG44" i="54"/>
  <c r="CG66" i="54" s="1"/>
  <c r="BZ44" i="36"/>
  <c r="BB45" i="36"/>
  <c r="AZ45" i="36"/>
  <c r="BF45" i="36"/>
  <c r="CE44" i="53"/>
  <c r="BQ66" i="53"/>
  <c r="AY44" i="54"/>
  <c r="BI18" i="53"/>
  <c r="BU20" i="36"/>
  <c r="BI17" i="54"/>
  <c r="R66" i="54"/>
  <c r="BB66" i="54"/>
  <c r="R66" i="53"/>
  <c r="BD66" i="53"/>
  <c r="AU66" i="53"/>
  <c r="AQ66" i="54"/>
  <c r="AY45" i="53"/>
  <c r="AZ44" i="36"/>
  <c r="CH44" i="54"/>
  <c r="CH66" i="54" s="1"/>
  <c r="BT44" i="36"/>
  <c r="BS45" i="53"/>
  <c r="AS66" i="54"/>
  <c r="CH44" i="53"/>
  <c r="AX66" i="53"/>
  <c r="BR66" i="53"/>
  <c r="CG45" i="53"/>
  <c r="CG66" i="53" s="1"/>
  <c r="BM66" i="53"/>
  <c r="AY44" i="53"/>
  <c r="CE45" i="53"/>
  <c r="AQ66" i="53"/>
  <c r="AZ66" i="53"/>
  <c r="BT66" i="53"/>
  <c r="CE45" i="54"/>
  <c r="AU66" i="54"/>
  <c r="BT45" i="36"/>
  <c r="AT66" i="53"/>
  <c r="CN18" i="54"/>
  <c r="AY45" i="54"/>
  <c r="CI45" i="54" s="1"/>
  <c r="BT20" i="36"/>
  <c r="BT23" i="36" s="1"/>
  <c r="AV66" i="53"/>
  <c r="BP66" i="53"/>
  <c r="CC17" i="54"/>
  <c r="AO18" i="54"/>
  <c r="CC18" i="53"/>
  <c r="CM20" i="53"/>
  <c r="CC56" i="53"/>
  <c r="CC57" i="53"/>
  <c r="AO60" i="54"/>
  <c r="CI46" i="53"/>
  <c r="CI47" i="53"/>
  <c r="CC64" i="53"/>
  <c r="CN58" i="54"/>
  <c r="BI63" i="54"/>
  <c r="AO59" i="54"/>
  <c r="BI38" i="53"/>
  <c r="BI63" i="53"/>
  <c r="BI48" i="53"/>
  <c r="BI56" i="53"/>
  <c r="U58" i="53"/>
  <c r="CN64" i="53"/>
  <c r="CC38" i="54"/>
  <c r="AO50" i="54"/>
  <c r="AO51" i="54"/>
  <c r="AO52" i="54"/>
  <c r="AO53" i="54"/>
  <c r="CC56" i="54"/>
  <c r="AO63" i="54"/>
  <c r="CN64" i="54"/>
  <c r="AO39" i="53"/>
  <c r="CC39" i="53"/>
  <c r="CC46" i="53"/>
  <c r="CC62" i="53"/>
  <c r="AO64" i="53"/>
  <c r="U50" i="54"/>
  <c r="CI55" i="54"/>
  <c r="CI59" i="54"/>
  <c r="CC63" i="54"/>
  <c r="AO64" i="54"/>
  <c r="U43" i="53"/>
  <c r="BI19" i="53"/>
  <c r="U16" i="54"/>
  <c r="BI18" i="54"/>
  <c r="BI40" i="53"/>
  <c r="BI41" i="53"/>
  <c r="CC40" i="53"/>
  <c r="AO41" i="53"/>
  <c r="CC54" i="53"/>
  <c r="CC55" i="53"/>
  <c r="BI50" i="54"/>
  <c r="CN48" i="53"/>
  <c r="AO35" i="53"/>
  <c r="AO36" i="53"/>
  <c r="AO37" i="53"/>
  <c r="AO38" i="53"/>
  <c r="BI42" i="53"/>
  <c r="BI43" i="53"/>
  <c r="AO57" i="53"/>
  <c r="AO35" i="54"/>
  <c r="BI48" i="54"/>
  <c r="U51" i="54"/>
  <c r="BI51" i="54"/>
  <c r="U52" i="54"/>
  <c r="BI52" i="54"/>
  <c r="BI53" i="54"/>
  <c r="CI38" i="54"/>
  <c r="AO48" i="54"/>
  <c r="CI16" i="53"/>
  <c r="U50" i="53"/>
  <c r="BI50" i="53"/>
  <c r="U51" i="53"/>
  <c r="BI51" i="53"/>
  <c r="BI52" i="53"/>
  <c r="BI53" i="53"/>
  <c r="CN54" i="53"/>
  <c r="AO58" i="53"/>
  <c r="CN17" i="54"/>
  <c r="AO19" i="54"/>
  <c r="U36" i="54"/>
  <c r="U38" i="54"/>
  <c r="CC83" i="54"/>
  <c r="CC85" i="54"/>
  <c r="CN56" i="54"/>
  <c r="CC54" i="54"/>
  <c r="CC55" i="54"/>
  <c r="CC37" i="54"/>
  <c r="CC42" i="54"/>
  <c r="CC50" i="54"/>
  <c r="CC51" i="54"/>
  <c r="CC43" i="54"/>
  <c r="CI49" i="54"/>
  <c r="CB25" i="36"/>
  <c r="CC27" i="54"/>
  <c r="BS26" i="36"/>
  <c r="CC26" i="36" s="1"/>
  <c r="BS27" i="36"/>
  <c r="BS28" i="36"/>
  <c r="CC28" i="36" s="1"/>
  <c r="BI77" i="54"/>
  <c r="BI55" i="54"/>
  <c r="BI62" i="54"/>
  <c r="BI35" i="54"/>
  <c r="BI36" i="54"/>
  <c r="BI57" i="54"/>
  <c r="BI58" i="54"/>
  <c r="BI39" i="54"/>
  <c r="BI41" i="54"/>
  <c r="BI43" i="54"/>
  <c r="BI25" i="54"/>
  <c r="AO82" i="54"/>
  <c r="AO80" i="54"/>
  <c r="AO56" i="54"/>
  <c r="AO41" i="54"/>
  <c r="AO42" i="54"/>
  <c r="AO46" i="54"/>
  <c r="CI61" i="54"/>
  <c r="CN26" i="54"/>
  <c r="AA23" i="36"/>
  <c r="CI22" i="54"/>
  <c r="CN48" i="54"/>
  <c r="U48" i="54"/>
  <c r="CI42" i="54"/>
  <c r="U42" i="54"/>
  <c r="U43" i="54"/>
  <c r="U46" i="54"/>
  <c r="U54" i="54"/>
  <c r="CN16" i="54"/>
  <c r="CC78" i="53"/>
  <c r="CN57" i="53"/>
  <c r="CI48" i="53"/>
  <c r="CC58" i="53"/>
  <c r="CC35" i="53"/>
  <c r="CC36" i="53"/>
  <c r="CC38" i="53"/>
  <c r="CC48" i="53"/>
  <c r="BS22" i="36"/>
  <c r="CC21" i="53"/>
  <c r="BX20" i="36"/>
  <c r="BX23" i="36" s="1"/>
  <c r="BI46" i="53"/>
  <c r="BI39" i="53"/>
  <c r="BI21" i="53"/>
  <c r="AO77" i="53"/>
  <c r="AO84" i="53"/>
  <c r="AO85" i="53"/>
  <c r="CS85" i="53" s="1"/>
  <c r="CN58" i="53"/>
  <c r="CN46" i="53"/>
  <c r="CJ70" i="53"/>
  <c r="CI35" i="53"/>
  <c r="AO49" i="53"/>
  <c r="AO50" i="53"/>
  <c r="CI52" i="53"/>
  <c r="CI54" i="53"/>
  <c r="CI41" i="53"/>
  <c r="CI56" i="53"/>
  <c r="CG70" i="53"/>
  <c r="AO26" i="53"/>
  <c r="CN16" i="53"/>
  <c r="CN18" i="53"/>
  <c r="CN17" i="53"/>
  <c r="CR20" i="53"/>
  <c r="U80" i="53"/>
  <c r="U82" i="53"/>
  <c r="CN40" i="53"/>
  <c r="CN49" i="53"/>
  <c r="U40" i="53"/>
  <c r="U49" i="53"/>
  <c r="U52" i="53"/>
  <c r="U42" i="53"/>
  <c r="U55" i="53"/>
  <c r="U39" i="53"/>
  <c r="U27" i="53"/>
  <c r="U19" i="53"/>
  <c r="D20" i="36"/>
  <c r="CB21" i="36"/>
  <c r="CC21" i="36" s="1"/>
  <c r="E20" i="36"/>
  <c r="E23" i="36" s="1"/>
  <c r="I20" i="36"/>
  <c r="I23" i="36" s="1"/>
  <c r="L20" i="39"/>
  <c r="C14" i="53"/>
  <c r="N14" i="53"/>
  <c r="AQ14" i="53"/>
  <c r="BB14" i="53"/>
  <c r="C14" i="54"/>
  <c r="CO14" i="54" s="1"/>
  <c r="AW14" i="53"/>
  <c r="R14" i="53"/>
  <c r="CM14" i="53" s="1"/>
  <c r="R14" i="54"/>
  <c r="CM14" i="54" s="1"/>
  <c r="L34" i="39"/>
  <c r="I14" i="53"/>
  <c r="D41" i="39"/>
  <c r="H41" i="39"/>
  <c r="G14" i="53"/>
  <c r="P14" i="53"/>
  <c r="AU14" i="53"/>
  <c r="BD14" i="53"/>
  <c r="G14" i="54"/>
  <c r="P14" i="54"/>
  <c r="CL14" i="54" s="1"/>
  <c r="AU14" i="54"/>
  <c r="AY14" i="54" s="1"/>
  <c r="CN80" i="54"/>
  <c r="AO16" i="53"/>
  <c r="CC16" i="53"/>
  <c r="AO17" i="53"/>
  <c r="CC17" i="53"/>
  <c r="AO18" i="53"/>
  <c r="CN19" i="53"/>
  <c r="CI19" i="53"/>
  <c r="AO21" i="53"/>
  <c r="U26" i="53"/>
  <c r="BI26" i="53"/>
  <c r="CI27" i="53"/>
  <c r="BI27" i="53"/>
  <c r="CC28" i="53"/>
  <c r="CC37" i="53"/>
  <c r="AO40" i="53"/>
  <c r="U41" i="53"/>
  <c r="CN41" i="53"/>
  <c r="AO42" i="53"/>
  <c r="BI49" i="53"/>
  <c r="CI50" i="53"/>
  <c r="BI57" i="53"/>
  <c r="AO59" i="53"/>
  <c r="CC59" i="53"/>
  <c r="AO60" i="53"/>
  <c r="CC60" i="53"/>
  <c r="AO61" i="53"/>
  <c r="CC61" i="53"/>
  <c r="AO62" i="53"/>
  <c r="AO63" i="53"/>
  <c r="CC63" i="53"/>
  <c r="U78" i="53"/>
  <c r="U85" i="53"/>
  <c r="CC16" i="54"/>
  <c r="CF20" i="54"/>
  <c r="E23" i="54"/>
  <c r="CF23" i="54" s="1"/>
  <c r="AO27" i="54"/>
  <c r="CI57" i="54"/>
  <c r="U57" i="54"/>
  <c r="CN77" i="54"/>
  <c r="AO77" i="54"/>
  <c r="CE20" i="53"/>
  <c r="CQ20" i="53"/>
  <c r="CL20" i="53"/>
  <c r="AN20" i="53"/>
  <c r="AY20" i="53"/>
  <c r="CB20" i="53"/>
  <c r="CI21" i="53"/>
  <c r="G23" i="53"/>
  <c r="AF23" i="53"/>
  <c r="BT23" i="53"/>
  <c r="CN25" i="53"/>
  <c r="CN26" i="53"/>
  <c r="CI28" i="53"/>
  <c r="CI42" i="53"/>
  <c r="AO48" i="53"/>
  <c r="BI55" i="53"/>
  <c r="CI59" i="53"/>
  <c r="CF70" i="53"/>
  <c r="CN78" i="53"/>
  <c r="CC83" i="53"/>
  <c r="CN85" i="53"/>
  <c r="BI26" i="54"/>
  <c r="AO40" i="54"/>
  <c r="CN40" i="54"/>
  <c r="CN49" i="54"/>
  <c r="CF20" i="53"/>
  <c r="BI16" i="53"/>
  <c r="U17" i="53"/>
  <c r="BI17" i="53"/>
  <c r="U18" i="53"/>
  <c r="CC19" i="53"/>
  <c r="CN21" i="53"/>
  <c r="I23" i="53"/>
  <c r="AO25" i="53"/>
  <c r="CC26" i="53"/>
  <c r="AO27" i="53"/>
  <c r="CN43" i="53"/>
  <c r="U57" i="53"/>
  <c r="CI64" i="53"/>
  <c r="U28" i="54"/>
  <c r="CH70" i="54"/>
  <c r="CN35" i="53"/>
  <c r="CI36" i="53"/>
  <c r="CI37" i="53"/>
  <c r="CI38" i="53"/>
  <c r="CC42" i="53"/>
  <c r="CC50" i="53"/>
  <c r="CN56" i="53"/>
  <c r="BI58" i="53"/>
  <c r="CN59" i="53"/>
  <c r="CI60" i="53"/>
  <c r="CI61" i="53"/>
  <c r="CI62" i="53"/>
  <c r="CI63" i="53"/>
  <c r="AO17" i="54"/>
  <c r="CC19" i="54"/>
  <c r="CN25" i="54"/>
  <c r="CI27" i="54"/>
  <c r="CI35" i="54"/>
  <c r="CC35" i="54"/>
  <c r="CI40" i="54"/>
  <c r="BI42" i="54"/>
  <c r="U59" i="54"/>
  <c r="CC77" i="54"/>
  <c r="U35" i="53"/>
  <c r="BI35" i="53"/>
  <c r="U36" i="53"/>
  <c r="BI36" i="53"/>
  <c r="BI37" i="53"/>
  <c r="CN38" i="53"/>
  <c r="CI39" i="53"/>
  <c r="CC41" i="53"/>
  <c r="CI43" i="53"/>
  <c r="AO43" i="53"/>
  <c r="CC43" i="53"/>
  <c r="AO46" i="53"/>
  <c r="U48" i="53"/>
  <c r="CC49" i="53"/>
  <c r="CI51" i="53"/>
  <c r="AO51" i="53"/>
  <c r="CC51" i="53"/>
  <c r="AO52" i="53"/>
  <c r="CC52" i="53"/>
  <c r="AO53" i="53"/>
  <c r="AO54" i="53"/>
  <c r="AO56" i="53"/>
  <c r="CI58" i="53"/>
  <c r="U59" i="53"/>
  <c r="BI59" i="53"/>
  <c r="U60" i="53"/>
  <c r="BI60" i="53"/>
  <c r="BI61" i="53"/>
  <c r="CN62" i="53"/>
  <c r="BI62" i="53"/>
  <c r="U63" i="53"/>
  <c r="CI77" i="53"/>
  <c r="CI80" i="53"/>
  <c r="AO80" i="53"/>
  <c r="CC80" i="53"/>
  <c r="AO82" i="53"/>
  <c r="CN84" i="53"/>
  <c r="BI84" i="53"/>
  <c r="BI16" i="54"/>
  <c r="U17" i="54"/>
  <c r="CC18" i="54"/>
  <c r="CN19" i="54"/>
  <c r="BI19" i="54"/>
  <c r="CG20" i="54"/>
  <c r="CJ20" i="54"/>
  <c r="AY20" i="54"/>
  <c r="U21" i="54"/>
  <c r="AO26" i="54"/>
  <c r="CC26" i="54"/>
  <c r="U27" i="54"/>
  <c r="BI27" i="54"/>
  <c r="CN27" i="54"/>
  <c r="AO28" i="54"/>
  <c r="AO36" i="54"/>
  <c r="AO37" i="54"/>
  <c r="AO39" i="54"/>
  <c r="CI41" i="54"/>
  <c r="CC41" i="54"/>
  <c r="CI47" i="54"/>
  <c r="U49" i="54"/>
  <c r="BI54" i="54"/>
  <c r="AO57" i="54"/>
  <c r="U77" i="54"/>
  <c r="J20" i="36"/>
  <c r="AO16" i="54"/>
  <c r="U18" i="54"/>
  <c r="BI21" i="54"/>
  <c r="U26" i="54"/>
  <c r="CI28" i="54"/>
  <c r="BI38" i="54"/>
  <c r="CC39" i="54"/>
  <c r="CN41" i="54"/>
  <c r="U41" i="54"/>
  <c r="AE66" i="54"/>
  <c r="BI56" i="54"/>
  <c r="CN57" i="54"/>
  <c r="CC57" i="54"/>
  <c r="BI64" i="54"/>
  <c r="CR70" i="54"/>
  <c r="CM70" i="54"/>
  <c r="D70" i="36"/>
  <c r="U40" i="54"/>
  <c r="CC40" i="54"/>
  <c r="CI43" i="54"/>
  <c r="BI46" i="54"/>
  <c r="CC48" i="54"/>
  <c r="BI49" i="54"/>
  <c r="CN50" i="54"/>
  <c r="CI51" i="54"/>
  <c r="CN51" i="54"/>
  <c r="CC53" i="54"/>
  <c r="AO58" i="54"/>
  <c r="CC58" i="54"/>
  <c r="BI59" i="54"/>
  <c r="CN60" i="54"/>
  <c r="BI60" i="54"/>
  <c r="CN61" i="54"/>
  <c r="U62" i="54"/>
  <c r="CI63" i="54"/>
  <c r="AO78" i="54"/>
  <c r="CC78" i="54"/>
  <c r="G20" i="36"/>
  <c r="G23" i="36" s="1"/>
  <c r="AN19" i="36"/>
  <c r="AE22" i="36"/>
  <c r="AE25" i="36"/>
  <c r="AN25" i="36"/>
  <c r="AE26" i="36"/>
  <c r="AN26" i="36"/>
  <c r="AE27" i="36"/>
  <c r="AN27" i="36"/>
  <c r="AE28" i="36"/>
  <c r="AN28" i="36"/>
  <c r="E70" i="36"/>
  <c r="I70" i="36"/>
  <c r="L70" i="36"/>
  <c r="P70" i="36"/>
  <c r="W70" i="36"/>
  <c r="AA70" i="36"/>
  <c r="AF70" i="36"/>
  <c r="AJ70" i="36"/>
  <c r="AQ70" i="36"/>
  <c r="AU70" i="36"/>
  <c r="AZ70" i="36"/>
  <c r="BD70" i="36"/>
  <c r="BK70" i="36"/>
  <c r="BO70" i="36"/>
  <c r="BT70" i="36"/>
  <c r="BX70" i="36"/>
  <c r="AO49" i="54"/>
  <c r="AO55" i="54"/>
  <c r="U56" i="54"/>
  <c r="U58" i="54"/>
  <c r="CI58" i="54"/>
  <c r="CN59" i="54"/>
  <c r="CC61" i="54"/>
  <c r="U64" i="54"/>
  <c r="U76" i="54"/>
  <c r="CI76" i="54"/>
  <c r="AB23" i="36"/>
  <c r="M70" i="36"/>
  <c r="Q70" i="36"/>
  <c r="X70" i="36"/>
  <c r="AB70" i="36"/>
  <c r="AG70" i="36"/>
  <c r="AK70" i="36"/>
  <c r="AR70" i="36"/>
  <c r="AV70" i="36"/>
  <c r="BA70" i="36"/>
  <c r="BE70" i="36"/>
  <c r="BL70" i="36"/>
  <c r="BP70" i="36"/>
  <c r="BU70" i="36"/>
  <c r="BY70" i="36"/>
  <c r="CC27" i="36"/>
  <c r="Y23" i="36"/>
  <c r="AH23" i="36"/>
  <c r="AU23" i="36"/>
  <c r="BD23" i="36"/>
  <c r="BS16" i="36"/>
  <c r="CB16" i="36"/>
  <c r="BS18" i="36"/>
  <c r="CB18" i="36"/>
  <c r="BS19" i="36"/>
  <c r="CB19" i="36"/>
  <c r="H70" i="36"/>
  <c r="H20" i="36"/>
  <c r="H23" i="36" s="1"/>
  <c r="AE21" i="36"/>
  <c r="AN21" i="36"/>
  <c r="AV23" i="36"/>
  <c r="BL23" i="36"/>
  <c r="AW23" i="36"/>
  <c r="BM23" i="36"/>
  <c r="J23" i="36"/>
  <c r="AC23" i="36"/>
  <c r="AY16" i="36"/>
  <c r="BH16" i="36"/>
  <c r="BH17" i="36"/>
  <c r="AY18" i="36"/>
  <c r="BH18" i="36"/>
  <c r="AY19" i="36"/>
  <c r="AZ20" i="36"/>
  <c r="AZ23" i="36" s="1"/>
  <c r="AR20" i="36"/>
  <c r="AY20" i="36" s="1"/>
  <c r="BP23" i="36"/>
  <c r="AJ20" i="36"/>
  <c r="AJ23" i="36" s="1"/>
  <c r="AX23" i="36"/>
  <c r="D23" i="36"/>
  <c r="AE16" i="36"/>
  <c r="AN16" i="36"/>
  <c r="AE20" i="36"/>
  <c r="AE18" i="36"/>
  <c r="AN18" i="36"/>
  <c r="AE19" i="36"/>
  <c r="AY21" i="36"/>
  <c r="BH21" i="36"/>
  <c r="AY22" i="36"/>
  <c r="AY25" i="36"/>
  <c r="BH25" i="36"/>
  <c r="AY26" i="36"/>
  <c r="BH26" i="36"/>
  <c r="AY27" i="36"/>
  <c r="BH27" i="36"/>
  <c r="AY28" i="36"/>
  <c r="BH28" i="36"/>
  <c r="BQ23" i="36"/>
  <c r="F70" i="36"/>
  <c r="F20" i="36"/>
  <c r="F23" i="36" s="1"/>
  <c r="X23" i="36"/>
  <c r="G70" i="36"/>
  <c r="BS20" i="36"/>
  <c r="BS17" i="36"/>
  <c r="CB17" i="36"/>
  <c r="BK23" i="36"/>
  <c r="BF23" i="36"/>
  <c r="AQ23" i="36"/>
  <c r="AY17" i="36"/>
  <c r="BH19" i="36"/>
  <c r="AE17" i="36"/>
  <c r="AN17" i="36"/>
  <c r="W23" i="36"/>
  <c r="AF23" i="36"/>
  <c r="AN14" i="54"/>
  <c r="AO14" i="54" s="1"/>
  <c r="AE14" i="54"/>
  <c r="AE14" i="53"/>
  <c r="AN14" i="53"/>
  <c r="AO14" i="53" s="1"/>
  <c r="CR14" i="54"/>
  <c r="CJ14" i="54"/>
  <c r="CF14" i="54"/>
  <c r="CP14" i="54"/>
  <c r="CJ14" i="53"/>
  <c r="BS14" i="53"/>
  <c r="CB14" i="53"/>
  <c r="CC14" i="53" s="1"/>
  <c r="CP14" i="53"/>
  <c r="BH14" i="54"/>
  <c r="BI14" i="54" s="1"/>
  <c r="BS14" i="54"/>
  <c r="CB14" i="54"/>
  <c r="CC14" i="54" s="1"/>
  <c r="CH14" i="54"/>
  <c r="CP20" i="54"/>
  <c r="CQ20" i="54"/>
  <c r="CN28" i="54"/>
  <c r="AJ23" i="54"/>
  <c r="CL20" i="54"/>
  <c r="CH23" i="54"/>
  <c r="CN35" i="54"/>
  <c r="U35" i="54"/>
  <c r="CR20" i="54"/>
  <c r="CM20" i="54"/>
  <c r="CK14" i="54"/>
  <c r="CO20" i="54"/>
  <c r="C23" i="54"/>
  <c r="CE20" i="54"/>
  <c r="K20" i="54"/>
  <c r="CI19" i="54"/>
  <c r="AE23" i="54"/>
  <c r="BH20" i="54"/>
  <c r="R23" i="54"/>
  <c r="CI17" i="54"/>
  <c r="AY23" i="54"/>
  <c r="BS20" i="54"/>
  <c r="CB20" i="54"/>
  <c r="CH20" i="54"/>
  <c r="CN43" i="54"/>
  <c r="AO43" i="54"/>
  <c r="CI18" i="54"/>
  <c r="CK20" i="54"/>
  <c r="L23" i="54"/>
  <c r="BK23" i="54"/>
  <c r="AO38" i="54"/>
  <c r="CI39" i="54"/>
  <c r="BI40" i="54"/>
  <c r="CC49" i="54"/>
  <c r="CI53" i="54"/>
  <c r="CI60" i="54"/>
  <c r="CC60" i="54"/>
  <c r="CN63" i="54"/>
  <c r="U63" i="54"/>
  <c r="K70" i="54"/>
  <c r="CJ70" i="54"/>
  <c r="AE70" i="54"/>
  <c r="AN70" i="54"/>
  <c r="T20" i="54"/>
  <c r="AE20" i="54"/>
  <c r="CI21" i="54"/>
  <c r="CI37" i="54"/>
  <c r="CN53" i="54"/>
  <c r="BS66" i="54"/>
  <c r="BI76" i="54"/>
  <c r="CI16" i="54"/>
  <c r="AN20" i="54"/>
  <c r="CN37" i="54"/>
  <c r="U37" i="54"/>
  <c r="CI46" i="54"/>
  <c r="CI52" i="54"/>
  <c r="CC52" i="54"/>
  <c r="CN55" i="54"/>
  <c r="U55" i="54"/>
  <c r="U60" i="54"/>
  <c r="CI62" i="54"/>
  <c r="CK70" i="54"/>
  <c r="AY70" i="54"/>
  <c r="BH70" i="54"/>
  <c r="BS70" i="54"/>
  <c r="CB70" i="54"/>
  <c r="CE70" i="54"/>
  <c r="BI37" i="54"/>
  <c r="AO54" i="54"/>
  <c r="G23" i="54"/>
  <c r="CI36" i="54"/>
  <c r="CC36" i="54"/>
  <c r="CN39" i="54"/>
  <c r="U39" i="54"/>
  <c r="CN42" i="54"/>
  <c r="CI50" i="54"/>
  <c r="CN52" i="54"/>
  <c r="BI61" i="54"/>
  <c r="CP70" i="54"/>
  <c r="CF70" i="54"/>
  <c r="CN36" i="54"/>
  <c r="CI48" i="54"/>
  <c r="CI54" i="54"/>
  <c r="CQ70" i="54"/>
  <c r="CG70" i="54"/>
  <c r="CL70" i="54"/>
  <c r="CN83" i="54"/>
  <c r="AO83" i="54"/>
  <c r="CS83" i="54" s="1"/>
  <c r="CN38" i="54"/>
  <c r="CN54" i="54"/>
  <c r="CN62" i="54"/>
  <c r="CO70" i="54"/>
  <c r="CS80" i="54"/>
  <c r="CI56" i="54"/>
  <c r="CI64" i="54"/>
  <c r="CI85" i="54"/>
  <c r="U53" i="54"/>
  <c r="U61" i="54"/>
  <c r="CC76" i="54"/>
  <c r="CI77" i="54"/>
  <c r="CI78" i="54"/>
  <c r="CS85" i="54"/>
  <c r="T70" i="54"/>
  <c r="CN78" i="54"/>
  <c r="BI82" i="54"/>
  <c r="CS82" i="54" s="1"/>
  <c r="CN82" i="54"/>
  <c r="CI83" i="54"/>
  <c r="CN84" i="54"/>
  <c r="U84" i="54"/>
  <c r="CC84" i="54"/>
  <c r="K66" i="54"/>
  <c r="AO76" i="54"/>
  <c r="CN76" i="54"/>
  <c r="CI82" i="54"/>
  <c r="CS26" i="53"/>
  <c r="BS23" i="53"/>
  <c r="CS21" i="53"/>
  <c r="CN61" i="53"/>
  <c r="U61" i="53"/>
  <c r="CF14" i="53"/>
  <c r="U16" i="53"/>
  <c r="CG20" i="53"/>
  <c r="CO20" i="53"/>
  <c r="CI22" i="53"/>
  <c r="P23" i="53"/>
  <c r="Y23" i="53"/>
  <c r="U25" i="53"/>
  <c r="U28" i="53"/>
  <c r="CS28" i="53" s="1"/>
  <c r="CM70" i="53"/>
  <c r="CN37" i="53"/>
  <c r="U37" i="53"/>
  <c r="BH20" i="53"/>
  <c r="CH20" i="53"/>
  <c r="CP20" i="53"/>
  <c r="AY23" i="53"/>
  <c r="CI26" i="53"/>
  <c r="CN27" i="53"/>
  <c r="CI17" i="53"/>
  <c r="K20" i="53"/>
  <c r="R23" i="53"/>
  <c r="CC53" i="53"/>
  <c r="AE70" i="53"/>
  <c r="AN70" i="53"/>
  <c r="AY70" i="53"/>
  <c r="BH70" i="53"/>
  <c r="T20" i="53"/>
  <c r="BS20" i="53"/>
  <c r="CC20" i="53" s="1"/>
  <c r="CJ20" i="53"/>
  <c r="C23" i="53"/>
  <c r="CN51" i="53"/>
  <c r="CI53" i="53"/>
  <c r="CI55" i="53"/>
  <c r="BS70" i="53"/>
  <c r="CB70" i="53"/>
  <c r="CH70" i="53"/>
  <c r="CI18" i="53"/>
  <c r="CK20" i="53"/>
  <c r="CI40" i="53"/>
  <c r="AE66" i="53"/>
  <c r="CN53" i="53"/>
  <c r="U53" i="53"/>
  <c r="BI54" i="53"/>
  <c r="CK70" i="53"/>
  <c r="CP70" i="53"/>
  <c r="AE20" i="53"/>
  <c r="AO55" i="53"/>
  <c r="CN36" i="53"/>
  <c r="CN52" i="53"/>
  <c r="CN60" i="53"/>
  <c r="K70" i="53"/>
  <c r="CQ70" i="53"/>
  <c r="BI76" i="53"/>
  <c r="CS77" i="53"/>
  <c r="CI83" i="53"/>
  <c r="CN39" i="53"/>
  <c r="CN55" i="53"/>
  <c r="U56" i="53"/>
  <c r="CN63" i="53"/>
  <c r="U64" i="53"/>
  <c r="T70" i="53"/>
  <c r="CR70" i="53"/>
  <c r="CN83" i="53"/>
  <c r="U83" i="53"/>
  <c r="CS83" i="53" s="1"/>
  <c r="CN42" i="53"/>
  <c r="CI49" i="53"/>
  <c r="CN50" i="53"/>
  <c r="CI57" i="53"/>
  <c r="K66" i="53"/>
  <c r="CI78" i="53"/>
  <c r="CN80" i="53"/>
  <c r="U38" i="53"/>
  <c r="U46" i="53"/>
  <c r="U54" i="53"/>
  <c r="U62" i="53"/>
  <c r="CL70" i="53"/>
  <c r="CI76" i="53"/>
  <c r="CC76" i="53"/>
  <c r="CS82" i="53"/>
  <c r="CE70" i="53"/>
  <c r="U76" i="53"/>
  <c r="CS78" i="53"/>
  <c r="CI84" i="53"/>
  <c r="CO70" i="53"/>
  <c r="CS84" i="53"/>
  <c r="CN82" i="53"/>
  <c r="CN77" i="53"/>
  <c r="CI85" i="53"/>
  <c r="AO76" i="53"/>
  <c r="Z25" i="28"/>
  <c r="Y25" i="28"/>
  <c r="X25" i="28"/>
  <c r="W25" i="28"/>
  <c r="V25" i="28"/>
  <c r="AI24" i="28"/>
  <c r="AH24" i="28"/>
  <c r="AG24" i="28"/>
  <c r="AF24" i="28"/>
  <c r="Z24" i="28"/>
  <c r="Y24" i="28"/>
  <c r="X24" i="28"/>
  <c r="W24" i="28"/>
  <c r="V24" i="28"/>
  <c r="Z23" i="28"/>
  <c r="Y23" i="28"/>
  <c r="X23" i="28"/>
  <c r="W23" i="28"/>
  <c r="V23" i="28"/>
  <c r="Z22" i="28"/>
  <c r="Y22" i="28"/>
  <c r="X22" i="28"/>
  <c r="W22" i="28"/>
  <c r="V22" i="28"/>
  <c r="Z21" i="28"/>
  <c r="Y21" i="28"/>
  <c r="X21" i="28"/>
  <c r="W21" i="28"/>
  <c r="V21" i="28"/>
  <c r="K25" i="28"/>
  <c r="K24" i="28"/>
  <c r="AJ24" i="28" s="1"/>
  <c r="K23" i="28"/>
  <c r="K22" i="28"/>
  <c r="K21" i="28"/>
  <c r="CE66" i="54" l="1"/>
  <c r="BH14" i="53"/>
  <c r="BI14" i="53" s="1"/>
  <c r="BI20" i="53"/>
  <c r="CN66" i="54"/>
  <c r="CI44" i="53"/>
  <c r="AO20" i="53"/>
  <c r="CF66" i="53"/>
  <c r="CS17" i="54"/>
  <c r="CN66" i="53"/>
  <c r="CI45" i="53"/>
  <c r="CS64" i="54"/>
  <c r="AY66" i="53"/>
  <c r="BI20" i="54"/>
  <c r="CG14" i="53"/>
  <c r="CO14" i="53"/>
  <c r="CE14" i="53"/>
  <c r="CE14" i="54"/>
  <c r="CS56" i="53"/>
  <c r="CH66" i="53"/>
  <c r="AY66" i="54"/>
  <c r="CI66" i="54" s="1"/>
  <c r="CI44" i="54"/>
  <c r="CS64" i="53"/>
  <c r="CS62" i="54"/>
  <c r="CS57" i="53"/>
  <c r="CS39" i="53"/>
  <c r="CE66" i="53"/>
  <c r="BI19" i="36"/>
  <c r="T14" i="53"/>
  <c r="CR14" i="53"/>
  <c r="CK14" i="53"/>
  <c r="AO19" i="36"/>
  <c r="CS19" i="53"/>
  <c r="CS16" i="54"/>
  <c r="BS66" i="53"/>
  <c r="CS55" i="54"/>
  <c r="CS63" i="54"/>
  <c r="CS35" i="54"/>
  <c r="CS36" i="53"/>
  <c r="CS48" i="54"/>
  <c r="CB20" i="36"/>
  <c r="CC20" i="36" s="1"/>
  <c r="CL14" i="53"/>
  <c r="CH14" i="53"/>
  <c r="AY14" i="53"/>
  <c r="BI18" i="36"/>
  <c r="CS40" i="54"/>
  <c r="CS50" i="54"/>
  <c r="K14" i="53"/>
  <c r="CI14" i="53" s="1"/>
  <c r="CS46" i="53"/>
  <c r="CS38" i="53"/>
  <c r="CS52" i="54"/>
  <c r="CS41" i="53"/>
  <c r="CS50" i="53"/>
  <c r="CC20" i="54"/>
  <c r="CS17" i="53"/>
  <c r="CS18" i="53"/>
  <c r="CS58" i="54"/>
  <c r="CS51" i="54"/>
  <c r="CN20" i="53"/>
  <c r="CS39" i="54"/>
  <c r="CS43" i="54"/>
  <c r="CS42" i="53"/>
  <c r="CS49" i="53"/>
  <c r="CS58" i="53"/>
  <c r="CS61" i="53"/>
  <c r="CS36" i="54"/>
  <c r="CS57" i="54"/>
  <c r="CS51" i="53"/>
  <c r="CS48" i="53"/>
  <c r="CG14" i="54"/>
  <c r="L41" i="39"/>
  <c r="CS26" i="54"/>
  <c r="CS37" i="54"/>
  <c r="CS56" i="54"/>
  <c r="CS59" i="54"/>
  <c r="CS21" i="54"/>
  <c r="CS19" i="54"/>
  <c r="AR23" i="36"/>
  <c r="AY23" i="36" s="1"/>
  <c r="CS78" i="54"/>
  <c r="AO27" i="36"/>
  <c r="CS27" i="54"/>
  <c r="CS28" i="54"/>
  <c r="CS77" i="54"/>
  <c r="CS42" i="54"/>
  <c r="CS53" i="54"/>
  <c r="CS41" i="54"/>
  <c r="CS18" i="54"/>
  <c r="CS80" i="53"/>
  <c r="CC18" i="36"/>
  <c r="CS62" i="53"/>
  <c r="CS60" i="53"/>
  <c r="BI27" i="36"/>
  <c r="CS40" i="53"/>
  <c r="AO25" i="36"/>
  <c r="CS27" i="53"/>
  <c r="CS35" i="53"/>
  <c r="CS63" i="53"/>
  <c r="CG23" i="53"/>
  <c r="CH23" i="53"/>
  <c r="BI28" i="36"/>
  <c r="AO28" i="36"/>
  <c r="AO26" i="36"/>
  <c r="AO16" i="36"/>
  <c r="CQ14" i="53"/>
  <c r="T14" i="54"/>
  <c r="U14" i="54" s="1"/>
  <c r="CS14" i="54" s="1"/>
  <c r="K14" i="54"/>
  <c r="CI14" i="54" s="1"/>
  <c r="CQ14" i="54"/>
  <c r="CS54" i="53"/>
  <c r="CS16" i="53"/>
  <c r="AE23" i="36"/>
  <c r="BI17" i="36"/>
  <c r="CS55" i="53"/>
  <c r="CS37" i="53"/>
  <c r="BI70" i="53"/>
  <c r="CS61" i="54"/>
  <c r="BI70" i="54"/>
  <c r="AO20" i="54"/>
  <c r="AO70" i="54"/>
  <c r="BH20" i="36"/>
  <c r="BI20" i="36" s="1"/>
  <c r="CS59" i="53"/>
  <c r="CF23" i="53"/>
  <c r="CS84" i="54"/>
  <c r="CS54" i="54"/>
  <c r="CS49" i="54"/>
  <c r="CS38" i="54"/>
  <c r="CS52" i="53"/>
  <c r="CS43" i="53"/>
  <c r="AO18" i="36"/>
  <c r="BI26" i="36"/>
  <c r="BI25" i="36"/>
  <c r="CC19" i="36"/>
  <c r="BS23" i="36"/>
  <c r="AO21" i="36"/>
  <c r="BI16" i="36"/>
  <c r="AN20" i="36"/>
  <c r="AO20" i="36" s="1"/>
  <c r="BI21" i="36"/>
  <c r="CC16" i="36"/>
  <c r="CC17" i="36"/>
  <c r="AO17" i="36"/>
  <c r="U70" i="54"/>
  <c r="CN70" i="54"/>
  <c r="U20" i="54"/>
  <c r="CI20" i="54"/>
  <c r="CN20" i="54"/>
  <c r="CS76" i="54"/>
  <c r="CE23" i="54"/>
  <c r="K23" i="54"/>
  <c r="CI70" i="54"/>
  <c r="BS23" i="54"/>
  <c r="CG23" i="54"/>
  <c r="CC70" i="54"/>
  <c r="CS60" i="54"/>
  <c r="CE23" i="53"/>
  <c r="K23" i="53"/>
  <c r="AE23" i="53"/>
  <c r="CN70" i="53"/>
  <c r="U70" i="53"/>
  <c r="CI70" i="53"/>
  <c r="CS53" i="53"/>
  <c r="CS76" i="53"/>
  <c r="CC70" i="53"/>
  <c r="AO70" i="53"/>
  <c r="U20" i="53"/>
  <c r="CI20" i="53"/>
  <c r="CR85" i="37"/>
  <c r="CQ85" i="37"/>
  <c r="CP85" i="37"/>
  <c r="CO85" i="37"/>
  <c r="CM85" i="37"/>
  <c r="CL85" i="37"/>
  <c r="CK85" i="37"/>
  <c r="CJ85" i="37"/>
  <c r="CH85" i="37"/>
  <c r="CG85" i="37"/>
  <c r="CF85" i="37"/>
  <c r="CE85" i="37"/>
  <c r="CR84" i="37"/>
  <c r="CQ84" i="37"/>
  <c r="CP84" i="37"/>
  <c r="CO84" i="37"/>
  <c r="CM84" i="37"/>
  <c r="CL84" i="37"/>
  <c r="CK84" i="37"/>
  <c r="CJ84" i="37"/>
  <c r="CH84" i="37"/>
  <c r="CG84" i="37"/>
  <c r="CF84" i="37"/>
  <c r="CE84" i="37"/>
  <c r="CR83" i="37"/>
  <c r="CQ83" i="37"/>
  <c r="CP83" i="37"/>
  <c r="CO83" i="37"/>
  <c r="CM83" i="37"/>
  <c r="CL83" i="37"/>
  <c r="CK83" i="37"/>
  <c r="CJ83" i="37"/>
  <c r="CH83" i="37"/>
  <c r="CG83" i="37"/>
  <c r="CF83" i="37"/>
  <c r="CE83" i="37"/>
  <c r="CR82" i="37"/>
  <c r="CQ82" i="37"/>
  <c r="CP82" i="37"/>
  <c r="CO82" i="37"/>
  <c r="CM82" i="37"/>
  <c r="CL82" i="37"/>
  <c r="CK82" i="37"/>
  <c r="CJ82" i="37"/>
  <c r="CH82" i="37"/>
  <c r="CG82" i="37"/>
  <c r="CF82" i="37"/>
  <c r="CE82" i="37"/>
  <c r="CR80" i="37"/>
  <c r="CQ80" i="37"/>
  <c r="CP80" i="37"/>
  <c r="CO80" i="37"/>
  <c r="CM80" i="37"/>
  <c r="CL80" i="37"/>
  <c r="CK80" i="37"/>
  <c r="CJ80" i="37"/>
  <c r="CH80" i="37"/>
  <c r="CG80" i="37"/>
  <c r="CF80" i="37"/>
  <c r="CE80" i="37"/>
  <c r="CR78" i="37"/>
  <c r="CQ78" i="37"/>
  <c r="CP78" i="37"/>
  <c r="CO78" i="37"/>
  <c r="CM78" i="37"/>
  <c r="CL78" i="37"/>
  <c r="CK78" i="37"/>
  <c r="CJ78" i="37"/>
  <c r="CH78" i="37"/>
  <c r="CG78" i="37"/>
  <c r="CF78" i="37"/>
  <c r="CE78" i="37"/>
  <c r="CR77" i="37"/>
  <c r="CQ77" i="37"/>
  <c r="CP77" i="37"/>
  <c r="CO77" i="37"/>
  <c r="CM77" i="37"/>
  <c r="CL77" i="37"/>
  <c r="CK77" i="37"/>
  <c r="CJ77" i="37"/>
  <c r="CH77" i="37"/>
  <c r="CG77" i="37"/>
  <c r="CF77" i="37"/>
  <c r="CE77" i="37"/>
  <c r="CR76" i="37"/>
  <c r="CQ76" i="37"/>
  <c r="CP76" i="37"/>
  <c r="CO76" i="37"/>
  <c r="CM76" i="37"/>
  <c r="CL76" i="37"/>
  <c r="CK76" i="37"/>
  <c r="CJ76" i="37"/>
  <c r="CH76" i="37"/>
  <c r="CG76" i="37"/>
  <c r="CF76" i="37"/>
  <c r="CE76" i="37"/>
  <c r="CR64" i="37"/>
  <c r="CQ64" i="37"/>
  <c r="CP64" i="37"/>
  <c r="CO64" i="37"/>
  <c r="CM64" i="37"/>
  <c r="CL64" i="37"/>
  <c r="CK64" i="37"/>
  <c r="CJ64" i="37"/>
  <c r="CH64" i="37"/>
  <c r="CG64" i="37"/>
  <c r="CF64" i="37"/>
  <c r="CE64" i="37"/>
  <c r="CR63" i="37"/>
  <c r="CQ63" i="37"/>
  <c r="CP63" i="37"/>
  <c r="CO63" i="37"/>
  <c r="CM63" i="37"/>
  <c r="CL63" i="37"/>
  <c r="CK63" i="37"/>
  <c r="CJ63" i="37"/>
  <c r="CH63" i="37"/>
  <c r="CG63" i="37"/>
  <c r="CF63" i="37"/>
  <c r="CE63" i="37"/>
  <c r="CR62" i="37"/>
  <c r="CQ62" i="37"/>
  <c r="CP62" i="37"/>
  <c r="CO62" i="37"/>
  <c r="CM62" i="37"/>
  <c r="CL62" i="37"/>
  <c r="CK62" i="37"/>
  <c r="CJ62" i="37"/>
  <c r="CH62" i="37"/>
  <c r="CG62" i="37"/>
  <c r="CF62" i="37"/>
  <c r="CE62" i="37"/>
  <c r="CR61" i="37"/>
  <c r="CQ61" i="37"/>
  <c r="CP61" i="37"/>
  <c r="CO61" i="37"/>
  <c r="CM61" i="37"/>
  <c r="CL61" i="37"/>
  <c r="CK61" i="37"/>
  <c r="CJ61" i="37"/>
  <c r="CH61" i="37"/>
  <c r="CG61" i="37"/>
  <c r="CF61" i="37"/>
  <c r="CE61" i="37"/>
  <c r="CR60" i="37"/>
  <c r="CQ60" i="37"/>
  <c r="CP60" i="37"/>
  <c r="CO60" i="37"/>
  <c r="CM60" i="37"/>
  <c r="CL60" i="37"/>
  <c r="CK60" i="37"/>
  <c r="CJ60" i="37"/>
  <c r="CH60" i="37"/>
  <c r="CG60" i="37"/>
  <c r="CF60" i="37"/>
  <c r="CE60" i="37"/>
  <c r="CR59" i="37"/>
  <c r="CQ59" i="37"/>
  <c r="CP59" i="37"/>
  <c r="CO59" i="37"/>
  <c r="CM59" i="37"/>
  <c r="CL59" i="37"/>
  <c r="CK59" i="37"/>
  <c r="CJ59" i="37"/>
  <c r="CH59" i="37"/>
  <c r="CG59" i="37"/>
  <c r="CF59" i="37"/>
  <c r="CE59" i="37"/>
  <c r="CR58" i="37"/>
  <c r="CQ58" i="37"/>
  <c r="CP58" i="37"/>
  <c r="CO58" i="37"/>
  <c r="CM58" i="37"/>
  <c r="CL58" i="37"/>
  <c r="CK58" i="37"/>
  <c r="CJ58" i="37"/>
  <c r="CH58" i="37"/>
  <c r="CG58" i="37"/>
  <c r="CF58" i="37"/>
  <c r="CE58" i="37"/>
  <c r="CR57" i="37"/>
  <c r="CQ57" i="37"/>
  <c r="CP57" i="37"/>
  <c r="CO57" i="37"/>
  <c r="CM57" i="37"/>
  <c r="CL57" i="37"/>
  <c r="CK57" i="37"/>
  <c r="CJ57" i="37"/>
  <c r="CH57" i="37"/>
  <c r="CG57" i="37"/>
  <c r="CF57" i="37"/>
  <c r="CE57" i="37"/>
  <c r="CR56" i="37"/>
  <c r="CQ56" i="37"/>
  <c r="CP56" i="37"/>
  <c r="CO56" i="37"/>
  <c r="CM56" i="37"/>
  <c r="CL56" i="37"/>
  <c r="CK56" i="37"/>
  <c r="CJ56" i="37"/>
  <c r="CH56" i="37"/>
  <c r="CG56" i="37"/>
  <c r="CF56" i="37"/>
  <c r="CE56" i="37"/>
  <c r="CR55" i="37"/>
  <c r="CQ55" i="37"/>
  <c r="CP55" i="37"/>
  <c r="CO55" i="37"/>
  <c r="CM55" i="37"/>
  <c r="CL55" i="37"/>
  <c r="CK55" i="37"/>
  <c r="CJ55" i="37"/>
  <c r="CH55" i="37"/>
  <c r="CG55" i="37"/>
  <c r="CF55" i="37"/>
  <c r="CE55" i="37"/>
  <c r="CR54" i="37"/>
  <c r="CQ54" i="37"/>
  <c r="CP54" i="37"/>
  <c r="CO54" i="37"/>
  <c r="CM54" i="37"/>
  <c r="CL54" i="37"/>
  <c r="CK54" i="37"/>
  <c r="CJ54" i="37"/>
  <c r="CH54" i="37"/>
  <c r="CG54" i="37"/>
  <c r="CF54" i="37"/>
  <c r="CE54" i="37"/>
  <c r="CR53" i="37"/>
  <c r="CQ53" i="37"/>
  <c r="CP53" i="37"/>
  <c r="CO53" i="37"/>
  <c r="CM53" i="37"/>
  <c r="CL53" i="37"/>
  <c r="CK53" i="37"/>
  <c r="CJ53" i="37"/>
  <c r="CH53" i="37"/>
  <c r="CG53" i="37"/>
  <c r="CF53" i="37"/>
  <c r="CE53" i="37"/>
  <c r="CR52" i="37"/>
  <c r="CQ52" i="37"/>
  <c r="CP52" i="37"/>
  <c r="CO52" i="37"/>
  <c r="CM52" i="37"/>
  <c r="CL52" i="37"/>
  <c r="CK52" i="37"/>
  <c r="CJ52" i="37"/>
  <c r="CH52" i="37"/>
  <c r="CG52" i="37"/>
  <c r="CF52" i="37"/>
  <c r="CE52" i="37"/>
  <c r="CR51" i="37"/>
  <c r="CQ51" i="37"/>
  <c r="CP51" i="37"/>
  <c r="CO51" i="37"/>
  <c r="CM51" i="37"/>
  <c r="CL51" i="37"/>
  <c r="CK51" i="37"/>
  <c r="CJ51" i="37"/>
  <c r="CH51" i="37"/>
  <c r="CG51" i="37"/>
  <c r="CF51" i="37"/>
  <c r="CE51" i="37"/>
  <c r="CR50" i="37"/>
  <c r="CQ50" i="37"/>
  <c r="CP50" i="37"/>
  <c r="CO50" i="37"/>
  <c r="CM50" i="37"/>
  <c r="CL50" i="37"/>
  <c r="CK50" i="37"/>
  <c r="CJ50" i="37"/>
  <c r="CH50" i="37"/>
  <c r="CG50" i="37"/>
  <c r="CF50" i="37"/>
  <c r="CE50" i="37"/>
  <c r="CR49" i="37"/>
  <c r="CQ49" i="37"/>
  <c r="CP49" i="37"/>
  <c r="CO49" i="37"/>
  <c r="CM49" i="37"/>
  <c r="CL49" i="37"/>
  <c r="CK49" i="37"/>
  <c r="CJ49" i="37"/>
  <c r="CH49" i="37"/>
  <c r="CG49" i="37"/>
  <c r="CF49" i="37"/>
  <c r="CE49" i="37"/>
  <c r="CR48" i="37"/>
  <c r="CQ48" i="37"/>
  <c r="CP48" i="37"/>
  <c r="CO48" i="37"/>
  <c r="CM48" i="37"/>
  <c r="CL48" i="37"/>
  <c r="CK48" i="37"/>
  <c r="CJ48" i="37"/>
  <c r="CH48" i="37"/>
  <c r="CG48" i="37"/>
  <c r="CF48" i="37"/>
  <c r="CE48" i="37"/>
  <c r="CK46" i="37"/>
  <c r="CJ46" i="37"/>
  <c r="CR43" i="37"/>
  <c r="CQ43" i="37"/>
  <c r="CP43" i="37"/>
  <c r="CO43" i="37"/>
  <c r="CM43" i="37"/>
  <c r="CL43" i="37"/>
  <c r="CK43" i="37"/>
  <c r="CJ43" i="37"/>
  <c r="CH43" i="37"/>
  <c r="CG43" i="37"/>
  <c r="CF43" i="37"/>
  <c r="CE43" i="37"/>
  <c r="CR42" i="37"/>
  <c r="CQ42" i="37"/>
  <c r="CP42" i="37"/>
  <c r="CO42" i="37"/>
  <c r="CM42" i="37"/>
  <c r="CL42" i="37"/>
  <c r="CK42" i="37"/>
  <c r="CJ42" i="37"/>
  <c r="CH42" i="37"/>
  <c r="CG42" i="37"/>
  <c r="CF42" i="37"/>
  <c r="CE42" i="37"/>
  <c r="CR41" i="37"/>
  <c r="CQ41" i="37"/>
  <c r="CP41" i="37"/>
  <c r="CO41" i="37"/>
  <c r="CM41" i="37"/>
  <c r="CL41" i="37"/>
  <c r="CK41" i="37"/>
  <c r="CJ41" i="37"/>
  <c r="CH41" i="37"/>
  <c r="CG41" i="37"/>
  <c r="CF41" i="37"/>
  <c r="CE41" i="37"/>
  <c r="CR40" i="37"/>
  <c r="CQ40" i="37"/>
  <c r="CP40" i="37"/>
  <c r="CO40" i="37"/>
  <c r="CM40" i="37"/>
  <c r="CL40" i="37"/>
  <c r="CK40" i="37"/>
  <c r="CJ40" i="37"/>
  <c r="CH40" i="37"/>
  <c r="CG40" i="37"/>
  <c r="CF40" i="37"/>
  <c r="CE40" i="37"/>
  <c r="CR39" i="37"/>
  <c r="CQ39" i="37"/>
  <c r="CP39" i="37"/>
  <c r="CO39" i="37"/>
  <c r="CM39" i="37"/>
  <c r="CL39" i="37"/>
  <c r="CK39" i="37"/>
  <c r="CJ39" i="37"/>
  <c r="CH39" i="37"/>
  <c r="CG39" i="37"/>
  <c r="CF39" i="37"/>
  <c r="CE39" i="37"/>
  <c r="CR38" i="37"/>
  <c r="CQ38" i="37"/>
  <c r="CP38" i="37"/>
  <c r="CO38" i="37"/>
  <c r="CM38" i="37"/>
  <c r="CL38" i="37"/>
  <c r="CK38" i="37"/>
  <c r="CJ38" i="37"/>
  <c r="CH38" i="37"/>
  <c r="CG38" i="37"/>
  <c r="CF38" i="37"/>
  <c r="CE38" i="37"/>
  <c r="CR37" i="37"/>
  <c r="CQ37" i="37"/>
  <c r="CP37" i="37"/>
  <c r="CO37" i="37"/>
  <c r="CM37" i="37"/>
  <c r="CL37" i="37"/>
  <c r="CK37" i="37"/>
  <c r="CJ37" i="37"/>
  <c r="CH37" i="37"/>
  <c r="CG37" i="37"/>
  <c r="CF37" i="37"/>
  <c r="CE37" i="37"/>
  <c r="CR36" i="37"/>
  <c r="CQ36" i="37"/>
  <c r="CP36" i="37"/>
  <c r="CO36" i="37"/>
  <c r="CM36" i="37"/>
  <c r="CL36" i="37"/>
  <c r="CK36" i="37"/>
  <c r="CJ36" i="37"/>
  <c r="CH36" i="37"/>
  <c r="CG36" i="37"/>
  <c r="CF36" i="37"/>
  <c r="CE36" i="37"/>
  <c r="CR35" i="37"/>
  <c r="CQ35" i="37"/>
  <c r="CP35" i="37"/>
  <c r="CO35" i="37"/>
  <c r="CM35" i="37"/>
  <c r="CL35" i="37"/>
  <c r="CK35" i="37"/>
  <c r="CJ35" i="37"/>
  <c r="CH35" i="37"/>
  <c r="CG35" i="37"/>
  <c r="CF35" i="37"/>
  <c r="CE35" i="37"/>
  <c r="CR28" i="37"/>
  <c r="CQ28" i="37"/>
  <c r="CP28" i="37"/>
  <c r="CO28" i="37"/>
  <c r="CM28" i="37"/>
  <c r="CL28" i="37"/>
  <c r="CK28" i="37"/>
  <c r="CJ28" i="37"/>
  <c r="CH28" i="37"/>
  <c r="CG28" i="37"/>
  <c r="CF28" i="37"/>
  <c r="CE28" i="37"/>
  <c r="CR27" i="37"/>
  <c r="CQ27" i="37"/>
  <c r="CP27" i="37"/>
  <c r="CO27" i="37"/>
  <c r="CM27" i="37"/>
  <c r="CL27" i="37"/>
  <c r="CK27" i="37"/>
  <c r="CJ27" i="37"/>
  <c r="CH27" i="37"/>
  <c r="CG27" i="37"/>
  <c r="CF27" i="37"/>
  <c r="CE27" i="37"/>
  <c r="CR26" i="37"/>
  <c r="CQ26" i="37"/>
  <c r="CP26" i="37"/>
  <c r="CO26" i="37"/>
  <c r="CM26" i="37"/>
  <c r="CL26" i="37"/>
  <c r="CK26" i="37"/>
  <c r="CJ26" i="37"/>
  <c r="CH26" i="37"/>
  <c r="CG26" i="37"/>
  <c r="CF26" i="37"/>
  <c r="CE26" i="37"/>
  <c r="CM25" i="37"/>
  <c r="CL25" i="37"/>
  <c r="CK25" i="37"/>
  <c r="CJ25" i="37"/>
  <c r="CH22" i="37"/>
  <c r="CG22" i="37"/>
  <c r="CF22" i="37"/>
  <c r="CE22" i="37"/>
  <c r="CR21" i="37"/>
  <c r="CQ21" i="37"/>
  <c r="CP21" i="37"/>
  <c r="CO21" i="37"/>
  <c r="CM21" i="37"/>
  <c r="CL21" i="37"/>
  <c r="CK21" i="37"/>
  <c r="CJ21" i="37"/>
  <c r="CH21" i="37"/>
  <c r="CG21" i="37"/>
  <c r="CF21" i="37"/>
  <c r="CE21" i="37"/>
  <c r="CR19" i="37"/>
  <c r="CQ19" i="37"/>
  <c r="CP19" i="37"/>
  <c r="CO19" i="37"/>
  <c r="CM19" i="37"/>
  <c r="CL19" i="37"/>
  <c r="CK19" i="37"/>
  <c r="CJ19" i="37"/>
  <c r="CH19" i="37"/>
  <c r="CG19" i="37"/>
  <c r="CF19" i="37"/>
  <c r="CE19" i="37"/>
  <c r="CR18" i="37"/>
  <c r="CQ18" i="37"/>
  <c r="CP18" i="37"/>
  <c r="CO18" i="37"/>
  <c r="CM18" i="37"/>
  <c r="CL18" i="37"/>
  <c r="CK18" i="37"/>
  <c r="CJ18" i="37"/>
  <c r="CH18" i="37"/>
  <c r="CG18" i="37"/>
  <c r="CF18" i="37"/>
  <c r="CE18" i="37"/>
  <c r="CR17" i="37"/>
  <c r="CQ17" i="37"/>
  <c r="CP17" i="37"/>
  <c r="CO17" i="37"/>
  <c r="CM17" i="37"/>
  <c r="CL17" i="37"/>
  <c r="CK17" i="37"/>
  <c r="CJ17" i="37"/>
  <c r="CH17" i="37"/>
  <c r="CG17" i="37"/>
  <c r="CF17" i="37"/>
  <c r="CE17" i="37"/>
  <c r="CH16" i="37"/>
  <c r="CG16" i="37"/>
  <c r="CF16" i="37"/>
  <c r="CE16" i="37"/>
  <c r="CM16" i="37"/>
  <c r="CL16" i="37"/>
  <c r="CK16" i="37"/>
  <c r="CJ16" i="37"/>
  <c r="CA14" i="37"/>
  <c r="CA14" i="36" s="1"/>
  <c r="BZ14" i="37"/>
  <c r="BZ14" i="36" s="1"/>
  <c r="BY14" i="37"/>
  <c r="BY14" i="36" s="1"/>
  <c r="BX14" i="37"/>
  <c r="BX14" i="36" s="1"/>
  <c r="BW14" i="37"/>
  <c r="BW14" i="36" s="1"/>
  <c r="BV14" i="37"/>
  <c r="BV14" i="36" s="1"/>
  <c r="BU14" i="37"/>
  <c r="BU14" i="36" s="1"/>
  <c r="BT14" i="37"/>
  <c r="BT14" i="36" s="1"/>
  <c r="BR14" i="37"/>
  <c r="BR14" i="36" s="1"/>
  <c r="BQ14" i="37"/>
  <c r="BQ14" i="36" s="1"/>
  <c r="BP14" i="37"/>
  <c r="BP14" i="36" s="1"/>
  <c r="BO14" i="37"/>
  <c r="BO14" i="36" s="1"/>
  <c r="BN14" i="37"/>
  <c r="BN14" i="36" s="1"/>
  <c r="BM14" i="37"/>
  <c r="BM14" i="36" s="1"/>
  <c r="BL14" i="37"/>
  <c r="BL14" i="36" s="1"/>
  <c r="BK14" i="37"/>
  <c r="BK14" i="36" s="1"/>
  <c r="BG14" i="37"/>
  <c r="BG14" i="36" s="1"/>
  <c r="BF14" i="37"/>
  <c r="BF14" i="36" s="1"/>
  <c r="BE14" i="37"/>
  <c r="BE14" i="36" s="1"/>
  <c r="BD14" i="37"/>
  <c r="BD14" i="36" s="1"/>
  <c r="BC14" i="37"/>
  <c r="BC14" i="36" s="1"/>
  <c r="BB14" i="37"/>
  <c r="BB14" i="36" s="1"/>
  <c r="BA14" i="37"/>
  <c r="BA14" i="36" s="1"/>
  <c r="AZ14" i="37"/>
  <c r="AZ14" i="36" s="1"/>
  <c r="AX14" i="37"/>
  <c r="AX14" i="36" s="1"/>
  <c r="AW14" i="37"/>
  <c r="AW14" i="36" s="1"/>
  <c r="AV14" i="37"/>
  <c r="AV14" i="36" s="1"/>
  <c r="AU14" i="37"/>
  <c r="AU14" i="36" s="1"/>
  <c r="AT14" i="37"/>
  <c r="AT14" i="36" s="1"/>
  <c r="AS14" i="37"/>
  <c r="AS14" i="36" s="1"/>
  <c r="AR14" i="37"/>
  <c r="AR14" i="36" s="1"/>
  <c r="AQ14" i="37"/>
  <c r="AQ14" i="36" s="1"/>
  <c r="AM14" i="37"/>
  <c r="AM14" i="36" s="1"/>
  <c r="AL14" i="37"/>
  <c r="AL14" i="36" s="1"/>
  <c r="AK14" i="37"/>
  <c r="AK14" i="36" s="1"/>
  <c r="AJ14" i="37"/>
  <c r="AJ14" i="36" s="1"/>
  <c r="AI14" i="37"/>
  <c r="AI14" i="36" s="1"/>
  <c r="AH14" i="37"/>
  <c r="AH14" i="36" s="1"/>
  <c r="AG14" i="37"/>
  <c r="AG14" i="36" s="1"/>
  <c r="AF14" i="37"/>
  <c r="AF14" i="36" s="1"/>
  <c r="AD14" i="37"/>
  <c r="AD14" i="36" s="1"/>
  <c r="AC14" i="37"/>
  <c r="AC14" i="36" s="1"/>
  <c r="AB14" i="37"/>
  <c r="AB14" i="36" s="1"/>
  <c r="AA14" i="37"/>
  <c r="AA14" i="36" s="1"/>
  <c r="Z14" i="37"/>
  <c r="Z14" i="36" s="1"/>
  <c r="Y14" i="37"/>
  <c r="Y14" i="36" s="1"/>
  <c r="X14" i="37"/>
  <c r="X14" i="36" s="1"/>
  <c r="W14" i="37"/>
  <c r="W14" i="36" s="1"/>
  <c r="S14" i="37"/>
  <c r="S14" i="36" s="1"/>
  <c r="R14" i="37"/>
  <c r="R14" i="36" s="1"/>
  <c r="Q14" i="37"/>
  <c r="Q14" i="36" s="1"/>
  <c r="P14" i="37"/>
  <c r="P14" i="36" s="1"/>
  <c r="O14" i="37"/>
  <c r="O14" i="36" s="1"/>
  <c r="N14" i="37"/>
  <c r="N14" i="36" s="1"/>
  <c r="M14" i="37"/>
  <c r="M14" i="36" s="1"/>
  <c r="L14" i="37"/>
  <c r="L14" i="36" s="1"/>
  <c r="J14" i="37"/>
  <c r="J14" i="36" s="1"/>
  <c r="I14" i="37"/>
  <c r="I14" i="36" s="1"/>
  <c r="H14" i="37"/>
  <c r="H14" i="36" s="1"/>
  <c r="G14" i="37"/>
  <c r="G14" i="36" s="1"/>
  <c r="F14" i="37"/>
  <c r="F14" i="36" s="1"/>
  <c r="E14" i="37"/>
  <c r="E14" i="36" s="1"/>
  <c r="D14" i="37"/>
  <c r="D14" i="36" s="1"/>
  <c r="C14" i="37"/>
  <c r="BW44" i="40"/>
  <c r="BV44" i="40"/>
  <c r="BU44" i="40"/>
  <c r="BT44" i="40"/>
  <c r="BS44" i="40"/>
  <c r="BP44" i="40"/>
  <c r="BM44" i="40"/>
  <c r="BW43" i="40"/>
  <c r="BV43" i="40"/>
  <c r="BU43" i="40"/>
  <c r="BT43" i="40"/>
  <c r="BS43" i="40"/>
  <c r="BP43" i="40"/>
  <c r="BM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P30" i="40"/>
  <c r="BM30" i="40"/>
  <c r="BW29" i="40"/>
  <c r="BV29" i="40"/>
  <c r="BU29" i="40"/>
  <c r="BT29" i="40"/>
  <c r="BP29" i="40"/>
  <c r="BM29" i="40"/>
  <c r="BW28" i="40"/>
  <c r="BV28" i="40"/>
  <c r="BU28" i="40"/>
  <c r="BT28" i="40"/>
  <c r="BP28" i="40"/>
  <c r="BM28" i="40"/>
  <c r="BW27" i="40"/>
  <c r="BV27" i="40"/>
  <c r="BU27" i="40"/>
  <c r="BT27" i="40"/>
  <c r="BP27" i="40"/>
  <c r="BM27" i="40"/>
  <c r="BW26" i="40"/>
  <c r="BV26" i="40"/>
  <c r="BU26" i="40"/>
  <c r="BT26" i="40"/>
  <c r="BP26" i="40"/>
  <c r="BM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N14" i="53" l="1"/>
  <c r="CS20" i="53"/>
  <c r="U14" i="53"/>
  <c r="CS14" i="53" s="1"/>
  <c r="CI66" i="53"/>
  <c r="CN14" i="54"/>
  <c r="CS20" i="54"/>
  <c r="CS70" i="53"/>
  <c r="CS70" i="54"/>
  <c r="CI23" i="54"/>
  <c r="CI23" i="53"/>
  <c r="CF14" i="37"/>
  <c r="AY14" i="37"/>
  <c r="AY14" i="36" s="1"/>
  <c r="BH14" i="37"/>
  <c r="BH14" i="36" s="1"/>
  <c r="CG14" i="37"/>
  <c r="CH14" i="37"/>
  <c r="CP14" i="37"/>
  <c r="CJ14" i="37"/>
  <c r="CK14" i="37"/>
  <c r="CL14" i="37"/>
  <c r="CE14" i="37"/>
  <c r="CM14" i="37"/>
  <c r="BS14" i="37"/>
  <c r="BS14" i="36" s="1"/>
  <c r="CB14" i="37"/>
  <c r="CB14" i="36" s="1"/>
  <c r="T14" i="37"/>
  <c r="T14" i="36" s="1"/>
  <c r="AE14" i="37"/>
  <c r="AE14" i="36" s="1"/>
  <c r="CR14" i="37"/>
  <c r="AN14" i="37"/>
  <c r="AN14" i="36" s="1"/>
  <c r="CO14" i="37"/>
  <c r="CQ14" i="37"/>
  <c r="K14" i="37"/>
  <c r="K14" i="36" s="1"/>
  <c r="D42" i="39"/>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BQ36" i="40" s="1"/>
  <c r="F36" i="40"/>
  <c r="BN36" i="40" s="1"/>
  <c r="I35" i="40"/>
  <c r="F35" i="40"/>
  <c r="I34" i="40"/>
  <c r="F34" i="40"/>
  <c r="CM54" i="36"/>
  <c r="CM53" i="36"/>
  <c r="CM52" i="36"/>
  <c r="CM51" i="36"/>
  <c r="CB54" i="37"/>
  <c r="BS54" i="37"/>
  <c r="CB53" i="37"/>
  <c r="BS53" i="37"/>
  <c r="CB52" i="37"/>
  <c r="BS52" i="37"/>
  <c r="CB51" i="37"/>
  <c r="BS51" i="37"/>
  <c r="BH54" i="37"/>
  <c r="AY54" i="37"/>
  <c r="BH53" i="37"/>
  <c r="AY53" i="37"/>
  <c r="BH52" i="37"/>
  <c r="AY52" i="37"/>
  <c r="BH51" i="37"/>
  <c r="AY51" i="37"/>
  <c r="AN54" i="37"/>
  <c r="AE54" i="37"/>
  <c r="AN53" i="37"/>
  <c r="AE53" i="37"/>
  <c r="AN52" i="37"/>
  <c r="AE52" i="37"/>
  <c r="AN51" i="37"/>
  <c r="AE51" i="37"/>
  <c r="T54" i="37"/>
  <c r="K54" i="37"/>
  <c r="T53" i="37"/>
  <c r="K53" i="37"/>
  <c r="T52" i="37"/>
  <c r="K52" i="37"/>
  <c r="T51" i="37"/>
  <c r="K51" i="37"/>
  <c r="U38" i="40"/>
  <c r="X38" i="40"/>
  <c r="BC36" i="40" l="1"/>
  <c r="BI36" i="40" s="1"/>
  <c r="BC35" i="40"/>
  <c r="BI35" i="40" s="1"/>
  <c r="BC37" i="40"/>
  <c r="BI37" i="40" s="1"/>
  <c r="AN35" i="40"/>
  <c r="AT35" i="40" s="1"/>
  <c r="AN37" i="40"/>
  <c r="AT37" i="40" s="1"/>
  <c r="AN34" i="40"/>
  <c r="AT34" i="40" s="1"/>
  <c r="AN36" i="40"/>
  <c r="AT36" i="40" s="1"/>
  <c r="BQ35" i="40"/>
  <c r="Y38" i="40"/>
  <c r="AE38" i="40" s="1"/>
  <c r="Y35" i="40"/>
  <c r="AE35" i="40" s="1"/>
  <c r="Y36" i="40"/>
  <c r="AE36" i="40" s="1"/>
  <c r="Y37" i="40"/>
  <c r="AE37" i="40" s="1"/>
  <c r="Y34" i="40"/>
  <c r="AE34" i="40" s="1"/>
  <c r="U52" i="37"/>
  <c r="AO53" i="37"/>
  <c r="BI52" i="37"/>
  <c r="CC54" i="37"/>
  <c r="CC53" i="37"/>
  <c r="BI51" i="37"/>
  <c r="CN51" i="37"/>
  <c r="AO52" i="37"/>
  <c r="CI53" i="37"/>
  <c r="AO54" i="37"/>
  <c r="CC51" i="37"/>
  <c r="J37" i="40"/>
  <c r="BN37" i="40"/>
  <c r="BC34" i="40"/>
  <c r="BI34" i="40" s="1"/>
  <c r="CI52" i="37"/>
  <c r="U53" i="37"/>
  <c r="CN53" i="37"/>
  <c r="AO51" i="37"/>
  <c r="U54" i="37"/>
  <c r="CN54" i="37"/>
  <c r="U51" i="37"/>
  <c r="BI53" i="37"/>
  <c r="J34" i="40"/>
  <c r="BN34" i="40"/>
  <c r="BQ34" i="40"/>
  <c r="BQ37" i="40"/>
  <c r="CI51" i="37"/>
  <c r="CN52" i="37"/>
  <c r="CI54" i="37"/>
  <c r="BI54" i="37"/>
  <c r="CC52" i="37"/>
  <c r="J35" i="40"/>
  <c r="BN35" i="40"/>
  <c r="J36" i="40"/>
  <c r="CG51" i="36"/>
  <c r="CQ51" i="36"/>
  <c r="N21" i="28" s="1"/>
  <c r="AH21" i="28" s="1"/>
  <c r="CL51" i="36"/>
  <c r="CG52" i="36"/>
  <c r="CQ52" i="36"/>
  <c r="N22" i="28" s="1"/>
  <c r="AH22" i="28" s="1"/>
  <c r="CL52" i="36"/>
  <c r="CQ53" i="36"/>
  <c r="N23" i="28" s="1"/>
  <c r="AH23" i="28" s="1"/>
  <c r="CG53" i="36"/>
  <c r="CL53" i="36"/>
  <c r="CQ54" i="36"/>
  <c r="N24" i="28" s="1"/>
  <c r="CG54" i="36"/>
  <c r="CL54" i="36"/>
  <c r="CH53" i="36"/>
  <c r="CR53" i="36"/>
  <c r="O23" i="28" s="1"/>
  <c r="AI23" i="28" s="1"/>
  <c r="CR54" i="36"/>
  <c r="O24" i="28" s="1"/>
  <c r="CH54" i="36"/>
  <c r="CH52" i="36"/>
  <c r="CR52" i="36"/>
  <c r="O22" i="28" s="1"/>
  <c r="AI22" i="28" s="1"/>
  <c r="CO51" i="36"/>
  <c r="L21" i="28" s="1"/>
  <c r="AF21" i="28" s="1"/>
  <c r="CE51" i="36"/>
  <c r="CJ51" i="36"/>
  <c r="CO52" i="36"/>
  <c r="L22" i="28" s="1"/>
  <c r="AF22" i="28" s="1"/>
  <c r="CE52" i="36"/>
  <c r="CJ52" i="36"/>
  <c r="CO53" i="36"/>
  <c r="L23" i="28" s="1"/>
  <c r="AF23" i="28" s="1"/>
  <c r="CE53" i="36"/>
  <c r="CJ53" i="36"/>
  <c r="CE54" i="36"/>
  <c r="CO54" i="36"/>
  <c r="L24" i="28" s="1"/>
  <c r="CJ54" i="36"/>
  <c r="CR51" i="36"/>
  <c r="CH51" i="36"/>
  <c r="CF51" i="36"/>
  <c r="CP51" i="36"/>
  <c r="M21" i="28" s="1"/>
  <c r="AG21" i="28" s="1"/>
  <c r="CK51" i="36"/>
  <c r="CP52" i="36"/>
  <c r="CF52" i="36"/>
  <c r="CK52" i="36"/>
  <c r="CP53" i="36"/>
  <c r="CF53" i="36"/>
  <c r="CK53" i="36"/>
  <c r="CP54" i="36"/>
  <c r="M24" i="28" s="1"/>
  <c r="CF54" i="36"/>
  <c r="CK54" i="36"/>
  <c r="CI14" i="37"/>
  <c r="BI14" i="37"/>
  <c r="BI14" i="36" s="1"/>
  <c r="CN14" i="37"/>
  <c r="AO14" i="37"/>
  <c r="AO14" i="36" s="1"/>
  <c r="U14" i="37"/>
  <c r="U14" i="36" s="1"/>
  <c r="CC14" i="37"/>
  <c r="CC14" i="36" s="1"/>
  <c r="T51" i="36"/>
  <c r="K52" i="36"/>
  <c r="T52" i="36"/>
  <c r="K53" i="36"/>
  <c r="T53" i="36"/>
  <c r="T54" i="36"/>
  <c r="AE51" i="36"/>
  <c r="AN51" i="36"/>
  <c r="AE52" i="36"/>
  <c r="AN52" i="36"/>
  <c r="AN53" i="36"/>
  <c r="AE54" i="36"/>
  <c r="AN54" i="36"/>
  <c r="AY51" i="36"/>
  <c r="BH51" i="36"/>
  <c r="AY52" i="36"/>
  <c r="BH52" i="36"/>
  <c r="AY53" i="36"/>
  <c r="BH53" i="36"/>
  <c r="AY54" i="36"/>
  <c r="BH54" i="36"/>
  <c r="BS51" i="36"/>
  <c r="CB51" i="36"/>
  <c r="BS52" i="36"/>
  <c r="CB52" i="36"/>
  <c r="BS53" i="36"/>
  <c r="CB53" i="36"/>
  <c r="BS54" i="36"/>
  <c r="CB54" i="36"/>
  <c r="AE53" i="36"/>
  <c r="K54" i="36"/>
  <c r="K51" i="36"/>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CS54" i="37" l="1"/>
  <c r="AU34" i="40"/>
  <c r="CS53" i="37"/>
  <c r="AO53" i="36"/>
  <c r="CS52" i="37"/>
  <c r="AU37" i="40"/>
  <c r="CS51" i="37"/>
  <c r="BR36" i="40"/>
  <c r="P36" i="40"/>
  <c r="BX36" i="40" s="1"/>
  <c r="BW45" i="40"/>
  <c r="CC53" i="36"/>
  <c r="P35" i="40"/>
  <c r="BX35" i="40" s="1"/>
  <c r="BR35" i="40"/>
  <c r="BW52" i="40"/>
  <c r="P34" i="40"/>
  <c r="BX34" i="40" s="1"/>
  <c r="BR34" i="40"/>
  <c r="P37" i="40"/>
  <c r="BR37" i="40"/>
  <c r="AF34" i="40"/>
  <c r="BJ36" i="40"/>
  <c r="BI52" i="36"/>
  <c r="AO52" i="36"/>
  <c r="AF35" i="40"/>
  <c r="M22" i="28"/>
  <c r="BJ34" i="40"/>
  <c r="O21" i="28"/>
  <c r="P24" i="28"/>
  <c r="AU36" i="40"/>
  <c r="AF36" i="40"/>
  <c r="M23" i="28"/>
  <c r="CC52" i="36"/>
  <c r="AU35" i="40"/>
  <c r="BJ37" i="40"/>
  <c r="AF37" i="40"/>
  <c r="BJ35" i="40"/>
  <c r="BW49" i="40"/>
  <c r="BW47" i="40"/>
  <c r="BW48" i="40"/>
  <c r="BW51" i="40"/>
  <c r="BW50" i="40"/>
  <c r="CC51" i="36"/>
  <c r="BI51" i="36"/>
  <c r="AO51" i="36"/>
  <c r="U51" i="36"/>
  <c r="CI51" i="36"/>
  <c r="CI53" i="36"/>
  <c r="CN54" i="36"/>
  <c r="CI54" i="36"/>
  <c r="BI53" i="36"/>
  <c r="U52" i="36"/>
  <c r="CN52" i="36"/>
  <c r="CI52" i="36"/>
  <c r="U53" i="36"/>
  <c r="CN53" i="36"/>
  <c r="CN51" i="36"/>
  <c r="CS14" i="37"/>
  <c r="CC54" i="36"/>
  <c r="BI54" i="36"/>
  <c r="AO54" i="36"/>
  <c r="D40" i="39"/>
  <c r="F42" i="39"/>
  <c r="E42" i="39"/>
  <c r="U54" i="36"/>
  <c r="P21" i="28" l="1"/>
  <c r="AJ21" i="28" s="1"/>
  <c r="AI21" i="28"/>
  <c r="Q36" i="40"/>
  <c r="P23" i="28"/>
  <c r="AJ23" i="28" s="1"/>
  <c r="AG23" i="28"/>
  <c r="P22" i="28"/>
  <c r="AJ22" i="28" s="1"/>
  <c r="AG22" i="28"/>
  <c r="Q35" i="40"/>
  <c r="BY35" i="40" s="1"/>
  <c r="BX37" i="40"/>
  <c r="Q37" i="40"/>
  <c r="BY37" i="40" s="1"/>
  <c r="Q34" i="40"/>
  <c r="BY34" i="40" s="1"/>
  <c r="BY36" i="40"/>
  <c r="CS52" i="36"/>
  <c r="CS53" i="36"/>
  <c r="CS54" i="36"/>
  <c r="CS51" i="36"/>
  <c r="F40" i="39"/>
  <c r="G42" i="39"/>
  <c r="E40" i="39"/>
  <c r="CB85" i="37"/>
  <c r="BS85" i="37"/>
  <c r="BH85" i="37"/>
  <c r="BI85" i="37" s="1"/>
  <c r="AY85" i="37"/>
  <c r="AN85" i="37"/>
  <c r="AO85" i="37" s="1"/>
  <c r="AE85" i="37"/>
  <c r="T85" i="37"/>
  <c r="K85" i="37"/>
  <c r="CI85" i="37" s="1"/>
  <c r="CB84" i="37"/>
  <c r="BS84" i="37"/>
  <c r="BH84" i="37"/>
  <c r="AY84" i="37"/>
  <c r="AN84" i="37"/>
  <c r="AE84" i="37"/>
  <c r="AO84" i="37" s="1"/>
  <c r="T84" i="37"/>
  <c r="K84" i="37"/>
  <c r="U84" i="37" s="1"/>
  <c r="CB83" i="37"/>
  <c r="BS83" i="37"/>
  <c r="BH83" i="37"/>
  <c r="AY83" i="37"/>
  <c r="AN83" i="37"/>
  <c r="AE83" i="37"/>
  <c r="AO83" i="37" s="1"/>
  <c r="T83" i="37"/>
  <c r="K83" i="37"/>
  <c r="CB82" i="37"/>
  <c r="CC82" i="37" s="1"/>
  <c r="BS82" i="37"/>
  <c r="BH82" i="37"/>
  <c r="AY82" i="37"/>
  <c r="AN82" i="37"/>
  <c r="AE82" i="37"/>
  <c r="T82" i="37"/>
  <c r="K82" i="37"/>
  <c r="CI82" i="37" s="1"/>
  <c r="CB80" i="37"/>
  <c r="BS80" i="37"/>
  <c r="BH80" i="37"/>
  <c r="AY80" i="37"/>
  <c r="AN80" i="37"/>
  <c r="AO80" i="37" s="1"/>
  <c r="AE80" i="37"/>
  <c r="T80" i="37"/>
  <c r="K80" i="37"/>
  <c r="CB78" i="37"/>
  <c r="BS78" i="37"/>
  <c r="BI78" i="37"/>
  <c r="BH78" i="37"/>
  <c r="AY78" i="37"/>
  <c r="AN78" i="37"/>
  <c r="AE78" i="37"/>
  <c r="T78" i="37"/>
  <c r="K78" i="37"/>
  <c r="CB77" i="37"/>
  <c r="BS77" i="37"/>
  <c r="BH77" i="37"/>
  <c r="BI77" i="37" s="1"/>
  <c r="AY77" i="37"/>
  <c r="AN77" i="37"/>
  <c r="AO77" i="37" s="1"/>
  <c r="AE77" i="37"/>
  <c r="T77" i="37"/>
  <c r="K77" i="37"/>
  <c r="CB76" i="37"/>
  <c r="BS76" i="37"/>
  <c r="BH76" i="37"/>
  <c r="AY76" i="37"/>
  <c r="AN76" i="37"/>
  <c r="AO76" i="37" s="1"/>
  <c r="AE76" i="37"/>
  <c r="T76" i="37"/>
  <c r="K76" i="37"/>
  <c r="CA70" i="37"/>
  <c r="BZ70" i="37"/>
  <c r="BY70" i="37"/>
  <c r="BX70" i="37"/>
  <c r="BW70" i="37"/>
  <c r="BV70" i="37"/>
  <c r="BU70" i="37"/>
  <c r="BT70" i="37"/>
  <c r="BR70" i="37"/>
  <c r="BQ70" i="37"/>
  <c r="BP70" i="37"/>
  <c r="BO70" i="37"/>
  <c r="BN70" i="37"/>
  <c r="BM70" i="37"/>
  <c r="BL70" i="37"/>
  <c r="BK70" i="37"/>
  <c r="BG70" i="37"/>
  <c r="BF70" i="37"/>
  <c r="BE70" i="37"/>
  <c r="BD70" i="37"/>
  <c r="BC70" i="37"/>
  <c r="BB70" i="37"/>
  <c r="BA70" i="37"/>
  <c r="AZ70" i="37"/>
  <c r="AX70" i="37"/>
  <c r="AW70" i="37"/>
  <c r="AV70" i="37"/>
  <c r="AU70" i="37"/>
  <c r="AT70" i="37"/>
  <c r="AS70" i="37"/>
  <c r="AR70" i="37"/>
  <c r="AQ70" i="37"/>
  <c r="AM70" i="37"/>
  <c r="AL70" i="37"/>
  <c r="AK70" i="37"/>
  <c r="AJ70" i="37"/>
  <c r="AI70" i="37"/>
  <c r="AH70" i="37"/>
  <c r="AG70" i="37"/>
  <c r="AF70" i="37"/>
  <c r="AD70" i="37"/>
  <c r="AC70" i="37"/>
  <c r="AB70" i="37"/>
  <c r="AA70" i="37"/>
  <c r="Z70" i="37"/>
  <c r="Y70" i="37"/>
  <c r="X70" i="37"/>
  <c r="W70" i="37"/>
  <c r="S70" i="37"/>
  <c r="R70" i="37"/>
  <c r="Q70" i="37"/>
  <c r="P70" i="37"/>
  <c r="O70" i="37"/>
  <c r="N70" i="37"/>
  <c r="M70" i="37"/>
  <c r="L70" i="37"/>
  <c r="J70" i="37"/>
  <c r="I70" i="37"/>
  <c r="H70" i="37"/>
  <c r="G70" i="37"/>
  <c r="F70" i="37"/>
  <c r="E70" i="37"/>
  <c r="D70" i="37"/>
  <c r="C70" i="37"/>
  <c r="BZ66" i="37"/>
  <c r="BX66" i="37"/>
  <c r="BV66" i="37"/>
  <c r="BT66" i="37"/>
  <c r="BF66" i="37"/>
  <c r="BD66" i="37"/>
  <c r="BB66" i="37"/>
  <c r="AZ66" i="37"/>
  <c r="AL66" i="37"/>
  <c r="AJ66" i="37"/>
  <c r="AH66" i="37"/>
  <c r="AF66" i="37"/>
  <c r="R66" i="37"/>
  <c r="P66" i="37"/>
  <c r="N66" i="37"/>
  <c r="L66" i="37"/>
  <c r="CB64" i="37"/>
  <c r="BS64" i="37"/>
  <c r="BH64" i="37"/>
  <c r="AY64" i="37"/>
  <c r="AN64" i="37"/>
  <c r="AE64" i="37"/>
  <c r="T64" i="37"/>
  <c r="K64" i="37"/>
  <c r="CB63" i="37"/>
  <c r="BS63" i="37"/>
  <c r="BH63" i="37"/>
  <c r="AY63" i="37"/>
  <c r="AN63" i="37"/>
  <c r="AE63" i="37"/>
  <c r="T63" i="37"/>
  <c r="K63" i="37"/>
  <c r="CB62" i="37"/>
  <c r="BS62" i="37"/>
  <c r="BH62" i="37"/>
  <c r="AY62" i="37"/>
  <c r="AN62" i="37"/>
  <c r="AO62" i="37" s="1"/>
  <c r="AE62" i="37"/>
  <c r="T62" i="37"/>
  <c r="K62" i="37"/>
  <c r="CB61" i="37"/>
  <c r="BS61" i="37"/>
  <c r="BH61" i="37"/>
  <c r="AY61" i="37"/>
  <c r="AN61" i="37"/>
  <c r="AE61" i="37"/>
  <c r="T61" i="37"/>
  <c r="K61" i="37"/>
  <c r="CB60" i="37"/>
  <c r="BS60" i="37"/>
  <c r="BH60" i="37"/>
  <c r="AY60" i="37"/>
  <c r="AN60" i="37"/>
  <c r="AE60" i="37"/>
  <c r="T60" i="37"/>
  <c r="K60" i="37"/>
  <c r="CB59" i="37"/>
  <c r="BS59" i="37"/>
  <c r="BH59" i="37"/>
  <c r="AY59" i="37"/>
  <c r="AN59" i="37"/>
  <c r="AE59" i="37"/>
  <c r="T59" i="37"/>
  <c r="K59" i="37"/>
  <c r="CB58" i="37"/>
  <c r="BS58" i="37"/>
  <c r="BH58" i="37"/>
  <c r="AY58" i="37"/>
  <c r="AN58" i="37"/>
  <c r="AE58" i="37"/>
  <c r="T58" i="37"/>
  <c r="K58" i="37"/>
  <c r="CB57" i="37"/>
  <c r="BS57" i="37"/>
  <c r="BH57" i="37"/>
  <c r="AY57" i="37"/>
  <c r="AN57" i="37"/>
  <c r="AE57" i="37"/>
  <c r="T57" i="37"/>
  <c r="K57" i="37"/>
  <c r="CB56" i="37"/>
  <c r="BS56" i="37"/>
  <c r="BH56" i="37"/>
  <c r="AY56" i="37"/>
  <c r="AN56" i="37"/>
  <c r="AE56" i="37"/>
  <c r="T56" i="37"/>
  <c r="K56" i="37"/>
  <c r="CB55" i="37"/>
  <c r="BS55" i="37"/>
  <c r="BH55" i="37"/>
  <c r="AY55" i="37"/>
  <c r="AN55" i="37"/>
  <c r="AE55" i="37"/>
  <c r="T55" i="37"/>
  <c r="K55" i="37"/>
  <c r="CB50" i="37"/>
  <c r="BS50" i="37"/>
  <c r="BH50" i="37"/>
  <c r="AY50" i="37"/>
  <c r="AN50" i="37"/>
  <c r="AE50" i="37"/>
  <c r="T50" i="37"/>
  <c r="K50" i="37"/>
  <c r="CB49" i="37"/>
  <c r="BS49" i="37"/>
  <c r="BH49" i="37"/>
  <c r="AY49" i="37"/>
  <c r="AN49" i="37"/>
  <c r="AE49" i="37"/>
  <c r="T49" i="37"/>
  <c r="K49" i="37"/>
  <c r="CB48" i="37"/>
  <c r="BS48" i="37"/>
  <c r="BH48" i="37"/>
  <c r="AY48" i="37"/>
  <c r="AN48" i="37"/>
  <c r="AE48" i="37"/>
  <c r="T48" i="37"/>
  <c r="K48" i="37"/>
  <c r="BH46" i="37"/>
  <c r="AN46" i="37"/>
  <c r="T46" i="37"/>
  <c r="CB43" i="37"/>
  <c r="BS43" i="37"/>
  <c r="BH43" i="37"/>
  <c r="AY43" i="37"/>
  <c r="AN43" i="37"/>
  <c r="AE43" i="37"/>
  <c r="T43" i="37"/>
  <c r="K43" i="37"/>
  <c r="CB42" i="37"/>
  <c r="BS42" i="37"/>
  <c r="BH42" i="37"/>
  <c r="AY42" i="37"/>
  <c r="AN42" i="37"/>
  <c r="AE42" i="37"/>
  <c r="T42" i="37"/>
  <c r="K42" i="37"/>
  <c r="CB41" i="37"/>
  <c r="BS41" i="37"/>
  <c r="BH41" i="37"/>
  <c r="AY41" i="37"/>
  <c r="AN41" i="37"/>
  <c r="AE41" i="37"/>
  <c r="T41" i="37"/>
  <c r="K41" i="37"/>
  <c r="CB40" i="37"/>
  <c r="BS40" i="37"/>
  <c r="BH40" i="37"/>
  <c r="AY40" i="37"/>
  <c r="AN40" i="37"/>
  <c r="AE40" i="37"/>
  <c r="T40" i="37"/>
  <c r="K40" i="37"/>
  <c r="CB39" i="37"/>
  <c r="BS39" i="37"/>
  <c r="BH39" i="37"/>
  <c r="AY39" i="37"/>
  <c r="AN39" i="37"/>
  <c r="AE39" i="37"/>
  <c r="T39" i="37"/>
  <c r="K39" i="37"/>
  <c r="CB38" i="37"/>
  <c r="BS38" i="37"/>
  <c r="BH38" i="37"/>
  <c r="AY38" i="37"/>
  <c r="AN38" i="37"/>
  <c r="AE38" i="37"/>
  <c r="T38" i="37"/>
  <c r="K38" i="37"/>
  <c r="CB37" i="37"/>
  <c r="BS37" i="37"/>
  <c r="BH37" i="37"/>
  <c r="AY37" i="37"/>
  <c r="AN37" i="37"/>
  <c r="AE37" i="37"/>
  <c r="T37" i="37"/>
  <c r="K37" i="37"/>
  <c r="CB36" i="37"/>
  <c r="BS36" i="37"/>
  <c r="BH36" i="37"/>
  <c r="AY36" i="37"/>
  <c r="AN36" i="37"/>
  <c r="AE36" i="37"/>
  <c r="T36" i="37"/>
  <c r="K36" i="37"/>
  <c r="CB35" i="37"/>
  <c r="BS35" i="37"/>
  <c r="BH35" i="37"/>
  <c r="AY35" i="37"/>
  <c r="AN35" i="37"/>
  <c r="AE35" i="37"/>
  <c r="T35" i="37"/>
  <c r="K35" i="37"/>
  <c r="CB28" i="37"/>
  <c r="BS28" i="37"/>
  <c r="BH28" i="37"/>
  <c r="AY28" i="37"/>
  <c r="AN28" i="37"/>
  <c r="AE28" i="37"/>
  <c r="T28" i="37"/>
  <c r="K28" i="37"/>
  <c r="CB27" i="37"/>
  <c r="BS27" i="37"/>
  <c r="BH27" i="37"/>
  <c r="AY27" i="37"/>
  <c r="BI27" i="37" s="1"/>
  <c r="AN27" i="37"/>
  <c r="AE27" i="37"/>
  <c r="T27" i="37"/>
  <c r="K27" i="37"/>
  <c r="CB26" i="37"/>
  <c r="BS26" i="37"/>
  <c r="BH26" i="37"/>
  <c r="AY26" i="37"/>
  <c r="BI26" i="37" s="1"/>
  <c r="AN26" i="37"/>
  <c r="AE26" i="37"/>
  <c r="T26" i="37"/>
  <c r="K26" i="37"/>
  <c r="CI26" i="37" s="1"/>
  <c r="CB25" i="37"/>
  <c r="BH25" i="37"/>
  <c r="AY25" i="37"/>
  <c r="BI25" i="37" s="1"/>
  <c r="AN25" i="37"/>
  <c r="AE25" i="37"/>
  <c r="T25" i="37"/>
  <c r="K25" i="37"/>
  <c r="BS22" i="37"/>
  <c r="AY22" i="37"/>
  <c r="AE22" i="37"/>
  <c r="K22" i="37"/>
  <c r="CB21" i="37"/>
  <c r="BS21" i="37"/>
  <c r="BH21" i="37"/>
  <c r="AY21" i="37"/>
  <c r="AN21" i="37"/>
  <c r="AE21" i="37"/>
  <c r="T21" i="37"/>
  <c r="K21" i="37"/>
  <c r="CA20" i="37"/>
  <c r="BZ20" i="37"/>
  <c r="BZ23" i="37" s="1"/>
  <c r="BY20" i="37"/>
  <c r="BX20" i="37"/>
  <c r="BX23" i="37" s="1"/>
  <c r="BW20" i="37"/>
  <c r="BV20" i="37"/>
  <c r="BV23" i="37" s="1"/>
  <c r="BU20" i="37"/>
  <c r="BT20" i="37"/>
  <c r="BT23" i="37" s="1"/>
  <c r="BR20" i="37"/>
  <c r="BR23" i="37" s="1"/>
  <c r="BQ20" i="37"/>
  <c r="BQ23" i="37" s="1"/>
  <c r="BP20" i="37"/>
  <c r="BP23" i="37" s="1"/>
  <c r="BO20" i="37"/>
  <c r="BO23" i="37" s="1"/>
  <c r="BN20" i="37"/>
  <c r="BN23" i="37" s="1"/>
  <c r="BM20" i="37"/>
  <c r="BM23" i="37" s="1"/>
  <c r="BL20" i="37"/>
  <c r="BL23" i="37" s="1"/>
  <c r="BK20" i="37"/>
  <c r="BK23" i="37" s="1"/>
  <c r="BG20" i="37"/>
  <c r="BF20" i="37"/>
  <c r="BF23" i="37" s="1"/>
  <c r="BE20" i="37"/>
  <c r="BD20" i="37"/>
  <c r="BD23" i="37" s="1"/>
  <c r="BC20" i="37"/>
  <c r="BB20" i="37"/>
  <c r="BB23" i="37" s="1"/>
  <c r="BA20" i="37"/>
  <c r="AZ20" i="37"/>
  <c r="AZ23" i="37" s="1"/>
  <c r="AX20" i="37"/>
  <c r="AX23" i="37" s="1"/>
  <c r="AW20" i="37"/>
  <c r="AW23" i="37" s="1"/>
  <c r="AV20" i="37"/>
  <c r="AV23" i="37" s="1"/>
  <c r="AU20" i="37"/>
  <c r="AU23" i="37" s="1"/>
  <c r="AT20" i="37"/>
  <c r="AT23" i="37" s="1"/>
  <c r="AS20" i="37"/>
  <c r="AS23" i="37" s="1"/>
  <c r="AR20" i="37"/>
  <c r="AR23" i="37" s="1"/>
  <c r="AQ20" i="37"/>
  <c r="AQ23" i="37" s="1"/>
  <c r="AM20" i="37"/>
  <c r="AL20" i="37"/>
  <c r="AL23" i="37" s="1"/>
  <c r="AK20" i="37"/>
  <c r="AJ20" i="37"/>
  <c r="AJ23" i="37" s="1"/>
  <c r="AI20" i="37"/>
  <c r="AH20" i="37"/>
  <c r="AH23" i="37" s="1"/>
  <c r="AG20" i="37"/>
  <c r="AF20" i="37"/>
  <c r="AF23" i="37" s="1"/>
  <c r="AD20" i="37"/>
  <c r="AD23" i="37" s="1"/>
  <c r="AC20" i="37"/>
  <c r="AC23" i="37" s="1"/>
  <c r="AB20" i="37"/>
  <c r="AB23" i="37" s="1"/>
  <c r="AA20" i="37"/>
  <c r="AA23" i="37" s="1"/>
  <c r="Z20" i="37"/>
  <c r="Z23" i="37" s="1"/>
  <c r="Y20" i="37"/>
  <c r="Y23" i="37" s="1"/>
  <c r="X20" i="37"/>
  <c r="X23" i="37" s="1"/>
  <c r="W20" i="37"/>
  <c r="W23" i="37" s="1"/>
  <c r="S20" i="37"/>
  <c r="R20" i="37"/>
  <c r="Q20" i="37"/>
  <c r="P20" i="37"/>
  <c r="O20" i="37"/>
  <c r="N20" i="37"/>
  <c r="M20" i="37"/>
  <c r="L20" i="37"/>
  <c r="J20" i="37"/>
  <c r="J23" i="37" s="1"/>
  <c r="I20" i="37"/>
  <c r="I23" i="37" s="1"/>
  <c r="H20" i="37"/>
  <c r="H23" i="37" s="1"/>
  <c r="G20" i="37"/>
  <c r="G23" i="37" s="1"/>
  <c r="F20" i="37"/>
  <c r="E20" i="37"/>
  <c r="D20" i="37"/>
  <c r="C20" i="37"/>
  <c r="CB19" i="37"/>
  <c r="BS19" i="37"/>
  <c r="BH19" i="37"/>
  <c r="AY19" i="37"/>
  <c r="AN19" i="37"/>
  <c r="AE19" i="37"/>
  <c r="T19" i="37"/>
  <c r="K19" i="37"/>
  <c r="CB18" i="37"/>
  <c r="BS18" i="37"/>
  <c r="BH18" i="37"/>
  <c r="AY18" i="37"/>
  <c r="AN18" i="37"/>
  <c r="AE18" i="37"/>
  <c r="T18" i="37"/>
  <c r="K18" i="37"/>
  <c r="CB17" i="37"/>
  <c r="BS17" i="37"/>
  <c r="BH17" i="37"/>
  <c r="AY17" i="37"/>
  <c r="AN17" i="37"/>
  <c r="AE17" i="37"/>
  <c r="T17" i="37"/>
  <c r="K17" i="37"/>
  <c r="CR16" i="37"/>
  <c r="CQ16" i="37"/>
  <c r="CP16" i="37"/>
  <c r="CO16" i="37"/>
  <c r="CB16" i="37"/>
  <c r="BS16" i="37"/>
  <c r="BH16" i="37"/>
  <c r="AY16" i="37"/>
  <c r="AN16" i="37"/>
  <c r="AE16" i="37"/>
  <c r="T16" i="37"/>
  <c r="K16" i="37"/>
  <c r="CC61" i="37" l="1"/>
  <c r="BI38" i="37"/>
  <c r="BI40" i="37"/>
  <c r="AO64" i="37"/>
  <c r="CC64" i="37"/>
  <c r="CS64" i="37" s="1"/>
  <c r="U50" i="37"/>
  <c r="CN55" i="37"/>
  <c r="CC40" i="37"/>
  <c r="AO41" i="37"/>
  <c r="AO43" i="37"/>
  <c r="CC43" i="37"/>
  <c r="AO36" i="37"/>
  <c r="AO37" i="37"/>
  <c r="CC37" i="37"/>
  <c r="BI17" i="37"/>
  <c r="BI18" i="37"/>
  <c r="CC48" i="37"/>
  <c r="CC49" i="37"/>
  <c r="CC55" i="37"/>
  <c r="CC58" i="37"/>
  <c r="CC60" i="37"/>
  <c r="AO38" i="37"/>
  <c r="AO40" i="37"/>
  <c r="BI42" i="37"/>
  <c r="CC78" i="37"/>
  <c r="CC80" i="37"/>
  <c r="CN41" i="37"/>
  <c r="CI56" i="37"/>
  <c r="CI57" i="37"/>
  <c r="CI58" i="37"/>
  <c r="CI59" i="37"/>
  <c r="CI60" i="37"/>
  <c r="CI61" i="37"/>
  <c r="CI63" i="37"/>
  <c r="CC36" i="37"/>
  <c r="CI22" i="37"/>
  <c r="CC17" i="37"/>
  <c r="BI83" i="37"/>
  <c r="BI76" i="37"/>
  <c r="BI49" i="37"/>
  <c r="BI55" i="37"/>
  <c r="BI50" i="37"/>
  <c r="BI57" i="37"/>
  <c r="BI60" i="37"/>
  <c r="CI28" i="37"/>
  <c r="BI19" i="37"/>
  <c r="AO78" i="37"/>
  <c r="CI77" i="37"/>
  <c r="CN56" i="37"/>
  <c r="CN59" i="37"/>
  <c r="CN62" i="37"/>
  <c r="CN39" i="37"/>
  <c r="AO56" i="37"/>
  <c r="AO58" i="37"/>
  <c r="AO59" i="37"/>
  <c r="CI41" i="37"/>
  <c r="CI42" i="37"/>
  <c r="CI43" i="37"/>
  <c r="CI48" i="37"/>
  <c r="CI49" i="37"/>
  <c r="CN25" i="37"/>
  <c r="AO25" i="37"/>
  <c r="CN21" i="37"/>
  <c r="U17" i="37"/>
  <c r="CI17" i="37"/>
  <c r="U21" i="37"/>
  <c r="CI21" i="37"/>
  <c r="U42" i="37"/>
  <c r="CN42" i="37"/>
  <c r="U58" i="37"/>
  <c r="CN58" i="37"/>
  <c r="U62" i="37"/>
  <c r="CI62" i="37"/>
  <c r="U64" i="37"/>
  <c r="CI64" i="37"/>
  <c r="U18" i="37"/>
  <c r="CI18" i="37"/>
  <c r="U43" i="37"/>
  <c r="CN43" i="37"/>
  <c r="U57" i="37"/>
  <c r="CN57" i="37"/>
  <c r="CN16" i="37"/>
  <c r="CN17" i="37"/>
  <c r="CN18" i="37"/>
  <c r="CN19" i="37"/>
  <c r="CN26" i="37"/>
  <c r="U27" i="37"/>
  <c r="CI27" i="37"/>
  <c r="CI35" i="37"/>
  <c r="CI36" i="37"/>
  <c r="CI37" i="37"/>
  <c r="CC38" i="37"/>
  <c r="AO39" i="37"/>
  <c r="U48" i="37"/>
  <c r="CN48" i="37"/>
  <c r="CN49" i="37"/>
  <c r="CI50" i="37"/>
  <c r="AO50" i="37"/>
  <c r="U61" i="37"/>
  <c r="CN61" i="37"/>
  <c r="BI61" i="37"/>
  <c r="BI62" i="37"/>
  <c r="U63" i="37"/>
  <c r="CN63" i="37"/>
  <c r="BI63" i="37"/>
  <c r="CN64" i="37"/>
  <c r="BI64" i="37"/>
  <c r="CN77" i="37"/>
  <c r="U78" i="37"/>
  <c r="CS78" i="37" s="1"/>
  <c r="CI78" i="37"/>
  <c r="U82" i="37"/>
  <c r="CN82" i="37"/>
  <c r="BI82" i="37"/>
  <c r="CI83" i="37"/>
  <c r="CC83" i="37"/>
  <c r="BI84" i="37"/>
  <c r="CN85" i="37"/>
  <c r="U16" i="37"/>
  <c r="CI16" i="37"/>
  <c r="U19" i="37"/>
  <c r="CI19" i="37"/>
  <c r="U25" i="37"/>
  <c r="U60" i="37"/>
  <c r="CN60" i="37"/>
  <c r="AO16" i="37"/>
  <c r="CC16" i="37"/>
  <c r="AO17" i="37"/>
  <c r="AO18" i="37"/>
  <c r="CC18" i="37"/>
  <c r="AO19" i="37"/>
  <c r="CC19" i="37"/>
  <c r="AO21" i="37"/>
  <c r="U26" i="37"/>
  <c r="CN27" i="37"/>
  <c r="U28" i="37"/>
  <c r="CN28" i="37"/>
  <c r="BI28" i="37"/>
  <c r="CN35" i="37"/>
  <c r="U36" i="37"/>
  <c r="CN36" i="37"/>
  <c r="U37" i="37"/>
  <c r="CN37" i="37"/>
  <c r="CI38" i="37"/>
  <c r="U39" i="37"/>
  <c r="CI39" i="37"/>
  <c r="BI39" i="37"/>
  <c r="CI40" i="37"/>
  <c r="CC41" i="37"/>
  <c r="AO42" i="37"/>
  <c r="AO48" i="37"/>
  <c r="U49" i="37"/>
  <c r="CN50" i="37"/>
  <c r="CI55" i="37"/>
  <c r="CC56" i="37"/>
  <c r="AO57" i="37"/>
  <c r="CC59" i="37"/>
  <c r="AO60" i="37"/>
  <c r="AO61" i="37"/>
  <c r="AO63" i="37"/>
  <c r="CI76" i="37"/>
  <c r="CN78" i="37"/>
  <c r="CI80" i="37"/>
  <c r="CN83" i="37"/>
  <c r="CI84" i="37"/>
  <c r="CC26" i="37"/>
  <c r="CC27" i="37"/>
  <c r="AO35" i="37"/>
  <c r="CC35" i="37"/>
  <c r="U38" i="37"/>
  <c r="CN38" i="37"/>
  <c r="U40" i="37"/>
  <c r="CN40" i="37"/>
  <c r="BI41" i="37"/>
  <c r="AO49" i="37"/>
  <c r="BI56" i="37"/>
  <c r="BI59" i="37"/>
  <c r="CN76" i="37"/>
  <c r="CC77" i="37"/>
  <c r="U80" i="37"/>
  <c r="CN80" i="37"/>
  <c r="BI80" i="37"/>
  <c r="U83" i="37"/>
  <c r="CN84" i="37"/>
  <c r="CC85" i="37"/>
  <c r="U77" i="37"/>
  <c r="CG64" i="36"/>
  <c r="CQ64" i="36"/>
  <c r="CL64" i="36"/>
  <c r="CR64" i="36"/>
  <c r="CH64" i="36"/>
  <c r="CM64" i="36"/>
  <c r="CO64" i="36"/>
  <c r="CE64" i="36"/>
  <c r="CJ64" i="36"/>
  <c r="CP64" i="36"/>
  <c r="CF64" i="36"/>
  <c r="CK64" i="36"/>
  <c r="CG23" i="37"/>
  <c r="N23" i="37"/>
  <c r="CK20" i="37"/>
  <c r="CH23" i="37"/>
  <c r="CF70" i="37"/>
  <c r="CP70" i="37"/>
  <c r="CK70" i="37"/>
  <c r="E23" i="37"/>
  <c r="CF20" i="37"/>
  <c r="CP20" i="37"/>
  <c r="CG70" i="37"/>
  <c r="CQ70" i="37"/>
  <c r="CL70" i="37"/>
  <c r="CR20" i="37"/>
  <c r="CH20" i="37"/>
  <c r="R23" i="37"/>
  <c r="CM20" i="37"/>
  <c r="CH70" i="37"/>
  <c r="CR70" i="37"/>
  <c r="CM70" i="37"/>
  <c r="CE20" i="37"/>
  <c r="CO20" i="37"/>
  <c r="L23" i="37"/>
  <c r="CJ20" i="37"/>
  <c r="CQ20" i="37"/>
  <c r="CG20" i="37"/>
  <c r="P23" i="37"/>
  <c r="CL20" i="37"/>
  <c r="CO70" i="37"/>
  <c r="CE70" i="37"/>
  <c r="CJ70" i="37"/>
  <c r="F23" i="37"/>
  <c r="CN66" i="37"/>
  <c r="D23" i="37"/>
  <c r="AY23" i="37"/>
  <c r="AE70" i="37"/>
  <c r="CB70" i="37"/>
  <c r="C23" i="37"/>
  <c r="AE64" i="36"/>
  <c r="CO14" i="36"/>
  <c r="H42" i="39"/>
  <c r="CC28" i="37"/>
  <c r="U35" i="37"/>
  <c r="CC62" i="37"/>
  <c r="BI37" i="37"/>
  <c r="CC39" i="37"/>
  <c r="CC42" i="37"/>
  <c r="CC50" i="37"/>
  <c r="AO55" i="37"/>
  <c r="CC57" i="37"/>
  <c r="BI21" i="37"/>
  <c r="AO27" i="37"/>
  <c r="BI36" i="37"/>
  <c r="U41" i="37"/>
  <c r="BI43" i="37"/>
  <c r="U56" i="37"/>
  <c r="BI58" i="37"/>
  <c r="U59" i="37"/>
  <c r="CC63" i="37"/>
  <c r="T64" i="36"/>
  <c r="AN64" i="36"/>
  <c r="AY64" i="36"/>
  <c r="BH64" i="36"/>
  <c r="BS64" i="36"/>
  <c r="CB64" i="36"/>
  <c r="K64" i="36"/>
  <c r="K20" i="37"/>
  <c r="T20" i="37"/>
  <c r="AE23" i="37"/>
  <c r="AE20" i="37"/>
  <c r="CC21" i="37"/>
  <c r="AO28" i="37"/>
  <c r="BI16" i="37"/>
  <c r="AN20" i="37"/>
  <c r="AY20" i="37"/>
  <c r="BH20" i="37"/>
  <c r="BI35" i="37"/>
  <c r="BS23" i="37"/>
  <c r="BS20" i="37"/>
  <c r="AO26" i="37"/>
  <c r="AN70" i="37"/>
  <c r="CB20" i="37"/>
  <c r="U55" i="37"/>
  <c r="U85" i="37"/>
  <c r="BI48" i="37"/>
  <c r="AO82" i="37"/>
  <c r="CC84" i="37"/>
  <c r="CS84" i="37" s="1"/>
  <c r="CC76" i="37"/>
  <c r="U76" i="37"/>
  <c r="AY70" i="37"/>
  <c r="BH70" i="37"/>
  <c r="K70" i="37"/>
  <c r="T70" i="37"/>
  <c r="BS70" i="37"/>
  <c r="BG52" i="40"/>
  <c r="BF52" i="40"/>
  <c r="BE52" i="40"/>
  <c r="BD52" i="40"/>
  <c r="BA52" i="40"/>
  <c r="AX52" i="40"/>
  <c r="BG51" i="40"/>
  <c r="BF51" i="40"/>
  <c r="BE51" i="40"/>
  <c r="BD51" i="40"/>
  <c r="BA51" i="40"/>
  <c r="AZ51" i="40"/>
  <c r="AX51" i="40"/>
  <c r="AW51" i="40"/>
  <c r="BG50" i="40"/>
  <c r="BF50" i="40"/>
  <c r="BE50" i="40"/>
  <c r="BD50" i="40"/>
  <c r="BA50" i="40"/>
  <c r="AX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X45" i="40"/>
  <c r="BB42" i="40"/>
  <c r="AY42" i="40"/>
  <c r="BB41" i="40"/>
  <c r="AY41" i="40"/>
  <c r="BB40" i="40"/>
  <c r="AY40" i="40"/>
  <c r="BB39" i="40"/>
  <c r="AY39" i="40"/>
  <c r="BB38" i="40"/>
  <c r="AY38" i="40"/>
  <c r="BB33" i="40"/>
  <c r="AY33" i="40"/>
  <c r="BB32" i="40"/>
  <c r="AY32" i="40"/>
  <c r="BB31" i="40"/>
  <c r="AY31" i="40"/>
  <c r="BB25" i="40"/>
  <c r="AY25" i="40"/>
  <c r="BB24" i="40"/>
  <c r="AY24" i="40"/>
  <c r="BB23" i="40"/>
  <c r="AY23" i="40"/>
  <c r="BB22" i="40"/>
  <c r="AY22" i="40"/>
  <c r="BB21" i="40"/>
  <c r="AY21" i="40"/>
  <c r="BB20" i="40"/>
  <c r="AY20" i="40"/>
  <c r="BB19" i="40"/>
  <c r="AY19" i="40"/>
  <c r="BB18" i="40"/>
  <c r="AY18" i="40"/>
  <c r="AR52" i="40"/>
  <c r="AQ52" i="40"/>
  <c r="AP52" i="40"/>
  <c r="AO52" i="40"/>
  <c r="AL52" i="40"/>
  <c r="AI52" i="40"/>
  <c r="AR51" i="40"/>
  <c r="AQ51" i="40"/>
  <c r="AP51" i="40"/>
  <c r="AO51" i="40"/>
  <c r="AL51" i="40"/>
  <c r="AK51" i="40"/>
  <c r="AI51" i="40"/>
  <c r="AH51" i="40"/>
  <c r="AR50" i="40"/>
  <c r="AQ50" i="40"/>
  <c r="AP50" i="40"/>
  <c r="AO50" i="40"/>
  <c r="AL50" i="40"/>
  <c r="AI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I45" i="40"/>
  <c r="AM42" i="40"/>
  <c r="AJ42" i="40"/>
  <c r="AM41" i="40"/>
  <c r="AJ41" i="40"/>
  <c r="AM40" i="40"/>
  <c r="AJ40" i="40"/>
  <c r="AM39" i="40"/>
  <c r="AJ39" i="40"/>
  <c r="AM38" i="40"/>
  <c r="AJ38" i="40"/>
  <c r="AM33" i="40"/>
  <c r="AJ33" i="40"/>
  <c r="AM32" i="40"/>
  <c r="AJ32" i="40"/>
  <c r="AM31" i="40"/>
  <c r="AJ31" i="40"/>
  <c r="AM25" i="40"/>
  <c r="AJ25" i="40"/>
  <c r="AM24" i="40"/>
  <c r="AJ24" i="40"/>
  <c r="AM23" i="40"/>
  <c r="AJ23" i="40"/>
  <c r="AM22" i="40"/>
  <c r="AJ22" i="40"/>
  <c r="AM21" i="40"/>
  <c r="AJ21" i="40"/>
  <c r="AM20" i="40"/>
  <c r="AJ20" i="40"/>
  <c r="AM19" i="40"/>
  <c r="AJ19" i="40"/>
  <c r="AM18" i="40"/>
  <c r="AJ18" i="40"/>
  <c r="AC52" i="40"/>
  <c r="AB52" i="40"/>
  <c r="AA52" i="40"/>
  <c r="W52" i="40"/>
  <c r="T52" i="40"/>
  <c r="AC51" i="40"/>
  <c r="AB51" i="40"/>
  <c r="AA51" i="40"/>
  <c r="Z51" i="40"/>
  <c r="W51" i="40"/>
  <c r="V51" i="40"/>
  <c r="T51" i="40"/>
  <c r="S51" i="40"/>
  <c r="AC50" i="40"/>
  <c r="AB50" i="40"/>
  <c r="AA50" i="40"/>
  <c r="Z50" i="40"/>
  <c r="W50" i="40"/>
  <c r="T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W45" i="40"/>
  <c r="T45" i="40"/>
  <c r="X42" i="40"/>
  <c r="U42" i="40"/>
  <c r="X41" i="40"/>
  <c r="U41" i="40"/>
  <c r="X40" i="40"/>
  <c r="U40" i="40"/>
  <c r="X39" i="40"/>
  <c r="U39" i="40"/>
  <c r="X33" i="40"/>
  <c r="U33" i="40"/>
  <c r="X32" i="40"/>
  <c r="U32" i="40"/>
  <c r="X31" i="40"/>
  <c r="U31" i="40"/>
  <c r="X25" i="40"/>
  <c r="U25" i="40"/>
  <c r="X24" i="40"/>
  <c r="U24" i="40"/>
  <c r="X23" i="40"/>
  <c r="U23" i="40"/>
  <c r="X22" i="40"/>
  <c r="U22" i="40"/>
  <c r="X21" i="40"/>
  <c r="U21" i="40"/>
  <c r="X20" i="40"/>
  <c r="U20" i="40"/>
  <c r="X19" i="40"/>
  <c r="U19" i="40"/>
  <c r="I42" i="40"/>
  <c r="I41" i="40"/>
  <c r="I40" i="40"/>
  <c r="I39" i="40"/>
  <c r="I38" i="40"/>
  <c r="BQ38" i="40" s="1"/>
  <c r="I33" i="40"/>
  <c r="I32" i="40"/>
  <c r="I31" i="40"/>
  <c r="I25" i="40"/>
  <c r="I24" i="40"/>
  <c r="I23" i="40"/>
  <c r="I22" i="40"/>
  <c r="I21" i="40"/>
  <c r="I20" i="40"/>
  <c r="I19" i="40"/>
  <c r="F42" i="40"/>
  <c r="F41" i="40"/>
  <c r="F40" i="40"/>
  <c r="F39" i="40"/>
  <c r="F38" i="40"/>
  <c r="F33" i="40"/>
  <c r="F32" i="40"/>
  <c r="F31" i="40"/>
  <c r="F25" i="40"/>
  <c r="F24" i="40"/>
  <c r="F23" i="40"/>
  <c r="F22" i="40"/>
  <c r="F21" i="40"/>
  <c r="F20" i="40"/>
  <c r="F19" i="40"/>
  <c r="F18" i="40"/>
  <c r="E52" i="40"/>
  <c r="BM52" i="40" s="1"/>
  <c r="E51" i="40"/>
  <c r="E50" i="40"/>
  <c r="BM50" i="40" s="1"/>
  <c r="E49" i="40"/>
  <c r="E48" i="40"/>
  <c r="E47" i="40"/>
  <c r="E45" i="40"/>
  <c r="BM45" i="40" s="1"/>
  <c r="BQ18" i="40" l="1"/>
  <c r="BC19" i="40"/>
  <c r="BI19" i="40" s="1"/>
  <c r="BC21" i="40"/>
  <c r="BI21" i="40" s="1"/>
  <c r="BC23" i="40"/>
  <c r="BI23" i="40" s="1"/>
  <c r="BC25" i="40"/>
  <c r="BI25" i="40" s="1"/>
  <c r="BN38" i="40"/>
  <c r="BC40" i="40"/>
  <c r="BI40" i="40" s="1"/>
  <c r="BC42" i="40"/>
  <c r="BI42" i="40" s="1"/>
  <c r="BC31" i="40"/>
  <c r="BI31" i="40" s="1"/>
  <c r="BQ19" i="40"/>
  <c r="AN19" i="40"/>
  <c r="AT19" i="40" s="1"/>
  <c r="AN21" i="40"/>
  <c r="AT21" i="40" s="1"/>
  <c r="AN23" i="40"/>
  <c r="AT23" i="40" s="1"/>
  <c r="AN25" i="40"/>
  <c r="AT25" i="40" s="1"/>
  <c r="AN31" i="40"/>
  <c r="AT31" i="40" s="1"/>
  <c r="AN33" i="40"/>
  <c r="AT33" i="40" s="1"/>
  <c r="AN39" i="40"/>
  <c r="AT39" i="40" s="1"/>
  <c r="BN40" i="40"/>
  <c r="BN20" i="40"/>
  <c r="BN24" i="40"/>
  <c r="BQ23" i="40"/>
  <c r="CS43" i="37"/>
  <c r="BQ39" i="40"/>
  <c r="BQ22" i="40"/>
  <c r="BN32" i="40"/>
  <c r="BQ32" i="40"/>
  <c r="BQ40" i="40"/>
  <c r="BN41" i="40"/>
  <c r="BN42" i="40"/>
  <c r="BQ21" i="40"/>
  <c r="BQ25" i="40"/>
  <c r="BQ42" i="40"/>
  <c r="BQ31" i="40"/>
  <c r="Y19" i="40"/>
  <c r="AE19" i="40" s="1"/>
  <c r="Y23" i="40"/>
  <c r="AE23" i="40" s="1"/>
  <c r="Y31" i="40"/>
  <c r="AE31" i="40" s="1"/>
  <c r="BQ20" i="40"/>
  <c r="BQ24" i="40"/>
  <c r="BQ33" i="40"/>
  <c r="BQ41" i="40"/>
  <c r="BN22" i="40"/>
  <c r="BN39" i="40"/>
  <c r="CS17" i="37"/>
  <c r="CS49" i="37"/>
  <c r="CS40" i="37"/>
  <c r="CS42" i="37"/>
  <c r="CS58" i="37"/>
  <c r="CS37" i="37"/>
  <c r="BN18" i="40"/>
  <c r="J18" i="40"/>
  <c r="P18" i="40" s="1"/>
  <c r="CS50" i="37"/>
  <c r="CS39" i="37"/>
  <c r="CS62" i="37"/>
  <c r="CS61" i="37"/>
  <c r="CS48" i="37"/>
  <c r="CS57" i="37"/>
  <c r="CS77" i="37"/>
  <c r="CS36" i="37"/>
  <c r="CS63" i="37"/>
  <c r="CS60" i="37"/>
  <c r="CS21" i="37"/>
  <c r="CS18" i="37"/>
  <c r="CS19" i="37"/>
  <c r="CS80" i="37"/>
  <c r="CS76" i="37"/>
  <c r="CS82" i="37"/>
  <c r="CS16" i="37"/>
  <c r="BN21" i="40"/>
  <c r="BN25" i="40"/>
  <c r="BN33" i="40"/>
  <c r="AN18" i="40"/>
  <c r="AT18" i="40" s="1"/>
  <c r="BC33" i="40"/>
  <c r="BI33" i="40" s="1"/>
  <c r="BC39" i="40"/>
  <c r="BI39" i="40" s="1"/>
  <c r="BC41" i="40"/>
  <c r="BI41" i="40" s="1"/>
  <c r="CS35" i="37"/>
  <c r="CS26" i="37"/>
  <c r="CS59" i="37"/>
  <c r="CS41" i="37"/>
  <c r="CS83" i="37"/>
  <c r="BN19" i="40"/>
  <c r="BN23" i="40"/>
  <c r="BN31" i="40"/>
  <c r="BC18" i="40"/>
  <c r="BI18" i="40" s="1"/>
  <c r="BC20" i="40"/>
  <c r="BI20" i="40" s="1"/>
  <c r="BC22" i="40"/>
  <c r="BI22" i="40" s="1"/>
  <c r="CS28" i="37"/>
  <c r="CS85" i="37"/>
  <c r="CS56" i="37"/>
  <c r="CS27" i="37"/>
  <c r="CS55" i="37"/>
  <c r="CS38" i="37"/>
  <c r="AO64" i="36"/>
  <c r="BM51" i="40"/>
  <c r="BM47" i="40"/>
  <c r="BM48" i="40"/>
  <c r="BM49" i="40"/>
  <c r="CN70" i="37"/>
  <c r="CJ14" i="36"/>
  <c r="AO70" i="37"/>
  <c r="CE14" i="36"/>
  <c r="CN64" i="36"/>
  <c r="CI64" i="36"/>
  <c r="BI20" i="37"/>
  <c r="CF23" i="37"/>
  <c r="CI70" i="37"/>
  <c r="CN20" i="37"/>
  <c r="BI70" i="37"/>
  <c r="CI20" i="37"/>
  <c r="CE23" i="37"/>
  <c r="K23" i="37"/>
  <c r="CC64" i="36"/>
  <c r="G40" i="39"/>
  <c r="I42" i="39"/>
  <c r="H40" i="39"/>
  <c r="AN41" i="40"/>
  <c r="AT41" i="40" s="1"/>
  <c r="CC20" i="37"/>
  <c r="AO20" i="37"/>
  <c r="AN32" i="40"/>
  <c r="AT32" i="40" s="1"/>
  <c r="AN24" i="40"/>
  <c r="AT24" i="40" s="1"/>
  <c r="AN40" i="40"/>
  <c r="AT40" i="40" s="1"/>
  <c r="Y21" i="40"/>
  <c r="AE21" i="40" s="1"/>
  <c r="Y25" i="40"/>
  <c r="AE25" i="40" s="1"/>
  <c r="Y33" i="40"/>
  <c r="AE33" i="40" s="1"/>
  <c r="Y42" i="40"/>
  <c r="AE42" i="40" s="1"/>
  <c r="AN22" i="40"/>
  <c r="AT22" i="40" s="1"/>
  <c r="AN38" i="40"/>
  <c r="AT38" i="40" s="1"/>
  <c r="AN42" i="40"/>
  <c r="AT42" i="40" s="1"/>
  <c r="AN20" i="40"/>
  <c r="AT20" i="40" s="1"/>
  <c r="Y22" i="40"/>
  <c r="AE22" i="40" s="1"/>
  <c r="Y39" i="40"/>
  <c r="AE39" i="40" s="1"/>
  <c r="BI64" i="36"/>
  <c r="U64" i="36"/>
  <c r="Y41" i="40"/>
  <c r="AE41" i="40" s="1"/>
  <c r="BC24" i="40"/>
  <c r="BI24" i="40" s="1"/>
  <c r="BC38" i="40"/>
  <c r="BI38" i="40" s="1"/>
  <c r="BC32" i="40"/>
  <c r="BI32" i="40" s="1"/>
  <c r="BB48" i="40"/>
  <c r="Y20" i="40"/>
  <c r="AE20" i="40" s="1"/>
  <c r="Y24" i="40"/>
  <c r="AE24" i="40" s="1"/>
  <c r="Y32" i="40"/>
  <c r="AE32" i="40" s="1"/>
  <c r="Y40" i="40"/>
  <c r="AE40" i="40" s="1"/>
  <c r="AM51" i="40"/>
  <c r="AY48" i="40"/>
  <c r="AJ48" i="40"/>
  <c r="AM48" i="40"/>
  <c r="BB49" i="40"/>
  <c r="X47" i="40"/>
  <c r="X48" i="40"/>
  <c r="X49" i="40"/>
  <c r="AJ51" i="40"/>
  <c r="AY51" i="40"/>
  <c r="U49" i="40"/>
  <c r="AY47" i="40"/>
  <c r="U51" i="40"/>
  <c r="AJ47" i="40"/>
  <c r="BB47" i="40"/>
  <c r="AY49" i="40"/>
  <c r="BB51" i="40"/>
  <c r="U47" i="40"/>
  <c r="U48" i="40"/>
  <c r="X51" i="40"/>
  <c r="AM47" i="40"/>
  <c r="AJ49" i="40"/>
  <c r="AM49" i="40"/>
  <c r="U70" i="37"/>
  <c r="CC70" i="37"/>
  <c r="U20" i="37"/>
  <c r="J24" i="40"/>
  <c r="P24" i="40" s="1"/>
  <c r="J32" i="40"/>
  <c r="J21" i="40"/>
  <c r="J41" i="40"/>
  <c r="J33" i="40"/>
  <c r="BR33" i="40" s="1"/>
  <c r="J25" i="40"/>
  <c r="J39" i="40"/>
  <c r="J20" i="40"/>
  <c r="J40" i="40"/>
  <c r="J23" i="40"/>
  <c r="J31" i="40"/>
  <c r="J38" i="40"/>
  <c r="J22" i="40"/>
  <c r="J42" i="40"/>
  <c r="J19" i="40"/>
  <c r="H52" i="40"/>
  <c r="BP52" i="40" s="1"/>
  <c r="H51" i="40"/>
  <c r="BP51" i="40" s="1"/>
  <c r="H50" i="40"/>
  <c r="BP50" i="40" s="1"/>
  <c r="H49" i="40"/>
  <c r="BP49" i="40" s="1"/>
  <c r="H48" i="40"/>
  <c r="BP48" i="40" s="1"/>
  <c r="H47" i="40"/>
  <c r="BP47" i="40" s="1"/>
  <c r="H45" i="40"/>
  <c r="BP45" i="40" s="1"/>
  <c r="BR23" i="40" l="1"/>
  <c r="BR19" i="40"/>
  <c r="BX24" i="40"/>
  <c r="P23" i="40"/>
  <c r="BX23" i="40" s="1"/>
  <c r="BX18" i="40"/>
  <c r="BR18" i="40"/>
  <c r="P31" i="40"/>
  <c r="BX31" i="40" s="1"/>
  <c r="BR31" i="40"/>
  <c r="P32" i="40"/>
  <c r="BX32" i="40" s="1"/>
  <c r="BR32" i="40"/>
  <c r="P22" i="40"/>
  <c r="BX22" i="40" s="1"/>
  <c r="BR22" i="40"/>
  <c r="P21" i="40"/>
  <c r="BX21" i="40" s="1"/>
  <c r="BR21" i="40"/>
  <c r="BR24" i="40"/>
  <c r="P39" i="40"/>
  <c r="BX39" i="40" s="1"/>
  <c r="BR39" i="40"/>
  <c r="P42" i="40"/>
  <c r="BX42" i="40" s="1"/>
  <c r="BR42" i="40"/>
  <c r="P40" i="40"/>
  <c r="BX40" i="40" s="1"/>
  <c r="BR40" i="40"/>
  <c r="P41" i="40"/>
  <c r="BX41" i="40" s="1"/>
  <c r="BR41" i="40"/>
  <c r="P19" i="40"/>
  <c r="BX19" i="40" s="1"/>
  <c r="P33" i="40"/>
  <c r="BX33" i="40" s="1"/>
  <c r="P38" i="40"/>
  <c r="BX38" i="40" s="1"/>
  <c r="BR38" i="40"/>
  <c r="P20" i="40"/>
  <c r="BX20" i="40" s="1"/>
  <c r="BR20" i="40"/>
  <c r="P25" i="40"/>
  <c r="BX25" i="40" s="1"/>
  <c r="BR25" i="40"/>
  <c r="BC48" i="40"/>
  <c r="BI48" i="40" s="1"/>
  <c r="CK14" i="36"/>
  <c r="CS64" i="36"/>
  <c r="CS70" i="37"/>
  <c r="CI23" i="37"/>
  <c r="CS20" i="37"/>
  <c r="K40" i="39"/>
  <c r="J42" i="39"/>
  <c r="J40" i="39"/>
  <c r="BC47" i="40"/>
  <c r="BI47" i="40" s="1"/>
  <c r="BC51" i="40"/>
  <c r="BI51" i="40" s="1"/>
  <c r="AN48" i="40"/>
  <c r="AT48" i="40" s="1"/>
  <c r="AN51" i="40"/>
  <c r="AT51" i="40" s="1"/>
  <c r="AN49" i="40"/>
  <c r="AT49" i="40" s="1"/>
  <c r="Y47" i="40"/>
  <c r="AE47" i="40" s="1"/>
  <c r="Y49" i="40"/>
  <c r="AE49" i="40" s="1"/>
  <c r="BC49" i="40"/>
  <c r="BI49" i="40" s="1"/>
  <c r="Y48" i="40"/>
  <c r="AE48" i="40" s="1"/>
  <c r="Y51" i="40"/>
  <c r="AE51" i="40" s="1"/>
  <c r="AN47" i="40"/>
  <c r="AT47" i="40" s="1"/>
  <c r="AF41" i="44"/>
  <c r="AF45" i="44" s="1"/>
  <c r="AF47" i="44" s="1"/>
  <c r="AF41" i="45"/>
  <c r="AF45" i="45" s="1"/>
  <c r="AF47" i="45" s="1"/>
  <c r="AF41" i="46"/>
  <c r="AF45" i="46" s="1"/>
  <c r="AF47" i="46" s="1"/>
  <c r="AF41" i="47"/>
  <c r="AF45" i="47" s="1"/>
  <c r="AF47" i="47" s="1"/>
  <c r="AF41" i="48"/>
  <c r="AF45" i="48" s="1"/>
  <c r="AF47" i="48" s="1"/>
  <c r="CP14" i="36" l="1"/>
  <c r="CF14" i="36"/>
  <c r="CL14" i="36"/>
  <c r="K42" i="39"/>
  <c r="I40" i="39"/>
  <c r="N52" i="40"/>
  <c r="BV52" i="40" s="1"/>
  <c r="M52" i="40"/>
  <c r="BU52" i="40" s="1"/>
  <c r="L52" i="40"/>
  <c r="BT52" i="40" s="1"/>
  <c r="N51" i="40"/>
  <c r="BV51" i="40" s="1"/>
  <c r="M51" i="40"/>
  <c r="BU51" i="40" s="1"/>
  <c r="L51" i="40"/>
  <c r="BT51" i="40" s="1"/>
  <c r="K51" i="40"/>
  <c r="BS51" i="40" s="1"/>
  <c r="G51" i="40"/>
  <c r="D51" i="40"/>
  <c r="N50" i="40"/>
  <c r="BV50" i="40" s="1"/>
  <c r="M50" i="40"/>
  <c r="BU50" i="40" s="1"/>
  <c r="L50" i="40"/>
  <c r="BT50" i="40" s="1"/>
  <c r="K50" i="40"/>
  <c r="BS50" i="40" s="1"/>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I47" i="40" l="1"/>
  <c r="BQ47" i="40" s="1"/>
  <c r="BO47" i="40"/>
  <c r="I51" i="40"/>
  <c r="BQ51" i="40" s="1"/>
  <c r="BO51" i="40"/>
  <c r="F48" i="40"/>
  <c r="BN48" i="40" s="1"/>
  <c r="BL48" i="40"/>
  <c r="F51" i="40"/>
  <c r="BN51" i="40" s="1"/>
  <c r="BL51" i="40"/>
  <c r="F47" i="40"/>
  <c r="BN47" i="40" s="1"/>
  <c r="BL47" i="40"/>
  <c r="I48" i="40"/>
  <c r="BQ48" i="40" s="1"/>
  <c r="BO48" i="40"/>
  <c r="F49" i="40"/>
  <c r="BN49" i="40" s="1"/>
  <c r="BL49" i="40"/>
  <c r="I49" i="40"/>
  <c r="BQ49" i="40" s="1"/>
  <c r="BO49" i="40"/>
  <c r="CG14" i="36"/>
  <c r="CQ14" i="36"/>
  <c r="CN14" i="36"/>
  <c r="CM14" i="36"/>
  <c r="D25" i="13"/>
  <c r="C25" i="13"/>
  <c r="C76" i="12"/>
  <c r="C67" i="12"/>
  <c r="B25" i="13" s="1"/>
  <c r="J48" i="40" l="1"/>
  <c r="BR48" i="40" s="1"/>
  <c r="J47" i="40"/>
  <c r="C78" i="12"/>
  <c r="J51" i="40"/>
  <c r="BR51" i="40" s="1"/>
  <c r="J49" i="40"/>
  <c r="BR49" i="40" s="1"/>
  <c r="CI14" i="36"/>
  <c r="CH14" i="36"/>
  <c r="CR14" i="36"/>
  <c r="L45" i="40"/>
  <c r="BT45" i="40" s="1"/>
  <c r="M45" i="40"/>
  <c r="BU45" i="40" s="1"/>
  <c r="N45" i="40"/>
  <c r="BV45" i="40" s="1"/>
  <c r="BR47" i="40" l="1"/>
  <c r="P47" i="40"/>
  <c r="CS14" i="36"/>
  <c r="AH39" i="45"/>
  <c r="AF26" i="28"/>
  <c r="AG26" i="28"/>
  <c r="AH26" i="28"/>
  <c r="AI26" i="28"/>
  <c r="V26" i="28"/>
  <c r="W26" i="28"/>
  <c r="X26" i="28"/>
  <c r="Y26" i="28"/>
  <c r="Z26" i="28"/>
  <c r="K27" i="28"/>
  <c r="K26" i="28"/>
  <c r="AJ26" i="28" s="1"/>
  <c r="CK46" i="36" l="1"/>
  <c r="S29" i="40" s="1"/>
  <c r="CJ46" i="36"/>
  <c r="D29" i="40" s="1"/>
  <c r="AN46" i="36"/>
  <c r="BH46" i="36"/>
  <c r="T46" i="36"/>
  <c r="U29" i="40" l="1"/>
  <c r="F29" i="40"/>
  <c r="D3" i="39" l="1"/>
  <c r="D6" i="39"/>
  <c r="D5" i="39"/>
  <c r="D2" i="39"/>
  <c r="D4" i="39" l="1"/>
  <c r="Z30" i="28" l="1"/>
  <c r="Y30" i="28"/>
  <c r="X30" i="28"/>
  <c r="W30" i="28"/>
  <c r="V30" i="28"/>
  <c r="K30" i="28"/>
  <c r="Z29" i="28"/>
  <c r="Y29" i="28"/>
  <c r="X29" i="28"/>
  <c r="W29" i="28"/>
  <c r="V29" i="28"/>
  <c r="K29" i="28"/>
  <c r="Z28" i="28"/>
  <c r="Y28" i="28"/>
  <c r="X28" i="28"/>
  <c r="W28" i="28"/>
  <c r="V28" i="28"/>
  <c r="K28" i="28"/>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AH40" i="44"/>
  <c r="AH39" i="44"/>
  <c r="B6" i="7"/>
  <c r="B5" i="7"/>
  <c r="B4" i="7"/>
  <c r="B3" i="7"/>
  <c r="B2" i="7"/>
  <c r="D6" i="40"/>
  <c r="D5" i="40"/>
  <c r="D4" i="40"/>
  <c r="D2" i="40"/>
  <c r="D3" i="40"/>
  <c r="D6" i="49" l="1"/>
  <c r="D5" i="49"/>
  <c r="D4" i="49"/>
  <c r="D3" i="49"/>
  <c r="D2" i="49"/>
  <c r="I100" i="49" l="1"/>
  <c r="H100" i="49"/>
  <c r="G100" i="49"/>
  <c r="F100" i="49"/>
  <c r="J98" i="49"/>
  <c r="J97" i="49"/>
  <c r="J96" i="49"/>
  <c r="J95" i="49"/>
  <c r="J94" i="49"/>
  <c r="J93" i="49"/>
  <c r="J92" i="49"/>
  <c r="J91" i="49"/>
  <c r="J90" i="49"/>
  <c r="J89" i="49"/>
  <c r="J88" i="49"/>
  <c r="J87" i="49"/>
  <c r="J86" i="49"/>
  <c r="J85" i="49"/>
  <c r="J84" i="49"/>
  <c r="J83" i="49"/>
  <c r="J82" i="49"/>
  <c r="J81" i="49"/>
  <c r="J80" i="49"/>
  <c r="J79" i="49"/>
  <c r="J78" i="49"/>
  <c r="J77" i="49"/>
  <c r="J76" i="49"/>
  <c r="J75" i="49"/>
  <c r="J74" i="49"/>
  <c r="J73" i="49"/>
  <c r="J72" i="49"/>
  <c r="J71" i="49"/>
  <c r="J70" i="49"/>
  <c r="J69" i="49"/>
  <c r="J68" i="49"/>
  <c r="J67" i="49"/>
  <c r="J66" i="49"/>
  <c r="J65" i="49"/>
  <c r="J64" i="49"/>
  <c r="J63" i="49"/>
  <c r="J62" i="49"/>
  <c r="J61" i="49"/>
  <c r="J60" i="49"/>
  <c r="J59" i="49"/>
  <c r="J58" i="49"/>
  <c r="J57" i="49"/>
  <c r="J56" i="49"/>
  <c r="J55" i="49"/>
  <c r="J54" i="49"/>
  <c r="J53" i="49"/>
  <c r="J52" i="49"/>
  <c r="J51" i="49"/>
  <c r="J50" i="49"/>
  <c r="J49" i="49"/>
  <c r="J48" i="49"/>
  <c r="J47" i="49"/>
  <c r="J46" i="49"/>
  <c r="J45" i="49"/>
  <c r="J44" i="49"/>
  <c r="J43" i="49"/>
  <c r="J42" i="49"/>
  <c r="J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J9" i="49"/>
  <c r="J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K36" i="39" l="1"/>
  <c r="J36" i="39"/>
  <c r="I36" i="39"/>
  <c r="H36" i="39"/>
  <c r="G36" i="39"/>
  <c r="F36" i="39"/>
  <c r="E36" i="39"/>
  <c r="D36" i="39"/>
  <c r="L35" i="39"/>
  <c r="L33" i="39"/>
  <c r="K29" i="39"/>
  <c r="J29" i="39"/>
  <c r="I29" i="39"/>
  <c r="H29" i="39"/>
  <c r="G29" i="39"/>
  <c r="F29" i="39"/>
  <c r="E29" i="39"/>
  <c r="D29" i="39"/>
  <c r="L28" i="39"/>
  <c r="L26" i="39"/>
  <c r="K22" i="39"/>
  <c r="J22" i="39"/>
  <c r="I22" i="39"/>
  <c r="H22" i="39"/>
  <c r="G22" i="39"/>
  <c r="F22" i="39"/>
  <c r="E22" i="39"/>
  <c r="D22" i="39"/>
  <c r="L21" i="39"/>
  <c r="L19" i="39"/>
  <c r="K15" i="39"/>
  <c r="J15" i="39"/>
  <c r="I15" i="39"/>
  <c r="H15" i="39"/>
  <c r="G15" i="39"/>
  <c r="F15" i="39"/>
  <c r="E15" i="39"/>
  <c r="D15" i="39"/>
  <c r="L14" i="39"/>
  <c r="L12" i="39"/>
  <c r="K43" i="39" l="1"/>
  <c r="J43" i="39"/>
  <c r="L42" i="39"/>
  <c r="L22" i="39"/>
  <c r="L40" i="39"/>
  <c r="F43" i="39"/>
  <c r="L29" i="39"/>
  <c r="G43" i="39"/>
  <c r="H43" i="39"/>
  <c r="D43" i="39"/>
  <c r="E43" i="39"/>
  <c r="I43" i="39"/>
  <c r="L15" i="39"/>
  <c r="L36" i="39"/>
  <c r="L43" i="39" l="1"/>
  <c r="P49" i="40"/>
  <c r="BX49" i="40" s="1"/>
  <c r="P48" i="40"/>
  <c r="BX48" i="40" s="1"/>
  <c r="P51" i="40"/>
  <c r="BX51" i="40" s="1"/>
  <c r="Z16" i="28"/>
  <c r="Y16" i="28"/>
  <c r="X16" i="28"/>
  <c r="W16" i="28"/>
  <c r="V16" i="28"/>
  <c r="K16" i="28"/>
  <c r="K20" i="28"/>
  <c r="BX47" i="40" l="1"/>
  <c r="F14" i="28"/>
  <c r="CK85" i="36" l="1"/>
  <c r="CK84" i="36"/>
  <c r="CK83" i="36"/>
  <c r="CK82" i="36"/>
  <c r="CK80" i="36"/>
  <c r="CK78" i="36"/>
  <c r="CK77" i="36"/>
  <c r="CK76" i="36"/>
  <c r="CL76" i="36" l="1"/>
  <c r="CL77" i="36"/>
  <c r="CL78" i="36"/>
  <c r="CL80" i="36"/>
  <c r="CL82" i="36"/>
  <c r="CL83" i="36"/>
  <c r="CL84" i="36"/>
  <c r="CL85" i="36"/>
  <c r="CM76" i="36"/>
  <c r="CM77" i="36"/>
  <c r="CM78" i="36"/>
  <c r="CM80" i="36"/>
  <c r="CM82" i="36"/>
  <c r="CM83" i="36"/>
  <c r="CM84" i="36"/>
  <c r="CM85" i="36"/>
  <c r="CF77" i="36"/>
  <c r="CP77" i="36"/>
  <c r="CK60" i="36"/>
  <c r="S43" i="40" s="1"/>
  <c r="CR77" i="36"/>
  <c r="CH77" i="36"/>
  <c r="CE76" i="36"/>
  <c r="CO76" i="36"/>
  <c r="CO77" i="36"/>
  <c r="CE77" i="36"/>
  <c r="CE78" i="36"/>
  <c r="CO78" i="36"/>
  <c r="CO80" i="36"/>
  <c r="CE80" i="36"/>
  <c r="CO82" i="36"/>
  <c r="CE82" i="36"/>
  <c r="CO83" i="36"/>
  <c r="CE83" i="36"/>
  <c r="CO84" i="36"/>
  <c r="CE84" i="36"/>
  <c r="CO85" i="36"/>
  <c r="CE85" i="36"/>
  <c r="CJ76" i="36"/>
  <c r="CJ77" i="36"/>
  <c r="CJ78" i="36"/>
  <c r="CJ80" i="36"/>
  <c r="CJ82" i="36"/>
  <c r="CJ83" i="36"/>
  <c r="CJ84" i="36"/>
  <c r="CJ85" i="36"/>
  <c r="CO60" i="36"/>
  <c r="CE60" i="36"/>
  <c r="G43" i="40" s="1"/>
  <c r="CJ60" i="36"/>
  <c r="CP78" i="36"/>
  <c r="CF78" i="36"/>
  <c r="CP82" i="36"/>
  <c r="CF82" i="36"/>
  <c r="CQ76" i="36"/>
  <c r="CG76" i="36"/>
  <c r="CG78" i="36"/>
  <c r="CQ78" i="36"/>
  <c r="CG80" i="36"/>
  <c r="CQ80" i="36"/>
  <c r="CQ83" i="36"/>
  <c r="CG83" i="36"/>
  <c r="CQ84" i="36"/>
  <c r="CG84" i="36"/>
  <c r="CQ85" i="36"/>
  <c r="CG85" i="36"/>
  <c r="CG60" i="36"/>
  <c r="AK43" i="40" s="1"/>
  <c r="CQ60" i="36"/>
  <c r="CL60" i="36"/>
  <c r="AH43" i="40" s="1"/>
  <c r="CP83" i="36"/>
  <c r="CF83" i="36"/>
  <c r="CQ77" i="36"/>
  <c r="CG77" i="36"/>
  <c r="CQ82" i="36"/>
  <c r="CG82" i="36"/>
  <c r="CP76" i="36"/>
  <c r="CF76" i="36"/>
  <c r="CP85" i="36"/>
  <c r="CF85" i="36"/>
  <c r="CP60" i="36"/>
  <c r="CF60" i="36"/>
  <c r="V43" i="40" s="1"/>
  <c r="CH82" i="36"/>
  <c r="CR82" i="36"/>
  <c r="CR85" i="36"/>
  <c r="CH85" i="36"/>
  <c r="CH60" i="36"/>
  <c r="AZ43" i="40" s="1"/>
  <c r="CR60" i="36"/>
  <c r="CM60" i="36"/>
  <c r="AW43" i="40" s="1"/>
  <c r="CF80" i="36"/>
  <c r="CP80" i="36"/>
  <c r="CP84" i="36"/>
  <c r="CF84" i="36"/>
  <c r="CR76" i="36"/>
  <c r="CH76" i="36"/>
  <c r="CR78" i="36"/>
  <c r="CH78" i="36"/>
  <c r="CR80" i="36"/>
  <c r="CH80" i="36"/>
  <c r="CR83" i="36"/>
  <c r="CH83" i="36"/>
  <c r="CR84" i="36"/>
  <c r="CH84" i="36"/>
  <c r="B6" i="36"/>
  <c r="B5" i="36"/>
  <c r="B4" i="36"/>
  <c r="B3" i="36"/>
  <c r="B2" i="36"/>
  <c r="AY43" i="40" l="1"/>
  <c r="BB43" i="40"/>
  <c r="D43" i="40"/>
  <c r="AJ43" i="40"/>
  <c r="AM43" i="40"/>
  <c r="U43" i="40"/>
  <c r="X43" i="40"/>
  <c r="BO43" i="40"/>
  <c r="I43" i="40"/>
  <c r="B2" i="54"/>
  <c r="B2" i="53"/>
  <c r="B5" i="54"/>
  <c r="B5" i="53"/>
  <c r="B3" i="54"/>
  <c r="B3" i="53"/>
  <c r="B6" i="54"/>
  <c r="B6" i="53"/>
  <c r="B4" i="53"/>
  <c r="B4" i="54"/>
  <c r="Z20" i="28"/>
  <c r="Y20" i="28"/>
  <c r="X20" i="28"/>
  <c r="W20" i="28"/>
  <c r="V20" i="28"/>
  <c r="Y14" i="28"/>
  <c r="X14" i="28"/>
  <c r="W14" i="28"/>
  <c r="V14" i="28"/>
  <c r="Z31" i="28"/>
  <c r="Y31" i="28"/>
  <c r="X31" i="28"/>
  <c r="W31" i="28"/>
  <c r="V31" i="28"/>
  <c r="K31" i="28"/>
  <c r="K14" i="28"/>
  <c r="B2" i="37"/>
  <c r="B3" i="37"/>
  <c r="B4" i="37"/>
  <c r="B5" i="37"/>
  <c r="B6" i="37"/>
  <c r="BC43" i="40" l="1"/>
  <c r="BI43" i="40" s="1"/>
  <c r="F43" i="40"/>
  <c r="BL43" i="40"/>
  <c r="AN43" i="40"/>
  <c r="AT43" i="40" s="1"/>
  <c r="BQ43" i="40"/>
  <c r="Y43" i="40"/>
  <c r="AE43" i="40" s="1"/>
  <c r="BN43" i="40"/>
  <c r="J43" i="40"/>
  <c r="Z14" i="28"/>
  <c r="T84" i="36"/>
  <c r="BH84" i="36"/>
  <c r="K84" i="36"/>
  <c r="AE84" i="36"/>
  <c r="AN84" i="36"/>
  <c r="AY84" i="36"/>
  <c r="BS84" i="36"/>
  <c r="CB84" i="36"/>
  <c r="P43" i="40" l="1"/>
  <c r="BX43" i="40" s="1"/>
  <c r="BR43" i="40"/>
  <c r="CN84" i="36"/>
  <c r="CI84" i="36"/>
  <c r="AO84" i="36"/>
  <c r="BI84" i="36"/>
  <c r="U84" i="36"/>
  <c r="CC84" i="36"/>
  <c r="CS84" i="36" l="1"/>
  <c r="D8" i="28" l="1"/>
  <c r="C8" i="28"/>
  <c r="B8" i="28"/>
  <c r="CK37" i="36" l="1"/>
  <c r="CK28" i="36"/>
  <c r="AA31" i="28"/>
  <c r="AA30" i="28"/>
  <c r="AA22" i="28"/>
  <c r="AA14" i="28"/>
  <c r="AA20" i="28"/>
  <c r="AA19" i="28"/>
  <c r="AA18" i="28"/>
  <c r="AA17" i="28"/>
  <c r="AA16" i="28"/>
  <c r="AA15" i="28"/>
  <c r="AA29" i="28"/>
  <c r="AA21" i="28"/>
  <c r="AA13" i="28"/>
  <c r="AA28" i="28"/>
  <c r="AA27" i="28"/>
  <c r="AA26" i="28"/>
  <c r="AA25" i="28"/>
  <c r="AA24" i="28"/>
  <c r="AA23" i="28"/>
  <c r="AK23" i="28"/>
  <c r="AK24" i="28"/>
  <c r="AK22" i="28"/>
  <c r="AK21" i="28"/>
  <c r="AL23" i="28"/>
  <c r="AL21" i="28"/>
  <c r="AB23" i="28"/>
  <c r="AL24" i="28"/>
  <c r="AL22" i="28"/>
  <c r="AB24" i="28"/>
  <c r="AB22" i="28"/>
  <c r="AB25" i="28"/>
  <c r="AB21" i="28"/>
  <c r="AC25" i="28"/>
  <c r="AC21" i="28"/>
  <c r="AM22" i="28"/>
  <c r="AM24" i="28"/>
  <c r="AC24" i="28"/>
  <c r="AC22" i="28"/>
  <c r="AM23" i="28"/>
  <c r="AM21" i="28"/>
  <c r="AC23" i="28"/>
  <c r="CM57" i="36"/>
  <c r="CF63" i="36"/>
  <c r="CP63" i="36"/>
  <c r="CK62" i="36"/>
  <c r="CF59" i="36"/>
  <c r="CP59" i="36"/>
  <c r="AF42" i="40" s="1"/>
  <c r="CK58" i="36"/>
  <c r="CF50" i="36"/>
  <c r="CP50" i="36"/>
  <c r="AF33" i="40" s="1"/>
  <c r="CK49" i="36"/>
  <c r="CK48" i="36"/>
  <c r="CP36" i="36"/>
  <c r="AF19" i="40" s="1"/>
  <c r="CF36" i="36"/>
  <c r="CP27" i="36"/>
  <c r="CF27" i="36"/>
  <c r="CP26" i="36"/>
  <c r="CF26" i="36"/>
  <c r="CF22" i="36"/>
  <c r="CK18" i="36"/>
  <c r="CK17" i="36"/>
  <c r="CM63" i="36"/>
  <c r="CM61" i="36"/>
  <c r="AW44" i="40" s="1"/>
  <c r="CM59" i="36"/>
  <c r="CL63" i="36"/>
  <c r="CQ63" i="36"/>
  <c r="CG63" i="36"/>
  <c r="CL62" i="36"/>
  <c r="CQ62" i="36"/>
  <c r="CG62" i="36"/>
  <c r="CL61" i="36"/>
  <c r="AH44" i="40" s="1"/>
  <c r="CQ61" i="36"/>
  <c r="CG61" i="36"/>
  <c r="AK44" i="40" s="1"/>
  <c r="CL59" i="36"/>
  <c r="CG59" i="36"/>
  <c r="CQ59" i="36"/>
  <c r="AU42" i="40" s="1"/>
  <c r="CL58" i="36"/>
  <c r="CQ58" i="36"/>
  <c r="AU41" i="40" s="1"/>
  <c r="CG58" i="36"/>
  <c r="CL57" i="36"/>
  <c r="CQ57" i="36"/>
  <c r="AU40" i="40" s="1"/>
  <c r="CG57" i="36"/>
  <c r="CL56" i="36"/>
  <c r="CG56" i="36"/>
  <c r="CQ56" i="36"/>
  <c r="AU39" i="40" s="1"/>
  <c r="CL55" i="36"/>
  <c r="CQ55" i="36"/>
  <c r="N25" i="28" s="1"/>
  <c r="CG55" i="36"/>
  <c r="CL50" i="36"/>
  <c r="CQ50" i="36"/>
  <c r="AU33" i="40" s="1"/>
  <c r="CG50" i="36"/>
  <c r="CL49" i="36"/>
  <c r="CQ49" i="36"/>
  <c r="AU32" i="40" s="1"/>
  <c r="CG49" i="36"/>
  <c r="CL48" i="36"/>
  <c r="CG48" i="36"/>
  <c r="CQ48" i="36"/>
  <c r="AU31" i="40" s="1"/>
  <c r="CL43" i="36"/>
  <c r="AH26" i="40" s="1"/>
  <c r="CG43" i="36"/>
  <c r="AK26" i="40" s="1"/>
  <c r="AM26" i="40" s="1"/>
  <c r="CQ43" i="36"/>
  <c r="CL42" i="36"/>
  <c r="CQ42" i="36"/>
  <c r="AU25" i="40" s="1"/>
  <c r="CG42" i="36"/>
  <c r="CL41" i="36"/>
  <c r="CQ41" i="36"/>
  <c r="AU24" i="40" s="1"/>
  <c r="CG41" i="36"/>
  <c r="CL40" i="36"/>
  <c r="CQ40" i="36"/>
  <c r="AU23" i="40" s="1"/>
  <c r="CG40" i="36"/>
  <c r="CL39" i="36"/>
  <c r="CQ39" i="36"/>
  <c r="AU22" i="40" s="1"/>
  <c r="CG39" i="36"/>
  <c r="CL38" i="36"/>
  <c r="CQ38" i="36"/>
  <c r="AU21" i="40" s="1"/>
  <c r="CG38" i="36"/>
  <c r="CL37" i="36"/>
  <c r="CQ37" i="36"/>
  <c r="AU20" i="40" s="1"/>
  <c r="CG37" i="36"/>
  <c r="CL36" i="36"/>
  <c r="CG36" i="36"/>
  <c r="CQ36" i="36"/>
  <c r="AU19" i="40" s="1"/>
  <c r="CL35" i="36"/>
  <c r="CG35" i="36"/>
  <c r="CQ35" i="36"/>
  <c r="CL28" i="36"/>
  <c r="CQ28" i="36"/>
  <c r="CG28" i="36"/>
  <c r="CL27" i="36"/>
  <c r="CQ27" i="36"/>
  <c r="CG27" i="36"/>
  <c r="CL26" i="36"/>
  <c r="CQ26" i="36"/>
  <c r="CG26" i="36"/>
  <c r="CL25" i="36"/>
  <c r="CG22" i="36"/>
  <c r="CL21" i="36"/>
  <c r="CQ21" i="36"/>
  <c r="CG21" i="36"/>
  <c r="CL19" i="36"/>
  <c r="CQ19" i="36"/>
  <c r="CG19" i="36"/>
  <c r="CL18" i="36"/>
  <c r="CQ18" i="36"/>
  <c r="CG18" i="36"/>
  <c r="CL17" i="36"/>
  <c r="CQ17" i="36"/>
  <c r="CG17" i="36"/>
  <c r="CL16" i="36"/>
  <c r="CG16" i="36"/>
  <c r="CQ16" i="36"/>
  <c r="CK61" i="36"/>
  <c r="S44" i="40" s="1"/>
  <c r="CK41" i="36"/>
  <c r="CP40" i="36"/>
  <c r="AF23" i="40" s="1"/>
  <c r="CF40" i="36"/>
  <c r="CK35" i="36"/>
  <c r="CK25" i="36"/>
  <c r="CP21" i="36"/>
  <c r="CF21" i="36"/>
  <c r="CP16" i="36"/>
  <c r="CF16" i="36"/>
  <c r="CM62" i="36"/>
  <c r="CP62" i="36"/>
  <c r="CF62" i="36"/>
  <c r="CK59" i="36"/>
  <c r="CK55" i="36"/>
  <c r="CK42" i="36"/>
  <c r="CK36" i="36"/>
  <c r="CK27" i="36"/>
  <c r="CP17" i="36"/>
  <c r="CF17" i="36"/>
  <c r="CJ63" i="36"/>
  <c r="CO63" i="36"/>
  <c r="CE63" i="36"/>
  <c r="CJ62" i="36"/>
  <c r="C70" i="36"/>
  <c r="CE62" i="36"/>
  <c r="CO62" i="36"/>
  <c r="CJ61" i="36"/>
  <c r="CO61" i="36"/>
  <c r="CE61" i="36"/>
  <c r="G44" i="40" s="1"/>
  <c r="CJ59" i="36"/>
  <c r="CO59" i="36"/>
  <c r="Q42" i="40" s="1"/>
  <c r="CE59" i="36"/>
  <c r="CJ58" i="36"/>
  <c r="CE58" i="36"/>
  <c r="CO58" i="36"/>
  <c r="Q41" i="40" s="1"/>
  <c r="CJ57" i="36"/>
  <c r="CE57" i="36"/>
  <c r="CO57" i="36"/>
  <c r="Q40" i="40" s="1"/>
  <c r="CJ56" i="36"/>
  <c r="CO56" i="36"/>
  <c r="Q39" i="40" s="1"/>
  <c r="CE56" i="36"/>
  <c r="CJ55" i="36"/>
  <c r="CO55" i="36"/>
  <c r="L25" i="28" s="1"/>
  <c r="CE55" i="36"/>
  <c r="CJ50" i="36"/>
  <c r="CE50" i="36"/>
  <c r="CO50" i="36"/>
  <c r="Q33" i="40" s="1"/>
  <c r="CJ49" i="36"/>
  <c r="CE49" i="36"/>
  <c r="CO49" i="36"/>
  <c r="Q32" i="40" s="1"/>
  <c r="CJ48" i="36"/>
  <c r="CO48" i="36"/>
  <c r="Q31" i="40" s="1"/>
  <c r="CE48" i="36"/>
  <c r="CJ43" i="36"/>
  <c r="D26" i="40" s="1"/>
  <c r="CO43" i="36"/>
  <c r="CE43" i="36"/>
  <c r="G26" i="40" s="1"/>
  <c r="CJ42" i="36"/>
  <c r="CE42" i="36"/>
  <c r="CO42" i="36"/>
  <c r="Q25" i="40" s="1"/>
  <c r="CJ41" i="36"/>
  <c r="CE41" i="36"/>
  <c r="CO41" i="36"/>
  <c r="Q24" i="40" s="1"/>
  <c r="CJ40" i="36"/>
  <c r="CO40" i="36"/>
  <c r="Q23" i="40" s="1"/>
  <c r="CE40" i="36"/>
  <c r="CJ39" i="36"/>
  <c r="CO39" i="36"/>
  <c r="Q22" i="40" s="1"/>
  <c r="CE39" i="36"/>
  <c r="CJ38" i="36"/>
  <c r="CE38" i="36"/>
  <c r="CO38" i="36"/>
  <c r="Q21" i="40" s="1"/>
  <c r="CJ37" i="36"/>
  <c r="CO37" i="36"/>
  <c r="Q20" i="40" s="1"/>
  <c r="CE37" i="36"/>
  <c r="CJ36" i="36"/>
  <c r="CO36" i="36"/>
  <c r="Q19" i="40" s="1"/>
  <c r="CE36" i="36"/>
  <c r="CJ35" i="36"/>
  <c r="CO35" i="36"/>
  <c r="Q18" i="40" s="1"/>
  <c r="CE35" i="36"/>
  <c r="CJ28" i="36"/>
  <c r="CO28" i="36"/>
  <c r="CE28" i="36"/>
  <c r="CJ27" i="36"/>
  <c r="CO27" i="36"/>
  <c r="CE27" i="36"/>
  <c r="CJ26" i="36"/>
  <c r="CO26" i="36"/>
  <c r="CE26" i="36"/>
  <c r="CJ25" i="36"/>
  <c r="CE22" i="36"/>
  <c r="CJ21" i="36"/>
  <c r="CE21" i="36"/>
  <c r="CO21" i="36"/>
  <c r="CJ19" i="36"/>
  <c r="CO19" i="36"/>
  <c r="CE19" i="36"/>
  <c r="CJ18" i="36"/>
  <c r="CO18" i="36"/>
  <c r="CE18" i="36"/>
  <c r="CJ17" i="36"/>
  <c r="CO17" i="36"/>
  <c r="CE17" i="36"/>
  <c r="CJ16" i="36"/>
  <c r="CO16" i="36"/>
  <c r="CE16" i="36"/>
  <c r="CK63" i="36"/>
  <c r="CK57" i="36"/>
  <c r="CK56" i="36"/>
  <c r="CF55" i="36"/>
  <c r="CP55" i="36"/>
  <c r="M25" i="28" s="1"/>
  <c r="CK50" i="36"/>
  <c r="CP49" i="36"/>
  <c r="AF32" i="40" s="1"/>
  <c r="CF49" i="36"/>
  <c r="CP48" i="36"/>
  <c r="AF31" i="40" s="1"/>
  <c r="CF48" i="36"/>
  <c r="CK43" i="36"/>
  <c r="S26" i="40" s="1"/>
  <c r="CF42" i="36"/>
  <c r="CP42" i="36"/>
  <c r="AF25" i="40" s="1"/>
  <c r="CP41" i="36"/>
  <c r="AF24" i="40" s="1"/>
  <c r="CF41" i="36"/>
  <c r="CK40" i="36"/>
  <c r="CF39" i="36"/>
  <c r="CP39" i="36"/>
  <c r="AF22" i="40" s="1"/>
  <c r="CP38" i="36"/>
  <c r="AF21" i="40" s="1"/>
  <c r="CF38" i="36"/>
  <c r="CP37" i="36"/>
  <c r="AF20" i="40" s="1"/>
  <c r="CF37" i="36"/>
  <c r="CK26" i="36"/>
  <c r="N20" i="36"/>
  <c r="N23" i="36" s="1"/>
  <c r="CK19" i="36"/>
  <c r="CK16" i="36"/>
  <c r="CF28" i="36"/>
  <c r="CP28" i="36"/>
  <c r="CM58" i="36"/>
  <c r="CH57" i="36"/>
  <c r="CR57" i="36"/>
  <c r="BJ40" i="40" s="1"/>
  <c r="CM56" i="36"/>
  <c r="CR56" i="36"/>
  <c r="BJ39" i="40" s="1"/>
  <c r="CH56" i="36"/>
  <c r="CM55" i="36"/>
  <c r="CR55" i="36"/>
  <c r="O25" i="28" s="1"/>
  <c r="AI25" i="28" s="1"/>
  <c r="CH55" i="36"/>
  <c r="CM50" i="36"/>
  <c r="CR50" i="36"/>
  <c r="BJ33" i="40" s="1"/>
  <c r="CH50" i="36"/>
  <c r="CM49" i="36"/>
  <c r="CH49" i="36"/>
  <c r="CR49" i="36"/>
  <c r="BJ32" i="40" s="1"/>
  <c r="CM48" i="36"/>
  <c r="CR48" i="36"/>
  <c r="BJ31" i="40" s="1"/>
  <c r="CH48" i="36"/>
  <c r="CM43" i="36"/>
  <c r="AW26" i="40" s="1"/>
  <c r="CR43" i="36"/>
  <c r="CH43" i="36"/>
  <c r="AZ26" i="40" s="1"/>
  <c r="BB26" i="40" s="1"/>
  <c r="CM42" i="36"/>
  <c r="CR42" i="36"/>
  <c r="BJ25" i="40" s="1"/>
  <c r="CH42" i="36"/>
  <c r="CM41" i="36"/>
  <c r="CH41" i="36"/>
  <c r="CR41" i="36"/>
  <c r="BJ24" i="40" s="1"/>
  <c r="CM40" i="36"/>
  <c r="CR40" i="36"/>
  <c r="CH40" i="36"/>
  <c r="CM39" i="36"/>
  <c r="CR39" i="36"/>
  <c r="BJ22" i="40" s="1"/>
  <c r="CH39" i="36"/>
  <c r="CM38" i="36"/>
  <c r="CR38" i="36"/>
  <c r="BJ21" i="40" s="1"/>
  <c r="CH38" i="36"/>
  <c r="CM37" i="36"/>
  <c r="CH37" i="36"/>
  <c r="CR37" i="36"/>
  <c r="BJ20" i="40" s="1"/>
  <c r="CM36" i="36"/>
  <c r="CH36" i="36"/>
  <c r="CR36" i="36"/>
  <c r="BJ19" i="40" s="1"/>
  <c r="CM35" i="36"/>
  <c r="CR35" i="36"/>
  <c r="CH35" i="36"/>
  <c r="CM28" i="36"/>
  <c r="CR28" i="36"/>
  <c r="CH28" i="36"/>
  <c r="CM27" i="36"/>
  <c r="CR27" i="36"/>
  <c r="CH27" i="36"/>
  <c r="CM26" i="36"/>
  <c r="CH26" i="36"/>
  <c r="CR26" i="36"/>
  <c r="CM25" i="36"/>
  <c r="CH22" i="36"/>
  <c r="CM21" i="36"/>
  <c r="CR21" i="36"/>
  <c r="CH21" i="36"/>
  <c r="R20" i="36"/>
  <c r="R23" i="36" s="1"/>
  <c r="CM19" i="36"/>
  <c r="CR19" i="36"/>
  <c r="CH19" i="36"/>
  <c r="CM18" i="36"/>
  <c r="CR18" i="36"/>
  <c r="CH18" i="36"/>
  <c r="CM17" i="36"/>
  <c r="CH17" i="36"/>
  <c r="CR17" i="36"/>
  <c r="CM16" i="36"/>
  <c r="CH16" i="36"/>
  <c r="CR16" i="36"/>
  <c r="CP61" i="36"/>
  <c r="CF61" i="36"/>
  <c r="V44" i="40" s="1"/>
  <c r="CF58" i="36"/>
  <c r="CP58" i="36"/>
  <c r="AF41" i="40" s="1"/>
  <c r="CP57" i="36"/>
  <c r="AF40" i="40" s="1"/>
  <c r="CF57" i="36"/>
  <c r="CP56" i="36"/>
  <c r="AF39" i="40" s="1"/>
  <c r="CF56" i="36"/>
  <c r="CF43" i="36"/>
  <c r="V26" i="40" s="1"/>
  <c r="CP43" i="36"/>
  <c r="CK39" i="36"/>
  <c r="CK38" i="36"/>
  <c r="CF35" i="36"/>
  <c r="CP35" i="36"/>
  <c r="AF18" i="40" s="1"/>
  <c r="CK21" i="36"/>
  <c r="CP19" i="36"/>
  <c r="CF19" i="36"/>
  <c r="CP18" i="36"/>
  <c r="CF18" i="36"/>
  <c r="CR63" i="36"/>
  <c r="CH63" i="36"/>
  <c r="CR62" i="36"/>
  <c r="CH62" i="36"/>
  <c r="CH61" i="36"/>
  <c r="AZ44" i="40" s="1"/>
  <c r="CR61" i="36"/>
  <c r="CR59" i="36"/>
  <c r="BJ42" i="40" s="1"/>
  <c r="CH59" i="36"/>
  <c r="CR58" i="36"/>
  <c r="BJ41" i="40" s="1"/>
  <c r="CH58" i="36"/>
  <c r="AB26" i="28"/>
  <c r="AC26" i="28"/>
  <c r="BX66" i="36"/>
  <c r="BD66" i="36"/>
  <c r="AJ66" i="36"/>
  <c r="P66" i="36"/>
  <c r="BV66" i="36"/>
  <c r="BB66" i="36"/>
  <c r="AH66" i="36"/>
  <c r="N66" i="36"/>
  <c r="BT66" i="36"/>
  <c r="AZ66" i="36"/>
  <c r="AF66" i="36"/>
  <c r="L66" i="36"/>
  <c r="BZ66" i="36"/>
  <c r="BF66" i="36"/>
  <c r="AL66" i="36"/>
  <c r="R66" i="36"/>
  <c r="AC14" i="28"/>
  <c r="AC18" i="28"/>
  <c r="AC28" i="28"/>
  <c r="AC15" i="28"/>
  <c r="AC19" i="28"/>
  <c r="AC29" i="28"/>
  <c r="AC17" i="28"/>
  <c r="AC27" i="28"/>
  <c r="S13" i="28"/>
  <c r="AC16" i="28"/>
  <c r="AC20" i="28"/>
  <c r="AC30" i="28"/>
  <c r="S14" i="28"/>
  <c r="AC13" i="28"/>
  <c r="AC31" i="28"/>
  <c r="AB16" i="28"/>
  <c r="AB20" i="28"/>
  <c r="AB30" i="28"/>
  <c r="AB19" i="28"/>
  <c r="R13" i="28"/>
  <c r="AB31" i="28"/>
  <c r="AB17" i="28"/>
  <c r="AB27" i="28"/>
  <c r="AB13" i="28"/>
  <c r="AB14" i="28"/>
  <c r="AB18" i="28"/>
  <c r="AB28" i="28"/>
  <c r="R14" i="28"/>
  <c r="AB15" i="28"/>
  <c r="AB29" i="28"/>
  <c r="Q14" i="28"/>
  <c r="Q13" i="28"/>
  <c r="E8" i="28"/>
  <c r="BJ43" i="40"/>
  <c r="AF43" i="40"/>
  <c r="AU43" i="40"/>
  <c r="Q43" i="40"/>
  <c r="BH63" i="36"/>
  <c r="BH38" i="36"/>
  <c r="T82" i="36"/>
  <c r="AY57" i="36"/>
  <c r="AY60" i="36"/>
  <c r="AY49" i="36"/>
  <c r="AY43" i="36"/>
  <c r="P20" i="36"/>
  <c r="L20" i="36"/>
  <c r="BS80" i="36"/>
  <c r="Q20" i="36"/>
  <c r="M20" i="36"/>
  <c r="T80" i="36"/>
  <c r="K77" i="36"/>
  <c r="AE80" i="36"/>
  <c r="AY55" i="36"/>
  <c r="K55" i="36"/>
  <c r="CB43" i="36"/>
  <c r="K17" i="36"/>
  <c r="T16" i="36"/>
  <c r="BS85" i="36"/>
  <c r="AE85" i="36"/>
  <c r="CB83" i="36"/>
  <c r="BS83" i="36"/>
  <c r="BH83" i="36"/>
  <c r="AN83" i="36"/>
  <c r="BS82" i="36"/>
  <c r="AE82" i="36"/>
  <c r="T76" i="36"/>
  <c r="BS63" i="36"/>
  <c r="AY39" i="36"/>
  <c r="BS38" i="36"/>
  <c r="BH58" i="36"/>
  <c r="CB57" i="36"/>
  <c r="K41" i="36"/>
  <c r="T40" i="36"/>
  <c r="BS78" i="36"/>
  <c r="AE78" i="36"/>
  <c r="CB77" i="36"/>
  <c r="BH77" i="36"/>
  <c r="AN77" i="36"/>
  <c r="BH76" i="36"/>
  <c r="K62" i="36"/>
  <c r="T61" i="36"/>
  <c r="AY59" i="36"/>
  <c r="K59" i="36"/>
  <c r="K37" i="36"/>
  <c r="T36" i="36"/>
  <c r="AY35" i="36"/>
  <c r="K35" i="36"/>
  <c r="BH85" i="36"/>
  <c r="AY83" i="36"/>
  <c r="BH82" i="36"/>
  <c r="BH78" i="36"/>
  <c r="AY77" i="36"/>
  <c r="AE63" i="36"/>
  <c r="AY62" i="36"/>
  <c r="AN62" i="36"/>
  <c r="BH61" i="36"/>
  <c r="AE61" i="36"/>
  <c r="CB49" i="36"/>
  <c r="BH42" i="36"/>
  <c r="AE42" i="36"/>
  <c r="AY41" i="36"/>
  <c r="S20" i="36"/>
  <c r="O20" i="36"/>
  <c r="C20" i="36"/>
  <c r="T85" i="36"/>
  <c r="K83" i="36"/>
  <c r="BH80" i="36"/>
  <c r="T78" i="36"/>
  <c r="BS76" i="36"/>
  <c r="AE76" i="36"/>
  <c r="BS58" i="36"/>
  <c r="AN57" i="36"/>
  <c r="BH56" i="36"/>
  <c r="AE56" i="36"/>
  <c r="BH50" i="36"/>
  <c r="CB39" i="36"/>
  <c r="AE38" i="36"/>
  <c r="AY37" i="36"/>
  <c r="AN37" i="36"/>
  <c r="BH36" i="36"/>
  <c r="AE36" i="36"/>
  <c r="CB62" i="36"/>
  <c r="CB55" i="36"/>
  <c r="AE50" i="36"/>
  <c r="K49" i="36"/>
  <c r="T48" i="36"/>
  <c r="BS42" i="36"/>
  <c r="AN41" i="36"/>
  <c r="BH40" i="36"/>
  <c r="AE40" i="36"/>
  <c r="K39" i="36"/>
  <c r="CB37" i="36"/>
  <c r="T27" i="36"/>
  <c r="K26" i="36"/>
  <c r="CB59" i="36"/>
  <c r="AE58" i="36"/>
  <c r="K57" i="36"/>
  <c r="T56" i="36"/>
  <c r="BS50" i="36"/>
  <c r="AN49" i="36"/>
  <c r="BH48" i="36"/>
  <c r="AE48" i="36"/>
  <c r="K43" i="36"/>
  <c r="CB41" i="36"/>
  <c r="CB35" i="36"/>
  <c r="T25" i="36"/>
  <c r="T18" i="36"/>
  <c r="T63" i="36"/>
  <c r="BS61" i="36"/>
  <c r="AN59" i="36"/>
  <c r="T58" i="36"/>
  <c r="BS56" i="36"/>
  <c r="AN55" i="36"/>
  <c r="T50" i="36"/>
  <c r="BS48" i="36"/>
  <c r="AN43" i="36"/>
  <c r="T42" i="36"/>
  <c r="BS40" i="36"/>
  <c r="AN39" i="36"/>
  <c r="T38" i="36"/>
  <c r="BS36" i="36"/>
  <c r="AN35" i="36"/>
  <c r="K28" i="36"/>
  <c r="K21" i="36"/>
  <c r="K19" i="36"/>
  <c r="BS77" i="36"/>
  <c r="K60" i="36"/>
  <c r="CB85" i="36"/>
  <c r="K85" i="36"/>
  <c r="CB82" i="36"/>
  <c r="K82" i="36"/>
  <c r="CB80" i="36"/>
  <c r="K80" i="36"/>
  <c r="CB78" i="36"/>
  <c r="K78" i="36"/>
  <c r="CB76" i="36"/>
  <c r="K76" i="36"/>
  <c r="AY85" i="36"/>
  <c r="AN85" i="36"/>
  <c r="AY82" i="36"/>
  <c r="AN82" i="36"/>
  <c r="AY80" i="36"/>
  <c r="AN80" i="36"/>
  <c r="AY78" i="36"/>
  <c r="AN78" i="36"/>
  <c r="AY76" i="36"/>
  <c r="AN76" i="36"/>
  <c r="AN60" i="36"/>
  <c r="AE60" i="36"/>
  <c r="T60" i="36"/>
  <c r="AE83" i="36"/>
  <c r="T83" i="36"/>
  <c r="AE77" i="36"/>
  <c r="T77" i="36"/>
  <c r="CB60" i="36"/>
  <c r="AY63" i="36"/>
  <c r="AN63" i="36"/>
  <c r="AY61" i="36"/>
  <c r="AN61" i="36"/>
  <c r="AY58" i="36"/>
  <c r="AN58" i="36"/>
  <c r="AY56" i="36"/>
  <c r="AN56" i="36"/>
  <c r="AY50" i="36"/>
  <c r="AN50" i="36"/>
  <c r="AY48" i="36"/>
  <c r="AN48" i="36"/>
  <c r="AY42" i="36"/>
  <c r="AN42" i="36"/>
  <c r="AY40" i="36"/>
  <c r="AN40" i="36"/>
  <c r="AY38" i="36"/>
  <c r="AN38" i="36"/>
  <c r="AY36" i="36"/>
  <c r="AN36" i="36"/>
  <c r="T21" i="36"/>
  <c r="K18" i="36"/>
  <c r="K16" i="36"/>
  <c r="AE62" i="36"/>
  <c r="T62" i="36"/>
  <c r="AE59" i="36"/>
  <c r="T59" i="36"/>
  <c r="AE57" i="36"/>
  <c r="T57" i="36"/>
  <c r="AE55" i="36"/>
  <c r="T55" i="36"/>
  <c r="AE49" i="36"/>
  <c r="T49" i="36"/>
  <c r="AE43" i="36"/>
  <c r="T43" i="36"/>
  <c r="AE41" i="36"/>
  <c r="T41" i="36"/>
  <c r="AE39" i="36"/>
  <c r="T39" i="36"/>
  <c r="AE37" i="36"/>
  <c r="T37" i="36"/>
  <c r="AE35" i="36"/>
  <c r="T35" i="36"/>
  <c r="T28" i="36"/>
  <c r="T26" i="36"/>
  <c r="K22" i="36"/>
  <c r="CB63" i="36"/>
  <c r="K63" i="36"/>
  <c r="CB61" i="36"/>
  <c r="K61" i="36"/>
  <c r="CB58" i="36"/>
  <c r="K58" i="36"/>
  <c r="CB56" i="36"/>
  <c r="K56" i="36"/>
  <c r="CB50" i="36"/>
  <c r="K50" i="36"/>
  <c r="CB48" i="36"/>
  <c r="K48" i="36"/>
  <c r="CB42" i="36"/>
  <c r="K42" i="36"/>
  <c r="CB40" i="36"/>
  <c r="K40" i="36"/>
  <c r="CB38" i="36"/>
  <c r="K38" i="36"/>
  <c r="CB36" i="36"/>
  <c r="K36" i="36"/>
  <c r="K27" i="36"/>
  <c r="K25" i="36"/>
  <c r="BH60" i="36"/>
  <c r="BS62" i="36"/>
  <c r="BH62" i="36"/>
  <c r="BS59" i="36"/>
  <c r="BH59" i="36"/>
  <c r="BS57" i="36"/>
  <c r="BH57" i="36"/>
  <c r="BS55" i="36"/>
  <c r="BH55" i="36"/>
  <c r="BS49" i="36"/>
  <c r="BH49" i="36"/>
  <c r="BS43" i="36"/>
  <c r="BH43" i="36"/>
  <c r="BS41" i="36"/>
  <c r="BH41" i="36"/>
  <c r="BS39" i="36"/>
  <c r="BH39" i="36"/>
  <c r="BS37" i="36"/>
  <c r="BH37" i="36"/>
  <c r="BS35" i="36"/>
  <c r="BH35" i="36"/>
  <c r="T19" i="36"/>
  <c r="T17" i="36"/>
  <c r="BS60" i="36"/>
  <c r="AY26" i="40" l="1"/>
  <c r="BC26" i="40" s="1"/>
  <c r="BI26" i="40" s="1"/>
  <c r="BJ26" i="40" s="1"/>
  <c r="AY44" i="40"/>
  <c r="AW50" i="40"/>
  <c r="AY50" i="40" s="1"/>
  <c r="BB44" i="40"/>
  <c r="AZ50" i="40"/>
  <c r="BB50" i="40" s="1"/>
  <c r="AJ26" i="40"/>
  <c r="AN26" i="40" s="1"/>
  <c r="AT26" i="40" s="1"/>
  <c r="AU26" i="40" s="1"/>
  <c r="AM44" i="40"/>
  <c r="AK50" i="40"/>
  <c r="AM50" i="40" s="1"/>
  <c r="D44" i="40"/>
  <c r="U44" i="40"/>
  <c r="AJ44" i="40"/>
  <c r="AN44" i="40" s="1"/>
  <c r="AT44" i="40" s="1"/>
  <c r="AU44" i="40" s="1"/>
  <c r="AH50" i="40"/>
  <c r="AJ50" i="40" s="1"/>
  <c r="AM25" i="28"/>
  <c r="AH25" i="28"/>
  <c r="U26" i="40"/>
  <c r="X44" i="40"/>
  <c r="V50" i="40"/>
  <c r="X50" i="40" s="1"/>
  <c r="X26" i="40"/>
  <c r="AL25" i="28"/>
  <c r="AG25" i="28"/>
  <c r="BL26" i="40"/>
  <c r="F26" i="40"/>
  <c r="BO44" i="40"/>
  <c r="I44" i="40"/>
  <c r="G50" i="40"/>
  <c r="BO26" i="40"/>
  <c r="I26" i="40"/>
  <c r="D50" i="40"/>
  <c r="AK25" i="28"/>
  <c r="AF25" i="28"/>
  <c r="AF38" i="40"/>
  <c r="AU38" i="40"/>
  <c r="BJ38" i="40"/>
  <c r="BY19" i="40"/>
  <c r="Q38" i="40"/>
  <c r="BJ23" i="40"/>
  <c r="BY23" i="40" s="1"/>
  <c r="O31" i="28"/>
  <c r="N31" i="28"/>
  <c r="CI27" i="36"/>
  <c r="CN55" i="36"/>
  <c r="CI82" i="36"/>
  <c r="CI28" i="36"/>
  <c r="CN18" i="36"/>
  <c r="CI43" i="36"/>
  <c r="CI59" i="36"/>
  <c r="CI41" i="36"/>
  <c r="L31" i="28"/>
  <c r="CN19" i="36"/>
  <c r="CN39" i="36"/>
  <c r="CI36" i="36"/>
  <c r="CI48" i="36"/>
  <c r="M31" i="28"/>
  <c r="CI85" i="36"/>
  <c r="P25" i="28"/>
  <c r="AJ25" i="28" s="1"/>
  <c r="AD25" i="28"/>
  <c r="AD23" i="28"/>
  <c r="AD21" i="28"/>
  <c r="AD24" i="28"/>
  <c r="AD22" i="28"/>
  <c r="AN25" i="28"/>
  <c r="AN23" i="28"/>
  <c r="AN21" i="28"/>
  <c r="AN24" i="28"/>
  <c r="AN22" i="28"/>
  <c r="BY31" i="40"/>
  <c r="CI16" i="36"/>
  <c r="CI39" i="36"/>
  <c r="BY24" i="40"/>
  <c r="CI61" i="36"/>
  <c r="CN80" i="36"/>
  <c r="CN41" i="36"/>
  <c r="CI76" i="36"/>
  <c r="CN26" i="36"/>
  <c r="CN76" i="36"/>
  <c r="CN27" i="36"/>
  <c r="CN85" i="36"/>
  <c r="BY20" i="40"/>
  <c r="CN66" i="36"/>
  <c r="CG70" i="36"/>
  <c r="CQ70" i="36"/>
  <c r="CI60" i="36"/>
  <c r="CN78" i="36"/>
  <c r="CN35" i="36"/>
  <c r="CI40" i="36"/>
  <c r="CN83" i="36"/>
  <c r="CN56" i="36"/>
  <c r="CO20" i="36"/>
  <c r="CE20" i="36"/>
  <c r="CI22" i="36"/>
  <c r="CN37" i="36"/>
  <c r="CN49" i="36"/>
  <c r="CN62" i="36"/>
  <c r="CN21" i="36"/>
  <c r="CI80" i="36"/>
  <c r="CI19" i="36"/>
  <c r="CN38" i="36"/>
  <c r="CI57" i="36"/>
  <c r="CI49" i="36"/>
  <c r="CQ20" i="36"/>
  <c r="CG20" i="36"/>
  <c r="CN36" i="36"/>
  <c r="CI55" i="36"/>
  <c r="CI77" i="36"/>
  <c r="L23" i="36"/>
  <c r="CJ20" i="36"/>
  <c r="P23" i="36"/>
  <c r="CL20" i="36"/>
  <c r="CN82" i="36"/>
  <c r="CN43" i="36"/>
  <c r="CI78" i="36"/>
  <c r="CN48" i="36"/>
  <c r="CN17" i="36"/>
  <c r="CI42" i="36"/>
  <c r="CI58" i="36"/>
  <c r="CN77" i="36"/>
  <c r="CN58" i="36"/>
  <c r="CI26" i="36"/>
  <c r="CI83" i="36"/>
  <c r="CI37" i="36"/>
  <c r="CN40" i="36"/>
  <c r="CN42" i="36"/>
  <c r="CM20" i="36"/>
  <c r="CN28" i="36"/>
  <c r="CN57" i="36"/>
  <c r="CN61" i="36"/>
  <c r="CI17" i="36"/>
  <c r="CK20" i="36"/>
  <c r="CF70" i="36"/>
  <c r="CP70" i="36"/>
  <c r="CL70" i="36"/>
  <c r="CI18" i="36"/>
  <c r="CN63" i="36"/>
  <c r="CI38" i="36"/>
  <c r="CI50" i="36"/>
  <c r="CI63" i="36"/>
  <c r="CN60" i="36"/>
  <c r="CI62" i="36"/>
  <c r="CP20" i="36"/>
  <c r="CF20" i="36"/>
  <c r="CO70" i="36"/>
  <c r="CE70" i="36"/>
  <c r="CK70" i="36"/>
  <c r="CN50" i="36"/>
  <c r="CI35" i="36"/>
  <c r="CR20" i="36"/>
  <c r="CH20" i="36"/>
  <c r="CR70" i="36"/>
  <c r="CH70" i="36"/>
  <c r="CM70" i="36"/>
  <c r="CN25" i="36"/>
  <c r="CN59" i="36"/>
  <c r="CI21" i="36"/>
  <c r="CI56" i="36"/>
  <c r="CN16" i="36"/>
  <c r="CJ70" i="36"/>
  <c r="BY42" i="40"/>
  <c r="BY39" i="40"/>
  <c r="BY43" i="40"/>
  <c r="BY33" i="40"/>
  <c r="BY41" i="40"/>
  <c r="BY32" i="40"/>
  <c r="BY40" i="40"/>
  <c r="AD26" i="28"/>
  <c r="BY21" i="40"/>
  <c r="BY25" i="40"/>
  <c r="BY22" i="40"/>
  <c r="BJ18" i="40"/>
  <c r="AU18" i="40"/>
  <c r="L16" i="28"/>
  <c r="AK16" i="28" s="1"/>
  <c r="N20" i="28"/>
  <c r="AM20" i="28" s="1"/>
  <c r="O16" i="28"/>
  <c r="AI16" i="28" s="1"/>
  <c r="O20" i="28"/>
  <c r="AN20" i="28" s="1"/>
  <c r="N14" i="28"/>
  <c r="AM14" i="28" s="1"/>
  <c r="N16" i="28"/>
  <c r="M13" i="28"/>
  <c r="AL13" i="28" s="1"/>
  <c r="M17" i="28"/>
  <c r="AL17" i="28" s="1"/>
  <c r="N13" i="28"/>
  <c r="AM13" i="28" s="1"/>
  <c r="L13" i="28"/>
  <c r="AK13" i="28" s="1"/>
  <c r="L17" i="28"/>
  <c r="O13" i="28"/>
  <c r="AN13" i="28" s="1"/>
  <c r="O17" i="28"/>
  <c r="AN17" i="28" s="1"/>
  <c r="N17" i="28"/>
  <c r="AM17" i="28" s="1"/>
  <c r="L30" i="28"/>
  <c r="M14" i="28"/>
  <c r="AL14" i="28" s="1"/>
  <c r="M30" i="28"/>
  <c r="L14" i="28"/>
  <c r="N30" i="28"/>
  <c r="O14" i="28"/>
  <c r="AN14" i="28" s="1"/>
  <c r="O30" i="28"/>
  <c r="L29" i="28"/>
  <c r="M15" i="28"/>
  <c r="AL15" i="28" s="1"/>
  <c r="M19" i="28"/>
  <c r="AL19" i="28" s="1"/>
  <c r="M29" i="28"/>
  <c r="L15" i="28"/>
  <c r="N19" i="28"/>
  <c r="AM19" i="28" s="1"/>
  <c r="N29" i="28"/>
  <c r="O15" i="28"/>
  <c r="AN15" i="28" s="1"/>
  <c r="O19" i="28"/>
  <c r="AN19" i="28" s="1"/>
  <c r="O29" i="28"/>
  <c r="L19" i="28"/>
  <c r="N15" i="28"/>
  <c r="AM15" i="28" s="1"/>
  <c r="L20" i="28"/>
  <c r="M16" i="28"/>
  <c r="M20" i="28"/>
  <c r="AL20" i="28" s="1"/>
  <c r="M26" i="28"/>
  <c r="AL26" i="28" s="1"/>
  <c r="O26" i="28"/>
  <c r="AN26" i="28" s="1"/>
  <c r="N26" i="28"/>
  <c r="AM26" i="28" s="1"/>
  <c r="L26" i="28"/>
  <c r="AK26" i="28" s="1"/>
  <c r="AD30" i="28"/>
  <c r="AD31" i="28"/>
  <c r="AD17" i="28"/>
  <c r="AD27" i="28"/>
  <c r="AD13" i="28"/>
  <c r="AD15" i="28"/>
  <c r="AD29" i="28"/>
  <c r="AD16" i="28"/>
  <c r="AD20" i="28"/>
  <c r="AD14" i="28"/>
  <c r="AD18" i="28"/>
  <c r="AD28" i="28"/>
  <c r="T14" i="28"/>
  <c r="AD19" i="28"/>
  <c r="T13" i="28"/>
  <c r="L18" i="28"/>
  <c r="AK18" i="28" s="1"/>
  <c r="M18" i="28"/>
  <c r="AL18" i="28" s="1"/>
  <c r="N18" i="28"/>
  <c r="AM18" i="28" s="1"/>
  <c r="O18" i="28"/>
  <c r="AN18" i="28" s="1"/>
  <c r="BI37" i="36"/>
  <c r="BI43" i="36"/>
  <c r="CC85" i="36"/>
  <c r="U78" i="36"/>
  <c r="CC37" i="36"/>
  <c r="CC78" i="36"/>
  <c r="C23" i="36"/>
  <c r="CC42" i="36"/>
  <c r="U39" i="36"/>
  <c r="BI58" i="36"/>
  <c r="BI63" i="36"/>
  <c r="U41" i="36"/>
  <c r="BI61" i="36"/>
  <c r="BI41" i="36"/>
  <c r="CC40" i="36"/>
  <c r="CC56" i="36"/>
  <c r="U57" i="36"/>
  <c r="U18" i="36"/>
  <c r="AO56" i="36"/>
  <c r="U82" i="36"/>
  <c r="U19" i="36"/>
  <c r="BI59" i="36"/>
  <c r="CC82" i="36"/>
  <c r="U56" i="36"/>
  <c r="U37" i="36"/>
  <c r="U62" i="36"/>
  <c r="BI80" i="36"/>
  <c r="CC36" i="36"/>
  <c r="U25" i="36"/>
  <c r="U42" i="36"/>
  <c r="BI56" i="36"/>
  <c r="BI83" i="36"/>
  <c r="CC55" i="36"/>
  <c r="BI38" i="36"/>
  <c r="U85" i="36"/>
  <c r="U48" i="36"/>
  <c r="BI77" i="36"/>
  <c r="U80" i="36"/>
  <c r="BI50" i="36"/>
  <c r="BI39" i="36"/>
  <c r="CC38" i="36"/>
  <c r="CC50" i="36"/>
  <c r="U35" i="36"/>
  <c r="U43" i="36"/>
  <c r="U16" i="36"/>
  <c r="BI36" i="36"/>
  <c r="BI40" i="36"/>
  <c r="BI78" i="36"/>
  <c r="CC49" i="36"/>
  <c r="CC43" i="36"/>
  <c r="CC59" i="36"/>
  <c r="AO59" i="36"/>
  <c r="U61" i="36"/>
  <c r="BI55" i="36"/>
  <c r="CC58" i="36"/>
  <c r="CC63" i="36"/>
  <c r="AO41" i="36"/>
  <c r="AO48" i="36"/>
  <c r="U83" i="36"/>
  <c r="AO60" i="36"/>
  <c r="AO78" i="36"/>
  <c r="AO82" i="36"/>
  <c r="CC80" i="36"/>
  <c r="CC39" i="36"/>
  <c r="BI42" i="36"/>
  <c r="BI85" i="36"/>
  <c r="T70" i="36"/>
  <c r="AN70" i="36"/>
  <c r="BH70" i="36"/>
  <c r="CB70" i="36"/>
  <c r="U58" i="36"/>
  <c r="BI49" i="36"/>
  <c r="BI57" i="36"/>
  <c r="CC61" i="36"/>
  <c r="AO39" i="36"/>
  <c r="AO55" i="36"/>
  <c r="AO42" i="36"/>
  <c r="AO63" i="36"/>
  <c r="U77" i="36"/>
  <c r="AO80" i="36"/>
  <c r="AO85" i="36"/>
  <c r="K70" i="36"/>
  <c r="AE70" i="36"/>
  <c r="AY70" i="36"/>
  <c r="BS70" i="36"/>
  <c r="U17" i="36"/>
  <c r="CC41" i="36"/>
  <c r="CC48" i="36"/>
  <c r="U55" i="36"/>
  <c r="U59" i="36"/>
  <c r="U63" i="36"/>
  <c r="AO36" i="36"/>
  <c r="U49" i="36"/>
  <c r="K20" i="36"/>
  <c r="AO58" i="36"/>
  <c r="AO35" i="36"/>
  <c r="U50" i="36"/>
  <c r="AO37" i="36"/>
  <c r="CC76" i="36"/>
  <c r="U76" i="36"/>
  <c r="CC35" i="36"/>
  <c r="BI62" i="36"/>
  <c r="U27" i="36"/>
  <c r="AO49" i="36"/>
  <c r="AO57" i="36"/>
  <c r="U60" i="36"/>
  <c r="AO76" i="36"/>
  <c r="BI82" i="36"/>
  <c r="AO83" i="36"/>
  <c r="BI35" i="36"/>
  <c r="BI48" i="36"/>
  <c r="CC57" i="36"/>
  <c r="CC62" i="36"/>
  <c r="U38" i="36"/>
  <c r="U28" i="36"/>
  <c r="AO62" i="36"/>
  <c r="U21" i="36"/>
  <c r="AO38" i="36"/>
  <c r="AO50" i="36"/>
  <c r="T20" i="36"/>
  <c r="BI76" i="36"/>
  <c r="U36" i="36"/>
  <c r="U40" i="36"/>
  <c r="U26" i="36"/>
  <c r="AO43" i="36"/>
  <c r="AO40" i="36"/>
  <c r="AO61" i="36"/>
  <c r="AO77" i="36"/>
  <c r="CC77" i="36"/>
  <c r="CC83" i="36"/>
  <c r="BI60" i="36"/>
  <c r="CC60" i="36"/>
  <c r="AI19" i="28" l="1"/>
  <c r="AI17" i="28"/>
  <c r="BC50" i="40"/>
  <c r="BI50" i="40" s="1"/>
  <c r="AH17" i="28"/>
  <c r="AH20" i="28"/>
  <c r="F44" i="40"/>
  <c r="BN44" i="40" s="1"/>
  <c r="AI20" i="28"/>
  <c r="BC44" i="40"/>
  <c r="BI44" i="40" s="1"/>
  <c r="BJ44" i="40" s="1"/>
  <c r="AI14" i="28"/>
  <c r="AI15" i="28"/>
  <c r="AN29" i="28"/>
  <c r="AI29" i="28"/>
  <c r="AG14" i="28"/>
  <c r="AN30" i="28"/>
  <c r="AI30" i="28"/>
  <c r="AN31" i="28"/>
  <c r="AI31" i="28"/>
  <c r="AH15" i="28"/>
  <c r="AG17" i="28"/>
  <c r="S50" i="40"/>
  <c r="U50" i="40" s="1"/>
  <c r="Y50" i="40" s="1"/>
  <c r="AE50" i="40" s="1"/>
  <c r="AN50" i="40"/>
  <c r="AT50" i="40" s="1"/>
  <c r="BL44" i="40"/>
  <c r="BN26" i="40"/>
  <c r="Y26" i="40"/>
  <c r="Z26" i="40" s="1"/>
  <c r="AH19" i="28"/>
  <c r="AM31" i="28"/>
  <c r="AH31" i="28"/>
  <c r="AM30" i="28"/>
  <c r="AH30" i="28"/>
  <c r="AH14" i="28"/>
  <c r="AM29" i="28"/>
  <c r="AH29" i="28"/>
  <c r="AG15" i="28"/>
  <c r="AG20" i="28"/>
  <c r="AG19" i="28"/>
  <c r="BQ44" i="40"/>
  <c r="Y44" i="40"/>
  <c r="AE44" i="40" s="1"/>
  <c r="AF44" i="40" s="1"/>
  <c r="AL29" i="28"/>
  <c r="AG29" i="28"/>
  <c r="AL30" i="28"/>
  <c r="AG30" i="28"/>
  <c r="AL31" i="28"/>
  <c r="AG31" i="28"/>
  <c r="F50" i="40"/>
  <c r="BQ26" i="40"/>
  <c r="J26" i="40"/>
  <c r="AF16" i="28"/>
  <c r="I50" i="40"/>
  <c r="BQ50" i="40" s="1"/>
  <c r="BO50" i="40"/>
  <c r="AK31" i="28"/>
  <c r="AF31" i="28"/>
  <c r="AK30" i="28"/>
  <c r="AF30" i="28"/>
  <c r="AK17" i="28"/>
  <c r="AF17" i="28"/>
  <c r="AK20" i="28"/>
  <c r="AF20" i="28"/>
  <c r="AK29" i="28"/>
  <c r="AF29" i="28"/>
  <c r="AK14" i="28"/>
  <c r="AF14" i="28"/>
  <c r="AN16" i="28"/>
  <c r="BY38" i="40"/>
  <c r="CS48" i="36"/>
  <c r="CS60" i="36"/>
  <c r="CS16" i="36"/>
  <c r="CS41" i="36"/>
  <c r="CS80" i="36"/>
  <c r="CS18" i="36"/>
  <c r="CS17" i="36"/>
  <c r="CS63" i="36"/>
  <c r="CS59" i="36"/>
  <c r="CS85" i="36"/>
  <c r="CS27" i="36"/>
  <c r="CS82" i="36"/>
  <c r="CS78" i="36"/>
  <c r="CS35" i="36"/>
  <c r="CS77" i="36"/>
  <c r="CS62" i="36"/>
  <c r="CS55" i="36"/>
  <c r="CS76" i="36"/>
  <c r="CS49" i="36"/>
  <c r="CS61" i="36"/>
  <c r="CS36" i="36"/>
  <c r="CE23" i="36"/>
  <c r="CH23" i="36"/>
  <c r="CS43" i="36"/>
  <c r="CS38" i="36"/>
  <c r="CS21" i="36"/>
  <c r="CS19" i="36"/>
  <c r="CG23" i="36"/>
  <c r="CS57" i="36"/>
  <c r="CS58" i="36"/>
  <c r="CS56" i="36"/>
  <c r="CI20" i="36"/>
  <c r="CS28" i="36"/>
  <c r="CN70" i="36"/>
  <c r="CS39" i="36"/>
  <c r="CS40" i="36"/>
  <c r="CN20" i="36"/>
  <c r="CS26" i="36"/>
  <c r="CI70" i="36"/>
  <c r="CS50" i="36"/>
  <c r="CS42" i="36"/>
  <c r="CS37" i="36"/>
  <c r="CS83" i="36"/>
  <c r="CF23" i="36"/>
  <c r="AG16" i="28"/>
  <c r="AL16" i="28"/>
  <c r="AF15" i="28"/>
  <c r="AK15" i="28"/>
  <c r="AF19" i="28"/>
  <c r="AK19" i="28"/>
  <c r="BY18" i="40"/>
  <c r="AH16" i="28"/>
  <c r="AM16" i="28"/>
  <c r="P17" i="28"/>
  <c r="P14" i="28"/>
  <c r="AJ14" i="28" s="1"/>
  <c r="P15" i="28"/>
  <c r="P16" i="28"/>
  <c r="AJ16" i="28" s="1"/>
  <c r="P29" i="28"/>
  <c r="AJ29" i="28" s="1"/>
  <c r="P20" i="28"/>
  <c r="AJ20" i="28" s="1"/>
  <c r="P19" i="28"/>
  <c r="P26" i="28"/>
  <c r="P18" i="28"/>
  <c r="P31" i="28"/>
  <c r="AJ31" i="28" s="1"/>
  <c r="P30" i="28"/>
  <c r="AJ30" i="28" s="1"/>
  <c r="K23" i="36"/>
  <c r="AO70" i="36"/>
  <c r="U70" i="36"/>
  <c r="U20" i="36"/>
  <c r="BI70" i="36"/>
  <c r="CC70" i="36"/>
  <c r="J44" i="40" l="1"/>
  <c r="BL50" i="40"/>
  <c r="AE26" i="40"/>
  <c r="AF26" i="40" s="1"/>
  <c r="K26" i="40"/>
  <c r="BR26" i="40"/>
  <c r="P44" i="40"/>
  <c r="BR44" i="40"/>
  <c r="BN50" i="40"/>
  <c r="J50" i="40"/>
  <c r="CS70" i="36"/>
  <c r="CI23" i="36"/>
  <c r="CS20" i="36"/>
  <c r="BS26" i="40" l="1"/>
  <c r="BX44" i="40"/>
  <c r="Q44" i="40"/>
  <c r="BY44" i="40" s="1"/>
  <c r="BR50" i="40"/>
  <c r="P50" i="40"/>
  <c r="P26" i="40"/>
  <c r="BX50" i="40" l="1"/>
  <c r="BX26" i="40"/>
  <c r="Q26" i="40"/>
  <c r="BY26" i="40" s="1"/>
  <c r="F13" i="28" l="1"/>
  <c r="B6" i="28"/>
  <c r="B5" i="28"/>
  <c r="B4" i="28"/>
  <c r="B3" i="28"/>
  <c r="B2" i="28"/>
  <c r="Z27" i="28"/>
  <c r="Y27" i="28"/>
  <c r="X27" i="28"/>
  <c r="W27" i="28"/>
  <c r="V27" i="28"/>
  <c r="Y15" i="28"/>
  <c r="X15" i="28"/>
  <c r="W15" i="28"/>
  <c r="V15" i="28"/>
  <c r="Z17" i="28"/>
  <c r="Y17" i="28"/>
  <c r="X17" i="28"/>
  <c r="W17" i="28"/>
  <c r="V17" i="28"/>
  <c r="Z19" i="28"/>
  <c r="Y19" i="28"/>
  <c r="X19" i="28"/>
  <c r="W19" i="28"/>
  <c r="V19" i="28"/>
  <c r="Y13" i="28"/>
  <c r="X13" i="28"/>
  <c r="W13" i="28"/>
  <c r="V13" i="28"/>
  <c r="J10" i="28"/>
  <c r="O10" i="28" s="1"/>
  <c r="T10" i="28" s="1"/>
  <c r="Y10" i="28" s="1"/>
  <c r="AD10" i="28" s="1"/>
  <c r="AI10" i="28" s="1"/>
  <c r="AN10" i="28" s="1"/>
  <c r="I10" i="28"/>
  <c r="N10" i="28" s="1"/>
  <c r="S10" i="28" s="1"/>
  <c r="X10" i="28" s="1"/>
  <c r="AC10" i="28" s="1"/>
  <c r="AH10" i="28" s="1"/>
  <c r="AM10" i="28" s="1"/>
  <c r="H10" i="28"/>
  <c r="M10" i="28" s="1"/>
  <c r="R10" i="28" s="1"/>
  <c r="W10" i="28" s="1"/>
  <c r="AB10" i="28" s="1"/>
  <c r="AG10" i="28" s="1"/>
  <c r="AL10" i="28" s="1"/>
  <c r="G10" i="28"/>
  <c r="L10" i="28" s="1"/>
  <c r="Q10" i="28" s="1"/>
  <c r="V10" i="28" s="1"/>
  <c r="AA10" i="28" s="1"/>
  <c r="AF10" i="28" s="1"/>
  <c r="AK10" i="28" s="1"/>
  <c r="C8" i="8"/>
  <c r="F8" i="28" l="1"/>
  <c r="AG13" i="28"/>
  <c r="AI13" i="28"/>
  <c r="K15" i="28"/>
  <c r="V18" i="28"/>
  <c r="AH18" i="28"/>
  <c r="K18" i="28"/>
  <c r="W18" i="28"/>
  <c r="Y18" i="28"/>
  <c r="AG18" i="28"/>
  <c r="AI18" i="28"/>
  <c r="AF13" i="28"/>
  <c r="AH13" i="28"/>
  <c r="X18" i="28"/>
  <c r="AF18" i="28"/>
  <c r="K13" i="28"/>
  <c r="K19" i="28"/>
  <c r="K17" i="28"/>
  <c r="AO22" i="28" l="1"/>
  <c r="AE24" i="28"/>
  <c r="AE22" i="28"/>
  <c r="AO25" i="28"/>
  <c r="AO23" i="28"/>
  <c r="AO21" i="28"/>
  <c r="AE25" i="28"/>
  <c r="AE23" i="28"/>
  <c r="AE21" i="28"/>
  <c r="AO24" i="28"/>
  <c r="AE26" i="28"/>
  <c r="AO26" i="28"/>
  <c r="AO31" i="28"/>
  <c r="AO15" i="28"/>
  <c r="AO19" i="28"/>
  <c r="AO29" i="28"/>
  <c r="AE14" i="28"/>
  <c r="AE18" i="28"/>
  <c r="AE28" i="28"/>
  <c r="U14" i="28"/>
  <c r="AO16" i="28"/>
  <c r="AO20" i="28"/>
  <c r="AO30" i="28"/>
  <c r="AE15" i="28"/>
  <c r="AE19" i="28"/>
  <c r="AE29" i="28"/>
  <c r="U13" i="28"/>
  <c r="AO17" i="28"/>
  <c r="AE16" i="28"/>
  <c r="AE20" i="28"/>
  <c r="AE30" i="28"/>
  <c r="AO14" i="28"/>
  <c r="AO18" i="28"/>
  <c r="AE31" i="28"/>
  <c r="AE17" i="28"/>
  <c r="AE27" i="28"/>
  <c r="AE13" i="28"/>
  <c r="AJ17" i="28"/>
  <c r="AJ15" i="28"/>
  <c r="AJ19" i="28"/>
  <c r="Z15" i="28"/>
  <c r="Z13" i="28"/>
  <c r="AJ18" i="28"/>
  <c r="Z18" i="28"/>
  <c r="I19" i="7" l="1"/>
  <c r="H19" i="7"/>
  <c r="G19" i="7"/>
  <c r="F19" i="7"/>
  <c r="H45" i="7" l="1"/>
  <c r="H44" i="7"/>
  <c r="H43" i="7"/>
  <c r="H42" i="7"/>
  <c r="A11" i="19" l="1"/>
  <c r="A12" i="19"/>
  <c r="A13" i="19"/>
  <c r="A14" i="19"/>
  <c r="A15" i="19"/>
  <c r="A16" i="19"/>
  <c r="P13" i="28" l="1"/>
  <c r="AO13" i="28" s="1"/>
  <c r="AJ13" i="28" l="1"/>
  <c r="D5" i="11" l="1"/>
  <c r="B11" i="7"/>
  <c r="B19" i="7" s="1"/>
  <c r="C11" i="7"/>
  <c r="C19" i="7" s="1"/>
  <c r="D11" i="7"/>
  <c r="D19" i="7" s="1"/>
  <c r="E11" i="7"/>
  <c r="E19" i="7" s="1"/>
  <c r="C7" i="8"/>
  <c r="B2" i="6"/>
  <c r="B3" i="6"/>
  <c r="B4" i="6"/>
  <c r="B5" i="6"/>
  <c r="B6" i="6"/>
  <c r="C22" i="12"/>
  <c r="C82" i="12" s="1"/>
  <c r="D22" i="12"/>
  <c r="C27" i="6" s="1"/>
  <c r="E22" i="12"/>
  <c r="F22" i="12"/>
  <c r="C35" i="12"/>
  <c r="D35" i="12"/>
  <c r="E35" i="12"/>
  <c r="F35" i="12"/>
  <c r="C46" i="12"/>
  <c r="D46" i="12"/>
  <c r="D48" i="12" s="1"/>
  <c r="E46" i="12"/>
  <c r="F46" i="12"/>
  <c r="X56" i="12"/>
  <c r="D67" i="12"/>
  <c r="C29" i="7" s="1"/>
  <c r="E67" i="12"/>
  <c r="D29" i="7" s="1"/>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5" i="13"/>
  <c r="E27" i="6"/>
  <c r="F82" i="12"/>
  <c r="D27" i="6"/>
  <c r="E82" i="12"/>
  <c r="E48" i="12"/>
  <c r="B27" i="6"/>
  <c r="C48" i="12"/>
  <c r="E16" i="2"/>
  <c r="E18" i="2" s="1"/>
  <c r="E22" i="2" s="1"/>
  <c r="B29" i="7"/>
  <c r="B20" i="6"/>
  <c r="D78" i="12"/>
  <c r="C13" i="7" s="1"/>
  <c r="F78" i="12"/>
  <c r="E13" i="7" s="1"/>
  <c r="F48" i="12"/>
  <c r="B13" i="7"/>
  <c r="E78" i="12"/>
  <c r="D13" i="7" s="1"/>
  <c r="E26" i="7"/>
  <c r="D26" i="7"/>
  <c r="C26" i="7"/>
  <c r="B26" i="7"/>
  <c r="C12" i="7"/>
  <c r="I15" i="7"/>
  <c r="I16" i="7" s="1"/>
  <c r="I18" i="7" s="1"/>
  <c r="H16" i="7"/>
  <c r="H18" i="7" s="1"/>
  <c r="F16" i="7"/>
  <c r="F18" i="7" s="1"/>
  <c r="G16" i="7"/>
  <c r="G18" i="7" s="1"/>
  <c r="E18" i="6"/>
  <c r="C18" i="6"/>
  <c r="E19" i="6"/>
  <c r="C19" i="6"/>
  <c r="E20" i="6"/>
  <c r="C20" i="6"/>
  <c r="E28" i="6"/>
  <c r="C28" i="6"/>
  <c r="E27" i="7"/>
  <c r="C27" i="7"/>
  <c r="D18" i="6"/>
  <c r="B18" i="6"/>
  <c r="D19" i="6"/>
  <c r="B19" i="6"/>
  <c r="D20" i="6"/>
  <c r="D28" i="6"/>
  <c r="B28" i="6"/>
  <c r="D27" i="7"/>
  <c r="B27" i="7"/>
  <c r="D12" i="7" l="1"/>
  <c r="D14" i="7" s="1"/>
  <c r="D16" i="7" s="1"/>
  <c r="D18" i="7" s="1"/>
  <c r="B12" i="7"/>
  <c r="B14" i="7" s="1"/>
  <c r="B16" i="7" s="1"/>
  <c r="B18" i="7" s="1"/>
  <c r="D93" i="12"/>
  <c r="C37" i="6" s="1"/>
  <c r="C14" i="7"/>
  <c r="C16" i="7" s="1"/>
  <c r="C18" i="7" s="1"/>
  <c r="E12" i="7"/>
  <c r="E14" i="7" s="1"/>
  <c r="E16" i="7" s="1"/>
  <c r="E18" i="7" s="1"/>
  <c r="F91" i="12"/>
  <c r="F92" i="12" s="1"/>
  <c r="F93" i="12"/>
  <c r="E29" i="6" s="1"/>
  <c r="C93" i="12"/>
  <c r="B29" i="6" s="1"/>
  <c r="C28" i="7"/>
  <c r="E93" i="12"/>
  <c r="D29" i="6" s="1"/>
  <c r="E91" i="12"/>
  <c r="E92" i="12" s="1"/>
  <c r="E28" i="7"/>
  <c r="B28" i="7"/>
  <c r="D28" i="7"/>
  <c r="C30" i="7"/>
  <c r="C32" i="7" s="1"/>
  <c r="C34" i="7" s="1"/>
  <c r="B30" i="7"/>
  <c r="B32" i="7" s="1"/>
  <c r="B34" i="7" s="1"/>
  <c r="E30" i="7"/>
  <c r="E32" i="7" s="1"/>
  <c r="E34" i="7" s="1"/>
  <c r="D30" i="7"/>
  <c r="D32" i="7" s="1"/>
  <c r="D34" i="7" s="1"/>
  <c r="D91" i="12" l="1"/>
  <c r="D92" i="12" s="1"/>
  <c r="D94" i="12"/>
  <c r="C91" i="12"/>
  <c r="C92" i="12" s="1"/>
  <c r="C29" i="6"/>
  <c r="F43" i="7"/>
  <c r="F45" i="7"/>
  <c r="C50" i="7" s="1"/>
  <c r="F94" i="12"/>
  <c r="E37" i="6"/>
  <c r="C94" i="12"/>
  <c r="F42" i="7"/>
  <c r="B37" i="6"/>
  <c r="D37" i="6"/>
  <c r="E94" i="12"/>
  <c r="F44" i="7"/>
  <c r="B13" i="44"/>
  <c r="C53" i="7" l="1"/>
  <c r="B14" i="44"/>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R47" i="36" l="1"/>
  <c r="BQ47" i="36"/>
  <c r="BP47" i="36"/>
  <c r="BO47" i="36"/>
  <c r="BN47" i="36"/>
  <c r="BM47" i="36"/>
  <c r="BL47" i="36"/>
  <c r="AX47" i="36"/>
  <c r="AW47" i="36"/>
  <c r="AV47" i="36"/>
  <c r="AU47" i="36"/>
  <c r="AT47" i="36"/>
  <c r="AS47" i="36"/>
  <c r="AR47" i="36"/>
  <c r="AD47" i="36"/>
  <c r="AC47" i="36"/>
  <c r="AB47" i="36"/>
  <c r="AA47" i="36"/>
  <c r="Z47" i="36"/>
  <c r="Y47" i="36"/>
  <c r="X47" i="36"/>
  <c r="J47" i="36"/>
  <c r="H47" i="36"/>
  <c r="F47" i="36"/>
  <c r="D47" i="36"/>
  <c r="BR46" i="36"/>
  <c r="BQ46" i="36"/>
  <c r="BP46" i="36"/>
  <c r="BO46" i="36"/>
  <c r="BN46" i="36"/>
  <c r="BM46" i="36"/>
  <c r="BL46" i="36"/>
  <c r="AX46" i="36"/>
  <c r="AW46" i="36"/>
  <c r="AV46" i="36"/>
  <c r="AU46" i="36"/>
  <c r="AT46" i="36"/>
  <c r="AS46" i="36"/>
  <c r="AR46" i="36"/>
  <c r="AD46" i="36"/>
  <c r="AC46" i="36"/>
  <c r="AB46" i="36"/>
  <c r="AA46" i="36"/>
  <c r="Z46" i="36"/>
  <c r="Y46" i="36"/>
  <c r="X46" i="36"/>
  <c r="J46" i="36"/>
  <c r="H46" i="36"/>
  <c r="F46" i="36"/>
  <c r="D46" i="36"/>
  <c r="BR45" i="36"/>
  <c r="BQ45" i="36"/>
  <c r="BP45" i="36"/>
  <c r="BO45" i="36"/>
  <c r="BN45" i="36"/>
  <c r="BM45" i="36"/>
  <c r="BL45" i="36"/>
  <c r="AX45" i="36"/>
  <c r="AW45" i="36"/>
  <c r="AV45" i="36"/>
  <c r="AU45" i="36"/>
  <c r="AT45" i="36"/>
  <c r="AS45" i="36"/>
  <c r="AR45" i="36"/>
  <c r="AD45" i="36"/>
  <c r="AC45" i="36"/>
  <c r="AB45" i="36"/>
  <c r="AA45" i="36"/>
  <c r="Z45" i="36"/>
  <c r="Y45" i="36"/>
  <c r="X45" i="36"/>
  <c r="J45" i="36"/>
  <c r="H45" i="36"/>
  <c r="F45" i="36"/>
  <c r="D45" i="36"/>
  <c r="D44" i="36" l="1"/>
  <c r="D66" i="36" s="1"/>
  <c r="D66" i="37"/>
  <c r="AC44" i="36"/>
  <c r="AC66" i="36" s="1"/>
  <c r="AC66" i="37"/>
  <c r="AS44" i="36"/>
  <c r="AS66" i="36" s="1"/>
  <c r="AS66" i="37"/>
  <c r="AW44" i="36"/>
  <c r="AW66" i="36" s="1"/>
  <c r="AW66" i="37"/>
  <c r="BM44" i="36"/>
  <c r="BM66" i="36" s="1"/>
  <c r="BM66" i="37"/>
  <c r="BQ44" i="36"/>
  <c r="BQ66" i="36" s="1"/>
  <c r="BQ66" i="37"/>
  <c r="E45" i="36"/>
  <c r="CF45" i="37"/>
  <c r="I45" i="36"/>
  <c r="CH45" i="37"/>
  <c r="E66" i="37"/>
  <c r="I44" i="36"/>
  <c r="CH44" i="37"/>
  <c r="I66" i="37"/>
  <c r="Z44" i="36"/>
  <c r="Z66" i="36" s="1"/>
  <c r="Z66" i="37"/>
  <c r="AT44" i="36"/>
  <c r="AT66" i="36" s="1"/>
  <c r="AT66" i="37"/>
  <c r="AX44" i="36"/>
  <c r="AX66" i="36" s="1"/>
  <c r="AX66" i="37"/>
  <c r="BN44" i="36"/>
  <c r="BN66" i="36" s="1"/>
  <c r="BN66" i="37"/>
  <c r="BR44" i="36"/>
  <c r="BR66" i="36" s="1"/>
  <c r="BR66" i="37"/>
  <c r="E47" i="36"/>
  <c r="CF47" i="37"/>
  <c r="I47" i="36"/>
  <c r="CH47" i="37"/>
  <c r="E44" i="36"/>
  <c r="CF44" i="37"/>
  <c r="Y44" i="36"/>
  <c r="Y66" i="36" s="1"/>
  <c r="Y66" i="37"/>
  <c r="F44" i="36"/>
  <c r="F66" i="36" s="1"/>
  <c r="F66" i="37"/>
  <c r="J44" i="36"/>
  <c r="J66" i="36" s="1"/>
  <c r="J66" i="37"/>
  <c r="AD44" i="36"/>
  <c r="AD66" i="36" s="1"/>
  <c r="AD66" i="37"/>
  <c r="G44" i="36"/>
  <c r="CG44" i="37"/>
  <c r="G66" i="37"/>
  <c r="AA44" i="36"/>
  <c r="AA66" i="36" s="1"/>
  <c r="AA66" i="37"/>
  <c r="AU44" i="36"/>
  <c r="AU66" i="36" s="1"/>
  <c r="AU66" i="37"/>
  <c r="BO44" i="36"/>
  <c r="BO66" i="36" s="1"/>
  <c r="BO66" i="37"/>
  <c r="C45" i="36"/>
  <c r="K45" i="37"/>
  <c r="G45" i="36"/>
  <c r="CG45" i="37"/>
  <c r="G46" i="36"/>
  <c r="CG46" i="37"/>
  <c r="H44" i="36"/>
  <c r="H66" i="36" s="1"/>
  <c r="H66" i="37"/>
  <c r="X44" i="36"/>
  <c r="X66" i="36" s="1"/>
  <c r="X66" i="37"/>
  <c r="AB44" i="36"/>
  <c r="AB66" i="36" s="1"/>
  <c r="AB66" i="37"/>
  <c r="AR44" i="36"/>
  <c r="AR66" i="36" s="1"/>
  <c r="AR66" i="37"/>
  <c r="AV44" i="36"/>
  <c r="AV66" i="36" s="1"/>
  <c r="AV66" i="37"/>
  <c r="BL44" i="36"/>
  <c r="BL66" i="36" s="1"/>
  <c r="BL66" i="37"/>
  <c r="BP44" i="36"/>
  <c r="BP66" i="36" s="1"/>
  <c r="BP66" i="37"/>
  <c r="G47" i="36"/>
  <c r="CG47" i="37"/>
  <c r="BK47" i="36"/>
  <c r="BS47" i="36" s="1"/>
  <c r="BS47" i="37"/>
  <c r="CG47" i="36" l="1"/>
  <c r="AK30" i="40" s="1"/>
  <c r="C46" i="36"/>
  <c r="CO46" i="37"/>
  <c r="CE46" i="37"/>
  <c r="K46" i="37"/>
  <c r="AQ45" i="36"/>
  <c r="AY45" i="36" s="1"/>
  <c r="AY45" i="37"/>
  <c r="CE45" i="37"/>
  <c r="CG66" i="37"/>
  <c r="C44" i="36"/>
  <c r="CE44" i="37"/>
  <c r="K44" i="37"/>
  <c r="C66" i="37"/>
  <c r="CF44" i="36"/>
  <c r="CH47" i="36"/>
  <c r="AZ30" i="40" s="1"/>
  <c r="AQ46" i="36"/>
  <c r="AY46" i="36" s="1"/>
  <c r="BI46" i="36" s="1"/>
  <c r="AY46" i="37"/>
  <c r="BI46" i="37" s="1"/>
  <c r="BK46" i="36"/>
  <c r="BS46" i="36" s="1"/>
  <c r="BS46" i="37"/>
  <c r="CG46" i="36"/>
  <c r="AK29" i="40" s="1"/>
  <c r="CF47" i="36"/>
  <c r="V30" i="40" s="1"/>
  <c r="CH45" i="36"/>
  <c r="AZ28" i="40" s="1"/>
  <c r="C47" i="36"/>
  <c r="CE47" i="37"/>
  <c r="K47" i="37"/>
  <c r="BK44" i="36"/>
  <c r="BK66" i="37"/>
  <c r="BS44" i="37"/>
  <c r="AQ44" i="36"/>
  <c r="AQ66" i="37"/>
  <c r="AY44" i="37"/>
  <c r="W44" i="36"/>
  <c r="W66" i="37"/>
  <c r="AE44" i="37"/>
  <c r="I46" i="36"/>
  <c r="I66" i="36" s="1"/>
  <c r="CH46" i="37"/>
  <c r="CH66" i="37" s="1"/>
  <c r="W46" i="36"/>
  <c r="AE46" i="36" s="1"/>
  <c r="AO46" i="36" s="1"/>
  <c r="AE46" i="37"/>
  <c r="AO46" i="37" s="1"/>
  <c r="CH44" i="36"/>
  <c r="AZ27" i="40" s="1"/>
  <c r="E46" i="36"/>
  <c r="E66" i="36" s="1"/>
  <c r="CP46" i="37"/>
  <c r="CF46" i="37"/>
  <c r="W47" i="36"/>
  <c r="AE47" i="36" s="1"/>
  <c r="AE47" i="37"/>
  <c r="AQ47" i="36"/>
  <c r="AY47" i="36" s="1"/>
  <c r="AY47" i="37"/>
  <c r="BK45" i="36"/>
  <c r="BS45" i="36" s="1"/>
  <c r="BS45" i="37"/>
  <c r="W45" i="36"/>
  <c r="AE45" i="36" s="1"/>
  <c r="AE45" i="37"/>
  <c r="CG45" i="36"/>
  <c r="AK28" i="40" s="1"/>
  <c r="K45" i="36"/>
  <c r="CG44" i="36"/>
  <c r="AK27" i="40" s="1"/>
  <c r="G66" i="36"/>
  <c r="CF66" i="37"/>
  <c r="CF45" i="36"/>
  <c r="V28" i="40" s="1"/>
  <c r="AM29" i="40" l="1"/>
  <c r="BB30" i="40"/>
  <c r="AM28" i="40"/>
  <c r="BB27" i="40"/>
  <c r="BB28" i="40"/>
  <c r="X28" i="40"/>
  <c r="X30" i="40"/>
  <c r="AM30" i="40"/>
  <c r="AM27" i="40"/>
  <c r="AK52" i="40"/>
  <c r="AM52" i="40" s="1"/>
  <c r="AK45" i="40"/>
  <c r="AM45" i="40" s="1"/>
  <c r="CG66" i="36"/>
  <c r="CI45" i="37"/>
  <c r="CE45" i="36"/>
  <c r="G28" i="40" s="1"/>
  <c r="AE66" i="37"/>
  <c r="BS44" i="36"/>
  <c r="BS66" i="36" s="1"/>
  <c r="BK66" i="36"/>
  <c r="CE47" i="36"/>
  <c r="G30" i="40" s="1"/>
  <c r="K47" i="36"/>
  <c r="CI47" i="36" s="1"/>
  <c r="K66" i="37"/>
  <c r="CI44" i="37"/>
  <c r="CI46" i="37"/>
  <c r="U46" i="37"/>
  <c r="AY44" i="36"/>
  <c r="AY66" i="36" s="1"/>
  <c r="AQ66" i="36"/>
  <c r="CI47" i="37"/>
  <c r="V27" i="40"/>
  <c r="CE66" i="37"/>
  <c r="CF46" i="36"/>
  <c r="V29" i="40" s="1"/>
  <c r="CP46" i="36"/>
  <c r="CH46" i="36"/>
  <c r="AE44" i="36"/>
  <c r="AE66" i="36" s="1"/>
  <c r="W66" i="36"/>
  <c r="BS66" i="37"/>
  <c r="CI45" i="36"/>
  <c r="AY66" i="37"/>
  <c r="K44" i="36"/>
  <c r="CE44" i="36"/>
  <c r="C66" i="36"/>
  <c r="CE46" i="36"/>
  <c r="G29" i="40" s="1"/>
  <c r="CO46" i="36"/>
  <c r="K46" i="36"/>
  <c r="CH66" i="36" l="1"/>
  <c r="AZ29" i="40"/>
  <c r="X29" i="40"/>
  <c r="Y29" i="40" s="1"/>
  <c r="Z29" i="40" s="1"/>
  <c r="CI66" i="37"/>
  <c r="CI46" i="36"/>
  <c r="U46" i="36"/>
  <c r="G27" i="40"/>
  <c r="CE66" i="36"/>
  <c r="CI44" i="36"/>
  <c r="K66" i="36"/>
  <c r="CI66" i="36" s="1"/>
  <c r="CF66" i="36"/>
  <c r="BO30" i="40"/>
  <c r="I30" i="40"/>
  <c r="BQ30" i="40" s="1"/>
  <c r="I28" i="40"/>
  <c r="BQ28" i="40" s="1"/>
  <c r="BO28" i="40"/>
  <c r="I29" i="40"/>
  <c r="X27" i="40"/>
  <c r="V45" i="40"/>
  <c r="X45" i="40" s="1"/>
  <c r="V52" i="40"/>
  <c r="X52" i="40" s="1"/>
  <c r="AE29" i="40" l="1"/>
  <c r="AF29" i="40" s="1"/>
  <c r="BB29" i="40"/>
  <c r="BQ29" i="40" s="1"/>
  <c r="AZ45" i="40"/>
  <c r="BB45" i="40" s="1"/>
  <c r="AZ52" i="40"/>
  <c r="BB52" i="40" s="1"/>
  <c r="BO29" i="40"/>
  <c r="J29" i="40"/>
  <c r="I27" i="40"/>
  <c r="BQ27" i="40" s="1"/>
  <c r="BO27" i="40"/>
  <c r="G52" i="40"/>
  <c r="G45" i="40"/>
  <c r="I45" i="40" l="1"/>
  <c r="BQ45" i="40" s="1"/>
  <c r="BO45" i="40"/>
  <c r="K29" i="40"/>
  <c r="I52" i="40"/>
  <c r="BQ52" i="40" s="1"/>
  <c r="BO52" i="40"/>
  <c r="BS29" i="40" l="1"/>
  <c r="P29" i="40"/>
  <c r="Q29" i="40" s="1"/>
  <c r="CB45" i="54" l="1"/>
  <c r="CC45" i="54" s="1"/>
  <c r="BE45" i="36"/>
  <c r="BH45" i="54"/>
  <c r="BI45" i="54" s="1"/>
  <c r="BC45" i="36"/>
  <c r="AN44" i="53"/>
  <c r="BY45" i="36"/>
  <c r="AM44" i="36"/>
  <c r="CA45" i="36"/>
  <c r="BW45" i="36"/>
  <c r="AN45" i="54"/>
  <c r="AO45" i="54" s="1"/>
  <c r="AM45" i="36"/>
  <c r="BH45" i="53"/>
  <c r="BI45" i="53" s="1"/>
  <c r="AK45" i="36"/>
  <c r="BG45" i="36"/>
  <c r="CB45" i="53"/>
  <c r="CC45" i="53" s="1"/>
  <c r="AI45" i="36"/>
  <c r="CM44" i="54" l="1"/>
  <c r="CR44" i="54"/>
  <c r="AI44" i="36"/>
  <c r="BE44" i="36"/>
  <c r="CP44" i="53"/>
  <c r="CK44" i="53"/>
  <c r="CJ45" i="37"/>
  <c r="T45" i="37"/>
  <c r="CO45" i="37"/>
  <c r="M45" i="36"/>
  <c r="CO45" i="53"/>
  <c r="T45" i="53"/>
  <c r="CJ45" i="53"/>
  <c r="S45" i="36"/>
  <c r="CM45" i="37"/>
  <c r="CR45" i="37"/>
  <c r="CL45" i="37"/>
  <c r="CQ45" i="37"/>
  <c r="BG44" i="36"/>
  <c r="BH44" i="54"/>
  <c r="BU45" i="36"/>
  <c r="CB45" i="36" s="1"/>
  <c r="CC45" i="36" s="1"/>
  <c r="CB45" i="37"/>
  <c r="CC45" i="37" s="1"/>
  <c r="O44" i="36"/>
  <c r="CK44" i="37"/>
  <c r="CP44" i="37"/>
  <c r="CL44" i="53"/>
  <c r="CQ44" i="53"/>
  <c r="O45" i="36"/>
  <c r="CK45" i="37"/>
  <c r="CP45" i="37"/>
  <c r="AG45" i="36"/>
  <c r="AN45" i="36" s="1"/>
  <c r="AO45" i="36" s="1"/>
  <c r="AN45" i="37"/>
  <c r="AO45" i="37" s="1"/>
  <c r="BH44" i="53"/>
  <c r="AN44" i="54"/>
  <c r="CA44" i="36"/>
  <c r="T44" i="53"/>
  <c r="CJ44" i="53"/>
  <c r="CO44" i="53"/>
  <c r="AG44" i="36"/>
  <c r="AN44" i="37"/>
  <c r="CB44" i="53"/>
  <c r="CR45" i="53"/>
  <c r="CM45" i="53"/>
  <c r="M44" i="36"/>
  <c r="CJ44" i="37"/>
  <c r="T44" i="37"/>
  <c r="CO44" i="37"/>
  <c r="BA45" i="36"/>
  <c r="BH45" i="36" s="1"/>
  <c r="BI45" i="36" s="1"/>
  <c r="BH45" i="37"/>
  <c r="BI45" i="37" s="1"/>
  <c r="BC44" i="36"/>
  <c r="BW44" i="36"/>
  <c r="Q45" i="36"/>
  <c r="CQ45" i="53"/>
  <c r="CL45" i="53"/>
  <c r="CM44" i="53"/>
  <c r="CR44" i="53"/>
  <c r="BA44" i="36"/>
  <c r="BH44" i="37"/>
  <c r="BU44" i="36"/>
  <c r="CB44" i="37"/>
  <c r="CJ45" i="54"/>
  <c r="CO45" i="54"/>
  <c r="T45" i="54"/>
  <c r="S44" i="36"/>
  <c r="CM44" i="37"/>
  <c r="CR44" i="37"/>
  <c r="CJ44" i="54"/>
  <c r="T44" i="54"/>
  <c r="CO44" i="54"/>
  <c r="CM45" i="54"/>
  <c r="CR45" i="54"/>
  <c r="AK44" i="36"/>
  <c r="BY44" i="36"/>
  <c r="CK44" i="54"/>
  <c r="CP44" i="54"/>
  <c r="CB44" i="54"/>
  <c r="CK45" i="53"/>
  <c r="CP45" i="53"/>
  <c r="CQ45" i="54"/>
  <c r="CL45" i="54"/>
  <c r="AO44" i="53"/>
  <c r="Q44" i="36"/>
  <c r="CL44" i="37"/>
  <c r="CQ44" i="37"/>
  <c r="CQ44" i="54"/>
  <c r="CL44" i="54"/>
  <c r="AN45" i="53"/>
  <c r="AO45" i="53" s="1"/>
  <c r="CP45" i="54"/>
  <c r="CK45" i="54"/>
  <c r="CB44" i="36" l="1"/>
  <c r="BH44" i="36"/>
  <c r="AO44" i="54"/>
  <c r="CJ45" i="36"/>
  <c r="D28" i="40" s="1"/>
  <c r="T45" i="36"/>
  <c r="CO45" i="36"/>
  <c r="CL44" i="36"/>
  <c r="AH27" i="40" s="1"/>
  <c r="CQ44" i="36"/>
  <c r="U44" i="54"/>
  <c r="CN44" i="54"/>
  <c r="CC44" i="53"/>
  <c r="AO44" i="37"/>
  <c r="U44" i="53"/>
  <c r="CN44" i="53"/>
  <c r="BI44" i="53"/>
  <c r="CM45" i="36"/>
  <c r="AW28" i="40" s="1"/>
  <c r="CR45" i="36"/>
  <c r="CC44" i="54"/>
  <c r="CC44" i="37"/>
  <c r="BI44" i="37"/>
  <c r="T44" i="36"/>
  <c r="CJ44" i="36"/>
  <c r="CO44" i="36"/>
  <c r="AN44" i="36"/>
  <c r="CK44" i="36"/>
  <c r="CP44" i="36"/>
  <c r="BI44" i="54"/>
  <c r="U45" i="53"/>
  <c r="CS45" i="53" s="1"/>
  <c r="CN45" i="53"/>
  <c r="U45" i="37"/>
  <c r="CS45" i="37" s="1"/>
  <c r="CN45" i="37"/>
  <c r="CM44" i="36"/>
  <c r="AW27" i="40" s="1"/>
  <c r="CR44" i="36"/>
  <c r="U45" i="54"/>
  <c r="CS45" i="54" s="1"/>
  <c r="CN45" i="54"/>
  <c r="CL45" i="36"/>
  <c r="AH28" i="40" s="1"/>
  <c r="CQ45" i="36"/>
  <c r="U44" i="37"/>
  <c r="CN44" i="37"/>
  <c r="CK45" i="36"/>
  <c r="S28" i="40" s="1"/>
  <c r="CP45" i="36"/>
  <c r="AJ28" i="40" l="1"/>
  <c r="AN28" i="40" s="1"/>
  <c r="AT28" i="40" s="1"/>
  <c r="U28" i="40"/>
  <c r="Y28" i="40" s="1"/>
  <c r="AY27" i="40"/>
  <c r="BC27" i="40" s="1"/>
  <c r="BI27" i="40" s="1"/>
  <c r="AY28" i="40"/>
  <c r="BC28" i="40" s="1"/>
  <c r="BI28" i="40" s="1"/>
  <c r="BJ28" i="40" s="1"/>
  <c r="AJ27" i="40"/>
  <c r="AN27" i="40" s="1"/>
  <c r="AT27" i="40" s="1"/>
  <c r="F28" i="40"/>
  <c r="BL28" i="40"/>
  <c r="CC44" i="36"/>
  <c r="CN44" i="36"/>
  <c r="U44" i="36"/>
  <c r="N27" i="28"/>
  <c r="AU28" i="40"/>
  <c r="D27" i="40"/>
  <c r="CS44" i="37"/>
  <c r="O27" i="28"/>
  <c r="CS44" i="53"/>
  <c r="AU27" i="40"/>
  <c r="L27" i="28"/>
  <c r="BI44" i="36"/>
  <c r="M27" i="28"/>
  <c r="Z28" i="40"/>
  <c r="BJ27" i="40"/>
  <c r="S27" i="40"/>
  <c r="AO44" i="36"/>
  <c r="CS44" i="54"/>
  <c r="CN45" i="36"/>
  <c r="U45" i="36"/>
  <c r="CS45" i="36" s="1"/>
  <c r="AE28" i="40" l="1"/>
  <c r="AF28" i="40" s="1"/>
  <c r="AI27" i="28"/>
  <c r="AN27" i="28"/>
  <c r="AH27" i="28"/>
  <c r="AM27" i="28"/>
  <c r="AL27" i="28"/>
  <c r="AG27" i="28"/>
  <c r="AK27" i="28"/>
  <c r="AF27" i="28"/>
  <c r="P27" i="28"/>
  <c r="BL27" i="40"/>
  <c r="F27" i="40"/>
  <c r="D52" i="40"/>
  <c r="U27" i="40"/>
  <c r="Y27" i="40" s="1"/>
  <c r="Z27" i="40" s="1"/>
  <c r="S52" i="40"/>
  <c r="U52" i="40" s="1"/>
  <c r="Y52" i="40" s="1"/>
  <c r="CS44" i="36"/>
  <c r="BN28" i="40"/>
  <c r="J28" i="40"/>
  <c r="AO27" i="28" l="1"/>
  <c r="AJ27" i="28"/>
  <c r="BR28" i="40"/>
  <c r="K28" i="40"/>
  <c r="F52" i="40"/>
  <c r="AE27" i="40"/>
  <c r="AF27" i="40" s="1"/>
  <c r="Z52" i="40"/>
  <c r="AE52" i="40" s="1"/>
  <c r="BN27" i="40"/>
  <c r="J27" i="40"/>
  <c r="BS28" i="40" l="1"/>
  <c r="P28" i="40"/>
  <c r="J52" i="40"/>
  <c r="BR27" i="40"/>
  <c r="K27" i="40"/>
  <c r="P27" i="40" l="1"/>
  <c r="Q27" i="40"/>
  <c r="BY27" i="40" s="1"/>
  <c r="BX27" i="40"/>
  <c r="BX28" i="40"/>
  <c r="Q28" i="40"/>
  <c r="BY28" i="40" s="1"/>
  <c r="BS27" i="40"/>
  <c r="K52" i="40"/>
  <c r="BS52" i="40" s="1"/>
  <c r="P52" i="40" l="1"/>
  <c r="BC66" i="54" l="1"/>
  <c r="BC66" i="53"/>
  <c r="AK66" i="53"/>
  <c r="AM66" i="54"/>
  <c r="CA66" i="53"/>
  <c r="AM66" i="53"/>
  <c r="BE66" i="54"/>
  <c r="BY66" i="53"/>
  <c r="BW66" i="54"/>
  <c r="AI66" i="54"/>
  <c r="BW66" i="53"/>
  <c r="AI66" i="53"/>
  <c r="BG66" i="54"/>
  <c r="BG66" i="53"/>
  <c r="BE66" i="53"/>
  <c r="Q66" i="54" l="1"/>
  <c r="AK66" i="54"/>
  <c r="AN47" i="54" l="1"/>
  <c r="AG66" i="54"/>
  <c r="CR47" i="54"/>
  <c r="CM47" i="54"/>
  <c r="S66" i="54"/>
  <c r="BH47" i="54"/>
  <c r="BA66" i="54"/>
  <c r="T47" i="53"/>
  <c r="CO47" i="53"/>
  <c r="CO66" i="53" s="1"/>
  <c r="CJ47" i="53"/>
  <c r="CJ66" i="53" s="1"/>
  <c r="M66" i="53"/>
  <c r="CR47" i="53"/>
  <c r="CR66" i="53" s="1"/>
  <c r="CM47" i="53"/>
  <c r="CM66" i="53" s="1"/>
  <c r="S66" i="53"/>
  <c r="CP47" i="54"/>
  <c r="CP66" i="54" s="1"/>
  <c r="CK47" i="54"/>
  <c r="CK66" i="54" s="1"/>
  <c r="O66" i="54"/>
  <c r="AN47" i="53"/>
  <c r="AG66" i="53"/>
  <c r="CA47" i="36"/>
  <c r="CB47" i="53"/>
  <c r="BU66" i="53"/>
  <c r="CP47" i="53"/>
  <c r="CP66" i="53" s="1"/>
  <c r="CK47" i="53"/>
  <c r="CK66" i="53" s="1"/>
  <c r="O66" i="53"/>
  <c r="T47" i="54"/>
  <c r="CO47" i="54"/>
  <c r="CO66" i="54" s="1"/>
  <c r="CJ47" i="54"/>
  <c r="CJ66" i="54" s="1"/>
  <c r="M66" i="54"/>
  <c r="CL47" i="54"/>
  <c r="CQ47" i="53"/>
  <c r="CQ66" i="53" s="1"/>
  <c r="CL47" i="53"/>
  <c r="CL66" i="53" s="1"/>
  <c r="Q66" i="53"/>
  <c r="BY47" i="36"/>
  <c r="BH47" i="53"/>
  <c r="BA66" i="53"/>
  <c r="CQ47" i="54"/>
  <c r="CB47" i="54"/>
  <c r="CC47" i="54" s="1"/>
  <c r="BU66" i="54"/>
  <c r="AM47" i="36" l="1"/>
  <c r="AM66" i="36" s="1"/>
  <c r="AM66" i="37"/>
  <c r="AG47" i="36"/>
  <c r="AN47" i="37"/>
  <c r="AG66" i="37"/>
  <c r="CB46" i="54"/>
  <c r="CQ46" i="54"/>
  <c r="CQ66" i="54" s="1"/>
  <c r="CL46" i="54"/>
  <c r="CL66" i="54" s="1"/>
  <c r="BY66" i="54"/>
  <c r="U47" i="53"/>
  <c r="U66" i="53" s="1"/>
  <c r="CN47" i="53"/>
  <c r="T66" i="53"/>
  <c r="Q47" i="36"/>
  <c r="CL47" i="37"/>
  <c r="CQ47" i="37"/>
  <c r="Q66" i="37"/>
  <c r="BY46" i="36"/>
  <c r="CL46" i="37"/>
  <c r="CL66" i="37" s="1"/>
  <c r="CB46" i="37"/>
  <c r="CQ46" i="37"/>
  <c r="BY66" i="37"/>
  <c r="O47" i="36"/>
  <c r="CK47" i="37"/>
  <c r="CK66" i="37" s="1"/>
  <c r="CP47" i="37"/>
  <c r="CP66" i="37" s="1"/>
  <c r="O66" i="37"/>
  <c r="BI47" i="54"/>
  <c r="BI66" i="54" s="1"/>
  <c r="BH66" i="54"/>
  <c r="CR46" i="54"/>
  <c r="CR66" i="54" s="1"/>
  <c r="CM46" i="54"/>
  <c r="CM66" i="54" s="1"/>
  <c r="CA66" i="54"/>
  <c r="AI47" i="36"/>
  <c r="AI66" i="36" s="1"/>
  <c r="AI66" i="37"/>
  <c r="BC47" i="36"/>
  <c r="BC66" i="36" s="1"/>
  <c r="BC66" i="37"/>
  <c r="CA46" i="36"/>
  <c r="CM46" i="37"/>
  <c r="CR46" i="37"/>
  <c r="CA66" i="37"/>
  <c r="BG47" i="36"/>
  <c r="BG66" i="36" s="1"/>
  <c r="BG66" i="37"/>
  <c r="CC47" i="53"/>
  <c r="CC66" i="53" s="1"/>
  <c r="CB66" i="53"/>
  <c r="BE47" i="36"/>
  <c r="BE66" i="36" s="1"/>
  <c r="BE66" i="37"/>
  <c r="BU47" i="36"/>
  <c r="CB47" i="37"/>
  <c r="CC47" i="37" s="1"/>
  <c r="BU66" i="37"/>
  <c r="U47" i="54"/>
  <c r="U66" i="54" s="1"/>
  <c r="CN47" i="54"/>
  <c r="T66" i="54"/>
  <c r="BI47" i="53"/>
  <c r="BI66" i="53" s="1"/>
  <c r="BH66" i="53"/>
  <c r="M47" i="36"/>
  <c r="CJ47" i="37"/>
  <c r="CJ66" i="37" s="1"/>
  <c r="T47" i="37"/>
  <c r="CO47" i="37"/>
  <c r="CO66" i="37" s="1"/>
  <c r="M66" i="37"/>
  <c r="BW47" i="36"/>
  <c r="BW66" i="36" s="1"/>
  <c r="BW66" i="37"/>
  <c r="S47" i="36"/>
  <c r="CM47" i="37"/>
  <c r="CR47" i="37"/>
  <c r="S66" i="37"/>
  <c r="AO47" i="53"/>
  <c r="AN66" i="53"/>
  <c r="AK47" i="36"/>
  <c r="AK66" i="36" s="1"/>
  <c r="AK66" i="37"/>
  <c r="BA47" i="36"/>
  <c r="BH47" i="37"/>
  <c r="BA66" i="37"/>
  <c r="AO47" i="54"/>
  <c r="AO66" i="54" s="1"/>
  <c r="AN66" i="54"/>
  <c r="CQ66" i="37" l="1"/>
  <c r="CS47" i="53"/>
  <c r="AO66" i="53"/>
  <c r="CS66" i="53" s="1"/>
  <c r="AO47" i="37"/>
  <c r="AO66" i="37" s="1"/>
  <c r="AN66" i="37"/>
  <c r="U47" i="37"/>
  <c r="U66" i="37" s="1"/>
  <c r="CN47" i="37"/>
  <c r="T66" i="37"/>
  <c r="CS47" i="54"/>
  <c r="CC46" i="37"/>
  <c r="CN46" i="37"/>
  <c r="CB66" i="37"/>
  <c r="AN47" i="36"/>
  <c r="AG66" i="36"/>
  <c r="BI47" i="37"/>
  <c r="BI66" i="37" s="1"/>
  <c r="BH66" i="37"/>
  <c r="CB47" i="36"/>
  <c r="CC47" i="36" s="1"/>
  <c r="BU66" i="36"/>
  <c r="CR66" i="37"/>
  <c r="CK47" i="36"/>
  <c r="CP47" i="36"/>
  <c r="O66" i="36"/>
  <c r="CC46" i="54"/>
  <c r="CN46" i="54"/>
  <c r="CB66" i="54"/>
  <c r="CM47" i="36"/>
  <c r="AW30" i="40" s="1"/>
  <c r="CR47" i="36"/>
  <c r="S66" i="36"/>
  <c r="CM46" i="36"/>
  <c r="AW29" i="40" s="1"/>
  <c r="CR46" i="36"/>
  <c r="CA66" i="36"/>
  <c r="BH47" i="36"/>
  <c r="BA66" i="36"/>
  <c r="T47" i="36"/>
  <c r="CJ47" i="36"/>
  <c r="CO47" i="36"/>
  <c r="M66" i="36"/>
  <c r="CM66" i="37"/>
  <c r="CL46" i="36"/>
  <c r="AH29" i="40" s="1"/>
  <c r="CB46" i="36"/>
  <c r="CQ46" i="36"/>
  <c r="BY66" i="36"/>
  <c r="CL47" i="36"/>
  <c r="AH30" i="40" s="1"/>
  <c r="CQ47" i="36"/>
  <c r="Q66" i="36"/>
  <c r="AJ30" i="40" l="1"/>
  <c r="AN30" i="40" s="1"/>
  <c r="AT30" i="40" s="1"/>
  <c r="AY30" i="40"/>
  <c r="BC30" i="40" s="1"/>
  <c r="BI30" i="40" s="1"/>
  <c r="AY29" i="40"/>
  <c r="BC29" i="40" s="1"/>
  <c r="BI29" i="40" s="1"/>
  <c r="AW45" i="40"/>
  <c r="AY45" i="40" s="1"/>
  <c r="BC45" i="40" s="1"/>
  <c r="BI45" i="40" s="1"/>
  <c r="BJ45" i="40" s="1"/>
  <c r="AW52" i="40"/>
  <c r="AY52" i="40" s="1"/>
  <c r="BC52" i="40" s="1"/>
  <c r="BI52" i="40" s="1"/>
  <c r="AJ29" i="40"/>
  <c r="BL29" i="40"/>
  <c r="AH52" i="40"/>
  <c r="AH45" i="40"/>
  <c r="AJ45" i="40" s="1"/>
  <c r="AN45" i="40" s="1"/>
  <c r="AT45" i="40" s="1"/>
  <c r="AU45" i="40" s="1"/>
  <c r="CS47" i="37"/>
  <c r="CC46" i="36"/>
  <c r="CN46" i="36"/>
  <c r="CB66" i="36"/>
  <c r="CL66" i="36"/>
  <c r="D30" i="40"/>
  <c r="CJ66" i="36"/>
  <c r="O28" i="28"/>
  <c r="BJ30" i="40"/>
  <c r="CS46" i="54"/>
  <c r="CC66" i="54"/>
  <c r="CS66" i="54" s="1"/>
  <c r="AO47" i="36"/>
  <c r="AO66" i="36" s="1"/>
  <c r="AN66" i="36"/>
  <c r="N28" i="28"/>
  <c r="AU30" i="40"/>
  <c r="L28" i="28"/>
  <c r="CO66" i="36"/>
  <c r="BI47" i="36"/>
  <c r="BI66" i="36" s="1"/>
  <c r="BH66" i="36"/>
  <c r="S30" i="40"/>
  <c r="CK66" i="36"/>
  <c r="CS46" i="37"/>
  <c r="CC66" i="37"/>
  <c r="CS66" i="37" s="1"/>
  <c r="CN47" i="36"/>
  <c r="U47" i="36"/>
  <c r="U66" i="36" s="1"/>
  <c r="T66" i="36"/>
  <c r="BJ29" i="40"/>
  <c r="CR66" i="36"/>
  <c r="E39" i="6" s="1"/>
  <c r="CQ66" i="36"/>
  <c r="D39" i="6" s="1"/>
  <c r="CM66" i="36"/>
  <c r="M28" i="28"/>
  <c r="CP66" i="36"/>
  <c r="AI28" i="28" l="1"/>
  <c r="AN28" i="28"/>
  <c r="AJ52" i="40"/>
  <c r="BL52" i="40"/>
  <c r="AN29" i="40"/>
  <c r="BN29" i="40"/>
  <c r="AH28" i="28"/>
  <c r="AM28" i="28"/>
  <c r="D21" i="6"/>
  <c r="B44" i="7"/>
  <c r="CS47" i="36"/>
  <c r="P28" i="28"/>
  <c r="AF28" i="28"/>
  <c r="AK28" i="28"/>
  <c r="C21" i="6"/>
  <c r="B43" i="7"/>
  <c r="C39" i="6"/>
  <c r="B45" i="7"/>
  <c r="E21" i="6"/>
  <c r="B42" i="7"/>
  <c r="B39" i="6"/>
  <c r="B21" i="6"/>
  <c r="AG28" i="28"/>
  <c r="AL28" i="28"/>
  <c r="U30" i="40"/>
  <c r="Y30" i="40" s="1"/>
  <c r="Z30" i="40" s="1"/>
  <c r="S45" i="40"/>
  <c r="U45" i="40" s="1"/>
  <c r="Y45" i="40" s="1"/>
  <c r="BL30" i="40"/>
  <c r="F30" i="40"/>
  <c r="D45" i="40"/>
  <c r="CS46" i="36"/>
  <c r="CC66" i="36"/>
  <c r="CS66" i="36" s="1"/>
  <c r="AT29" i="40" l="1"/>
  <c r="BR29" i="40"/>
  <c r="AN52" i="40"/>
  <c r="BN52" i="40"/>
  <c r="AJ28" i="28"/>
  <c r="AO28" i="28"/>
  <c r="BL45" i="40"/>
  <c r="F45" i="40"/>
  <c r="AE30" i="40"/>
  <c r="Z45" i="40"/>
  <c r="AE45" i="40" s="1"/>
  <c r="AF45" i="40" s="1"/>
  <c r="BN30" i="40"/>
  <c r="J30" i="40"/>
  <c r="AF30" i="40" l="1"/>
  <c r="AT52" i="40"/>
  <c r="BX52" i="40" s="1"/>
  <c r="BR52" i="40"/>
  <c r="BX29" i="40"/>
  <c r="AU29" i="40"/>
  <c r="BY29" i="40" s="1"/>
  <c r="BR30" i="40"/>
  <c r="K30" i="40"/>
  <c r="BN45" i="40"/>
  <c r="J45" i="40"/>
  <c r="P30" i="40" l="1"/>
  <c r="BR45" i="40"/>
  <c r="BS30" i="40"/>
  <c r="K45" i="40"/>
  <c r="BS45" i="40" s="1"/>
  <c r="Q30" i="40" l="1"/>
  <c r="BY30" i="40" s="1"/>
  <c r="BX30" i="40"/>
  <c r="P45" i="40"/>
  <c r="BX45" i="40" l="1"/>
  <c r="Q45" i="40"/>
  <c r="BY45" i="40" s="1"/>
  <c r="BE23" i="53" l="1"/>
  <c r="AM23" i="54"/>
  <c r="BC23" i="53"/>
  <c r="BG23" i="53"/>
  <c r="BE23" i="54"/>
  <c r="BW23" i="53"/>
  <c r="AI23" i="53"/>
  <c r="BC23" i="54"/>
  <c r="AK23" i="54"/>
  <c r="AK23" i="53"/>
  <c r="BG23" i="54"/>
  <c r="CA23" i="54"/>
  <c r="BY23" i="54"/>
  <c r="CA23" i="53"/>
  <c r="AM23" i="53"/>
  <c r="BW23" i="54"/>
  <c r="AI23" i="54"/>
  <c r="BY23" i="53"/>
  <c r="AI22" i="36" l="1"/>
  <c r="AI23" i="36" s="1"/>
  <c r="AI23" i="37"/>
  <c r="BW22" i="36"/>
  <c r="BW23" i="36" s="1"/>
  <c r="BW23" i="37"/>
  <c r="BY22" i="36"/>
  <c r="BY23" i="36" s="1"/>
  <c r="BY23" i="37"/>
  <c r="BA23" i="37"/>
  <c r="BA22" i="36"/>
  <c r="BH22" i="37"/>
  <c r="BI22" i="37" s="1"/>
  <c r="CJ22" i="37"/>
  <c r="M22" i="36"/>
  <c r="T22" i="37"/>
  <c r="M23" i="37"/>
  <c r="CO22" i="37"/>
  <c r="CP22" i="54"/>
  <c r="CK22" i="54"/>
  <c r="O23" i="54"/>
  <c r="CO22" i="54"/>
  <c r="T22" i="54"/>
  <c r="CJ22" i="54"/>
  <c r="M23" i="54"/>
  <c r="S23" i="53"/>
  <c r="CM22" i="53"/>
  <c r="CR22" i="53"/>
  <c r="AN22" i="54"/>
  <c r="AO22" i="54" s="1"/>
  <c r="AG23" i="54"/>
  <c r="AN23" i="54" s="1"/>
  <c r="AO23" i="54" s="1"/>
  <c r="BG22" i="36"/>
  <c r="BG23" i="36" s="1"/>
  <c r="BG23" i="37"/>
  <c r="CP22" i="37"/>
  <c r="O22" i="36"/>
  <c r="CK22" i="37"/>
  <c r="O23" i="37"/>
  <c r="CA22" i="36"/>
  <c r="CA23" i="36" s="1"/>
  <c r="CA23" i="37"/>
  <c r="CQ22" i="37"/>
  <c r="CL22" i="37"/>
  <c r="Q22" i="36"/>
  <c r="Q23" i="37"/>
  <c r="CL22" i="54"/>
  <c r="Q23" i="54"/>
  <c r="CQ22" i="54"/>
  <c r="AG23" i="37"/>
  <c r="AG22" i="36"/>
  <c r="AN22" i="37"/>
  <c r="AO22" i="37" s="1"/>
  <c r="CO22" i="53"/>
  <c r="T22" i="53"/>
  <c r="CJ22" i="53"/>
  <c r="M23" i="53"/>
  <c r="BH22" i="54"/>
  <c r="BI22" i="54" s="1"/>
  <c r="BA23" i="54"/>
  <c r="BH23" i="54" s="1"/>
  <c r="BI23" i="54" s="1"/>
  <c r="S22" i="36"/>
  <c r="CM22" i="37"/>
  <c r="S23" i="37"/>
  <c r="CR22" i="37"/>
  <c r="CR22" i="54"/>
  <c r="CM22" i="54"/>
  <c r="S23" i="54"/>
  <c r="AK22" i="36"/>
  <c r="AK23" i="36" s="1"/>
  <c r="AK23" i="37"/>
  <c r="CB22" i="53"/>
  <c r="CC22" i="53" s="1"/>
  <c r="BU23" i="53"/>
  <c r="CB23" i="53" s="1"/>
  <c r="CC23" i="53" s="1"/>
  <c r="BE22" i="36"/>
  <c r="BE23" i="36" s="1"/>
  <c r="BE23" i="37"/>
  <c r="BU23" i="54"/>
  <c r="CB23" i="54" s="1"/>
  <c r="CC23" i="54" s="1"/>
  <c r="CB22" i="54"/>
  <c r="CC22" i="54" s="1"/>
  <c r="CP22" i="53"/>
  <c r="CK22" i="53"/>
  <c r="O23" i="53"/>
  <c r="BH22" i="53"/>
  <c r="BI22" i="53" s="1"/>
  <c r="BA23" i="53"/>
  <c r="BH23" i="53" s="1"/>
  <c r="BI23" i="53" s="1"/>
  <c r="CQ22" i="53"/>
  <c r="Q23" i="53"/>
  <c r="CL22" i="53"/>
  <c r="BU22" i="36"/>
  <c r="BU23" i="37"/>
  <c r="CB22" i="37"/>
  <c r="CC22" i="37" s="1"/>
  <c r="AM22" i="36"/>
  <c r="AM23" i="36" s="1"/>
  <c r="AM23" i="37"/>
  <c r="AG23" i="53"/>
  <c r="AN23" i="53" s="1"/>
  <c r="AO23" i="53" s="1"/>
  <c r="AN22" i="53"/>
  <c r="AO22" i="53" s="1"/>
  <c r="BC22" i="36"/>
  <c r="BC23" i="36" s="1"/>
  <c r="BC23" i="37"/>
  <c r="CJ23" i="53" l="1"/>
  <c r="T23" i="53"/>
  <c r="CO23" i="53"/>
  <c r="CL23" i="54"/>
  <c r="CQ23" i="54"/>
  <c r="CB23" i="37"/>
  <c r="CC23" i="37" s="1"/>
  <c r="CM22" i="36"/>
  <c r="CR22" i="36"/>
  <c r="S23" i="36"/>
  <c r="AN22" i="36"/>
  <c r="AO22" i="36" s="1"/>
  <c r="AG23" i="36"/>
  <c r="AN23" i="36" s="1"/>
  <c r="AO23" i="36" s="1"/>
  <c r="CN22" i="54"/>
  <c r="U22" i="54"/>
  <c r="CS22" i="54" s="1"/>
  <c r="T22" i="36"/>
  <c r="CO22" i="36"/>
  <c r="M23" i="36"/>
  <c r="CJ22" i="36"/>
  <c r="BH23" i="37"/>
  <c r="BI23" i="37" s="1"/>
  <c r="CK23" i="53"/>
  <c r="CP23" i="53"/>
  <c r="CP23" i="37"/>
  <c r="CK23" i="37"/>
  <c r="U22" i="37"/>
  <c r="CS22" i="37" s="1"/>
  <c r="CN22" i="37"/>
  <c r="BA23" i="36"/>
  <c r="BH23" i="36" s="1"/>
  <c r="BI23" i="36" s="1"/>
  <c r="BH22" i="36"/>
  <c r="BI22" i="36" s="1"/>
  <c r="CB22" i="36"/>
  <c r="CC22" i="36" s="1"/>
  <c r="BU23" i="36"/>
  <c r="CB23" i="36" s="1"/>
  <c r="CC23" i="36" s="1"/>
  <c r="U22" i="53"/>
  <c r="CS22" i="53" s="1"/>
  <c r="CN22" i="53"/>
  <c r="AN23" i="37"/>
  <c r="AO23" i="37" s="1"/>
  <c r="CL23" i="37"/>
  <c r="CQ23" i="37"/>
  <c r="CK22" i="36"/>
  <c r="O23" i="36"/>
  <c r="CP22" i="36"/>
  <c r="CM23" i="53"/>
  <c r="CR23" i="53"/>
  <c r="CL23" i="53"/>
  <c r="CQ23" i="53"/>
  <c r="CR23" i="54"/>
  <c r="CM23" i="54"/>
  <c r="CM23" i="37"/>
  <c r="CR23" i="37"/>
  <c r="CQ22" i="36"/>
  <c r="CL22" i="36"/>
  <c r="Q23" i="36"/>
  <c r="CO23" i="54"/>
  <c r="CJ23" i="54"/>
  <c r="T23" i="54"/>
  <c r="CP23" i="54"/>
  <c r="CK23" i="54"/>
  <c r="CO23" i="37"/>
  <c r="T23" i="37"/>
  <c r="CJ23" i="37"/>
  <c r="CN22" i="36" l="1"/>
  <c r="U22" i="36"/>
  <c r="CS22" i="36" s="1"/>
  <c r="CN23" i="53"/>
  <c r="U23" i="53"/>
  <c r="CS23" i="53" s="1"/>
  <c r="U23" i="37"/>
  <c r="CS23" i="37" s="1"/>
  <c r="CN23" i="37"/>
  <c r="CP23" i="36"/>
  <c r="CK23" i="36"/>
  <c r="CR23" i="36"/>
  <c r="CM23" i="36"/>
  <c r="U23" i="54"/>
  <c r="CS23" i="54" s="1"/>
  <c r="CN23" i="54"/>
  <c r="CL23" i="36"/>
  <c r="CQ23" i="36"/>
  <c r="CO23" i="36"/>
  <c r="T23" i="36"/>
  <c r="CJ23" i="36"/>
  <c r="E32" i="6" l="1"/>
  <c r="C45" i="7"/>
  <c r="C42" i="7"/>
  <c r="B32" i="6"/>
  <c r="D32" i="6"/>
  <c r="C44" i="7"/>
  <c r="C32" i="6"/>
  <c r="C43" i="7"/>
  <c r="CN23" i="36"/>
  <c r="U23" i="36"/>
  <c r="CS23" i="36" s="1"/>
  <c r="CP25" i="53" l="1"/>
  <c r="CF25" i="53"/>
  <c r="CR25" i="53"/>
  <c r="CH25" i="53"/>
  <c r="BS25" i="37"/>
  <c r="CE25" i="37"/>
  <c r="BK25" i="36"/>
  <c r="CO25" i="37"/>
  <c r="CP25" i="54"/>
  <c r="CF25" i="54"/>
  <c r="CG25" i="37"/>
  <c r="CQ25" i="37"/>
  <c r="BO25" i="36"/>
  <c r="CH25" i="54"/>
  <c r="CR25" i="54"/>
  <c r="BL25" i="36"/>
  <c r="BP25" i="36"/>
  <c r="BS25" i="53"/>
  <c r="CO25" i="53"/>
  <c r="CE25" i="53"/>
  <c r="BN25" i="36"/>
  <c r="CQ25" i="53"/>
  <c r="CG25" i="53"/>
  <c r="BR25" i="36"/>
  <c r="CE25" i="54"/>
  <c r="BS25" i="54"/>
  <c r="CO25" i="54"/>
  <c r="BM25" i="36"/>
  <c r="CP25" i="37"/>
  <c r="CF25" i="37"/>
  <c r="CQ25" i="54"/>
  <c r="CG25" i="54"/>
  <c r="CR25" i="37"/>
  <c r="CH25" i="37"/>
  <c r="BQ25" i="36"/>
  <c r="CF25" i="36" l="1"/>
  <c r="CP25" i="36"/>
  <c r="CC25" i="37"/>
  <c r="CS25" i="37" s="1"/>
  <c r="CI25" i="37"/>
  <c r="CC25" i="54"/>
  <c r="CS25" i="54" s="1"/>
  <c r="CI25" i="54"/>
  <c r="CC25" i="53"/>
  <c r="CS25" i="53" s="1"/>
  <c r="CI25" i="53"/>
  <c r="CG25" i="36"/>
  <c r="CQ25" i="36"/>
  <c r="CH25" i="36"/>
  <c r="CR25" i="36"/>
  <c r="CE25" i="36"/>
  <c r="BS25" i="36"/>
  <c r="CO25" i="36"/>
  <c r="CC25" i="36" l="1"/>
  <c r="CS25" i="36" s="1"/>
  <c r="CI25" i="36"/>
  <c r="BT30" i="53" l="1"/>
  <c r="AJ30" i="53"/>
  <c r="AJ32" i="53" s="1"/>
  <c r="O30" i="54"/>
  <c r="O32" i="54" s="1"/>
  <c r="BY30" i="54"/>
  <c r="BY32" i="54" s="1"/>
  <c r="AG30" i="54"/>
  <c r="AG32" i="54" s="1"/>
  <c r="BB30" i="53"/>
  <c r="BB32" i="53" s="1"/>
  <c r="BB30" i="54"/>
  <c r="BB32" i="54" s="1"/>
  <c r="BC30" i="53"/>
  <c r="BC32" i="53" s="1"/>
  <c r="BC30" i="54"/>
  <c r="BC32" i="54" s="1"/>
  <c r="BX30" i="53"/>
  <c r="BX32" i="53" s="1"/>
  <c r="AK30" i="54"/>
  <c r="AK32" i="54" s="1"/>
  <c r="BF30" i="53"/>
  <c r="BF32" i="53" s="1"/>
  <c r="BU30" i="54"/>
  <c r="BU32" i="54" s="1"/>
  <c r="BE30" i="53"/>
  <c r="BE32" i="53" s="1"/>
  <c r="M30" i="53"/>
  <c r="M32" i="53" s="1"/>
  <c r="BE30" i="54"/>
  <c r="BE32" i="54" s="1"/>
  <c r="M30" i="54"/>
  <c r="M32" i="54" s="1"/>
  <c r="AH30" i="54"/>
  <c r="AH32" i="54" s="1"/>
  <c r="AI30" i="53"/>
  <c r="AI32" i="53" s="1"/>
  <c r="BG30" i="53"/>
  <c r="BG32" i="53" s="1"/>
  <c r="BX30" i="54"/>
  <c r="BX32" i="54" s="1"/>
  <c r="Q30" i="53"/>
  <c r="Q32" i="53" s="1"/>
  <c r="BP30" i="54"/>
  <c r="BP32" i="54" s="1"/>
  <c r="BF30" i="54"/>
  <c r="BF32" i="54" s="1"/>
  <c r="BA30" i="53"/>
  <c r="BA32" i="53" s="1"/>
  <c r="AJ30" i="54"/>
  <c r="AJ32" i="54" s="1"/>
  <c r="BZ30" i="53"/>
  <c r="BZ32" i="53" s="1"/>
  <c r="S30" i="53"/>
  <c r="S32" i="53" s="1"/>
  <c r="AH30" i="53"/>
  <c r="AH32" i="53" s="1"/>
  <c r="AK30" i="53"/>
  <c r="AK32" i="53" s="1"/>
  <c r="BZ30" i="54"/>
  <c r="BZ32" i="54" s="1"/>
  <c r="BU30" i="53"/>
  <c r="BU32" i="53" s="1"/>
  <c r="AI30" i="54"/>
  <c r="AI32" i="54" s="1"/>
  <c r="BN30" i="53"/>
  <c r="BN32" i="53" s="1"/>
  <c r="BD30" i="53"/>
  <c r="BD32" i="53" s="1"/>
  <c r="S30" i="54"/>
  <c r="S32" i="54" s="1"/>
  <c r="Q30" i="54"/>
  <c r="Q32" i="54" s="1"/>
  <c r="AL30" i="53"/>
  <c r="AL32" i="53" s="1"/>
  <c r="CA30" i="54"/>
  <c r="CA32" i="54" s="1"/>
  <c r="BA30" i="54"/>
  <c r="BA32" i="54" s="1"/>
  <c r="AM30" i="54"/>
  <c r="AM32" i="54" s="1"/>
  <c r="BV30" i="53"/>
  <c r="BV32" i="53" s="1"/>
  <c r="AM30" i="53"/>
  <c r="AM32" i="53" s="1"/>
  <c r="BW30" i="53"/>
  <c r="BW32" i="53" s="1"/>
  <c r="CA30" i="53"/>
  <c r="CA32" i="53" s="1"/>
  <c r="BW30" i="54"/>
  <c r="BW32" i="54" s="1"/>
  <c r="AR30" i="53"/>
  <c r="AR32" i="53" s="1"/>
  <c r="BG30" i="54"/>
  <c r="BG32" i="54" s="1"/>
  <c r="O30" i="53"/>
  <c r="O32" i="53" s="1"/>
  <c r="BD30" i="54"/>
  <c r="BD32" i="54" s="1"/>
  <c r="BY30" i="53"/>
  <c r="BY32" i="53" s="1"/>
  <c r="AL30" i="54"/>
  <c r="AL32" i="54" s="1"/>
  <c r="AG30" i="53"/>
  <c r="AG32" i="53" s="1"/>
  <c r="BV30" i="54"/>
  <c r="BV32" i="54" s="1"/>
  <c r="AM30" i="37" l="1"/>
  <c r="AM32" i="37" s="1"/>
  <c r="AM29" i="36"/>
  <c r="AM30" i="36" s="1"/>
  <c r="AM32" i="36" s="1"/>
  <c r="BF95" i="54"/>
  <c r="BF94" i="54"/>
  <c r="BF96" i="54"/>
  <c r="BF97" i="54"/>
  <c r="CK29" i="53"/>
  <c r="N30" i="53"/>
  <c r="P30" i="53"/>
  <c r="CL29" i="53"/>
  <c r="AL96" i="54"/>
  <c r="AL95" i="54"/>
  <c r="AL94" i="54"/>
  <c r="AL97" i="54"/>
  <c r="AG29" i="36"/>
  <c r="AG30" i="36" s="1"/>
  <c r="AG32" i="36" s="1"/>
  <c r="AG30" i="37"/>
  <c r="AG32" i="37" s="1"/>
  <c r="AH97" i="53"/>
  <c r="AH94" i="53"/>
  <c r="AH95" i="53"/>
  <c r="AH96" i="53"/>
  <c r="AF30" i="54"/>
  <c r="AN29" i="54"/>
  <c r="AL29" i="36"/>
  <c r="AL30" i="36" s="1"/>
  <c r="AL32" i="36" s="1"/>
  <c r="AL30" i="37"/>
  <c r="AL32" i="37" s="1"/>
  <c r="AH30" i="37"/>
  <c r="AH32" i="37" s="1"/>
  <c r="AH29" i="36"/>
  <c r="AH30" i="36" s="1"/>
  <c r="AH32" i="36" s="1"/>
  <c r="BF97" i="53"/>
  <c r="BF94" i="53"/>
  <c r="BF96" i="53"/>
  <c r="BF95" i="53"/>
  <c r="AZ30" i="53"/>
  <c r="BH29" i="53"/>
  <c r="BZ29" i="36"/>
  <c r="BZ30" i="36" s="1"/>
  <c r="BZ32" i="36" s="1"/>
  <c r="BZ30" i="37"/>
  <c r="BZ32" i="37" s="1"/>
  <c r="BB94" i="53"/>
  <c r="BB95" i="53"/>
  <c r="BB96" i="53"/>
  <c r="BB97" i="53"/>
  <c r="M29" i="36"/>
  <c r="M30" i="36" s="1"/>
  <c r="M32" i="36" s="1"/>
  <c r="M30" i="37"/>
  <c r="M32" i="37" s="1"/>
  <c r="CB29" i="37"/>
  <c r="BT30" i="37"/>
  <c r="BT29" i="36"/>
  <c r="AZ30" i="54"/>
  <c r="BH29" i="54"/>
  <c r="BV94" i="53"/>
  <c r="BV97" i="53"/>
  <c r="BV96" i="53"/>
  <c r="BV95" i="53"/>
  <c r="AJ95" i="54"/>
  <c r="AJ94" i="54"/>
  <c r="AJ97" i="54"/>
  <c r="AJ96" i="54"/>
  <c r="AI29" i="36"/>
  <c r="AI30" i="36" s="1"/>
  <c r="AI32" i="36" s="1"/>
  <c r="AI30" i="37"/>
  <c r="AI32" i="37" s="1"/>
  <c r="BU29" i="36"/>
  <c r="BU30" i="36" s="1"/>
  <c r="BU32" i="36" s="1"/>
  <c r="BU30" i="37"/>
  <c r="BU32" i="37" s="1"/>
  <c r="CL29" i="37"/>
  <c r="P30" i="37"/>
  <c r="P29" i="36"/>
  <c r="R30" i="53"/>
  <c r="CM29" i="53"/>
  <c r="L30" i="53"/>
  <c r="CJ29" i="53"/>
  <c r="T29" i="53"/>
  <c r="CN29" i="53" s="1"/>
  <c r="BB29" i="36"/>
  <c r="BB30" i="36" s="1"/>
  <c r="BB32" i="36" s="1"/>
  <c r="BB30" i="37"/>
  <c r="BB32" i="37" s="1"/>
  <c r="L30" i="54"/>
  <c r="T29" i="54"/>
  <c r="CJ29" i="54"/>
  <c r="CM29" i="37"/>
  <c r="R30" i="37"/>
  <c r="R29" i="36"/>
  <c r="BX29" i="36"/>
  <c r="BX30" i="36" s="1"/>
  <c r="BX32" i="36" s="1"/>
  <c r="BX30" i="37"/>
  <c r="BX32" i="37" s="1"/>
  <c r="BY30" i="37"/>
  <c r="BY32" i="37" s="1"/>
  <c r="BY29" i="36"/>
  <c r="BY30" i="36" s="1"/>
  <c r="BY32" i="36" s="1"/>
  <c r="BD96" i="53"/>
  <c r="BD97" i="53"/>
  <c r="BD94" i="53"/>
  <c r="BD95" i="53"/>
  <c r="BC30" i="37"/>
  <c r="BC32" i="37" s="1"/>
  <c r="BC29" i="36"/>
  <c r="BC30" i="36" s="1"/>
  <c r="BC32" i="36" s="1"/>
  <c r="BV30" i="37"/>
  <c r="BV32" i="37" s="1"/>
  <c r="BV29" i="36"/>
  <c r="BV30" i="36" s="1"/>
  <c r="BV32" i="36" s="1"/>
  <c r="CJ29" i="37"/>
  <c r="T29" i="37"/>
  <c r="CN29" i="37" s="1"/>
  <c r="L30" i="37"/>
  <c r="L29" i="36"/>
  <c r="BX95" i="54"/>
  <c r="BX94" i="54"/>
  <c r="BX97" i="54"/>
  <c r="BX96" i="54"/>
  <c r="BA30" i="37"/>
  <c r="BA32" i="37" s="1"/>
  <c r="BA29" i="36"/>
  <c r="BA30" i="36" s="1"/>
  <c r="BA32" i="36" s="1"/>
  <c r="AF30" i="53"/>
  <c r="AN29" i="53"/>
  <c r="Q30" i="37"/>
  <c r="Q32" i="37" s="1"/>
  <c r="Q29" i="36"/>
  <c r="Q30" i="36" s="1"/>
  <c r="Q32" i="36" s="1"/>
  <c r="BB94" i="54"/>
  <c r="BB95" i="54"/>
  <c r="BB97" i="54"/>
  <c r="BB96" i="54"/>
  <c r="CM29" i="54"/>
  <c r="R30" i="54"/>
  <c r="BW29" i="36"/>
  <c r="BW30" i="36" s="1"/>
  <c r="BW32" i="36" s="1"/>
  <c r="BW30" i="37"/>
  <c r="BW32" i="37" s="1"/>
  <c r="BE29" i="36"/>
  <c r="BE30" i="36" s="1"/>
  <c r="BE32" i="36" s="1"/>
  <c r="BE30" i="37"/>
  <c r="BE32" i="37" s="1"/>
  <c r="CB29" i="53"/>
  <c r="CA30" i="37"/>
  <c r="CA32" i="37" s="1"/>
  <c r="CA29" i="36"/>
  <c r="CA30" i="36" s="1"/>
  <c r="CA32" i="36" s="1"/>
  <c r="AJ29" i="36"/>
  <c r="AJ30" i="36" s="1"/>
  <c r="AJ32" i="36" s="1"/>
  <c r="AJ30" i="37"/>
  <c r="AJ32" i="37" s="1"/>
  <c r="AL96" i="53"/>
  <c r="AL97" i="53"/>
  <c r="AL95" i="53"/>
  <c r="AL94" i="53"/>
  <c r="CK29" i="54"/>
  <c r="N30" i="54"/>
  <c r="BF29" i="36"/>
  <c r="BF30" i="36" s="1"/>
  <c r="BF32" i="36" s="1"/>
  <c r="BF30" i="37"/>
  <c r="BF32" i="37" s="1"/>
  <c r="BT30" i="54"/>
  <c r="CB29" i="54"/>
  <c r="AJ96" i="53"/>
  <c r="AJ97" i="53"/>
  <c r="AJ95" i="53"/>
  <c r="AJ94" i="53"/>
  <c r="BV94" i="54"/>
  <c r="BV97" i="54"/>
  <c r="BV95" i="54"/>
  <c r="BV96" i="54"/>
  <c r="BZ96" i="54"/>
  <c r="BZ97" i="54"/>
  <c r="BZ95" i="54"/>
  <c r="BZ94" i="54"/>
  <c r="BD94" i="54"/>
  <c r="BD96" i="54"/>
  <c r="BD95" i="54"/>
  <c r="BD97" i="54"/>
  <c r="N29" i="36"/>
  <c r="N30" i="37"/>
  <c r="CK29" i="37"/>
  <c r="BQ30" i="37"/>
  <c r="BQ32" i="37" s="1"/>
  <c r="O29" i="36"/>
  <c r="O30" i="36" s="1"/>
  <c r="O32" i="36" s="1"/>
  <c r="O30" i="37"/>
  <c r="O32" i="37" s="1"/>
  <c r="CL29" i="54"/>
  <c r="P30" i="54"/>
  <c r="BZ96" i="53"/>
  <c r="BZ95" i="53"/>
  <c r="BZ94" i="53"/>
  <c r="BZ97" i="53"/>
  <c r="BG29" i="36"/>
  <c r="BG30" i="36" s="1"/>
  <c r="BG32" i="36" s="1"/>
  <c r="BG30" i="37"/>
  <c r="BG32" i="37" s="1"/>
  <c r="BD29" i="36"/>
  <c r="BD30" i="36" s="1"/>
  <c r="BD32" i="36" s="1"/>
  <c r="BD30" i="37"/>
  <c r="BD32" i="37" s="1"/>
  <c r="AH96" i="54"/>
  <c r="AH97" i="54"/>
  <c r="AH95" i="54"/>
  <c r="AH94" i="54"/>
  <c r="AZ30" i="37"/>
  <c r="BH29" i="37"/>
  <c r="AZ29" i="36"/>
  <c r="BX94" i="53"/>
  <c r="BX97" i="53"/>
  <c r="BX96" i="53"/>
  <c r="BX95" i="53"/>
  <c r="AN29" i="37"/>
  <c r="AF29" i="36"/>
  <c r="AF30" i="37"/>
  <c r="AK30" i="37"/>
  <c r="AK32" i="37" s="1"/>
  <c r="AK29" i="36"/>
  <c r="AK30" i="36" s="1"/>
  <c r="AK32" i="36" s="1"/>
  <c r="S30" i="37"/>
  <c r="S32" i="37" s="1"/>
  <c r="S29" i="36"/>
  <c r="S30" i="36" s="1"/>
  <c r="S32" i="36" s="1"/>
  <c r="CB30" i="53"/>
  <c r="CB32" i="53" s="1"/>
  <c r="BT32" i="53"/>
  <c r="BO30" i="53"/>
  <c r="BO32" i="53" s="1"/>
  <c r="BQ30" i="54"/>
  <c r="BQ32" i="54" s="1"/>
  <c r="BR30" i="53"/>
  <c r="BR32" i="53" s="1"/>
  <c r="AX30" i="54"/>
  <c r="AX32" i="54" s="1"/>
  <c r="AB30" i="54"/>
  <c r="AB32" i="54" s="1"/>
  <c r="AV30" i="54"/>
  <c r="AV32" i="54" s="1"/>
  <c r="AD30" i="54"/>
  <c r="AD32" i="54" s="1"/>
  <c r="BL30" i="53"/>
  <c r="BL32" i="53" s="1"/>
  <c r="AT30" i="53"/>
  <c r="AT32" i="53" s="1"/>
  <c r="F30" i="53"/>
  <c r="F32" i="53" s="1"/>
  <c r="BP30" i="53"/>
  <c r="BP32" i="53" s="1"/>
  <c r="AS30" i="53"/>
  <c r="AS32" i="53" s="1"/>
  <c r="F30" i="54"/>
  <c r="F32" i="54" s="1"/>
  <c r="AC30" i="54"/>
  <c r="AC32" i="54" s="1"/>
  <c r="AW30" i="53"/>
  <c r="AW32" i="53" s="1"/>
  <c r="D30" i="54"/>
  <c r="D32" i="54" s="1"/>
  <c r="AB30" i="53"/>
  <c r="AB32" i="53" s="1"/>
  <c r="BM30" i="53"/>
  <c r="BM32" i="53" s="1"/>
  <c r="J30" i="54"/>
  <c r="J32" i="54" s="1"/>
  <c r="AC30" i="53"/>
  <c r="AC32" i="53" s="1"/>
  <c r="BN30" i="54"/>
  <c r="BN32" i="54" s="1"/>
  <c r="BO30" i="54"/>
  <c r="BO32" i="54" s="1"/>
  <c r="AX30" i="53"/>
  <c r="AX32" i="53" s="1"/>
  <c r="BQ30" i="53"/>
  <c r="BQ32" i="53" s="1"/>
  <c r="BL30" i="54"/>
  <c r="BL32" i="54" s="1"/>
  <c r="H30" i="53"/>
  <c r="H32" i="53" s="1"/>
  <c r="Z30" i="54"/>
  <c r="Z32" i="54" s="1"/>
  <c r="H30" i="54"/>
  <c r="H32" i="54" s="1"/>
  <c r="AU30" i="54"/>
  <c r="AU32" i="54" s="1"/>
  <c r="AT30" i="54"/>
  <c r="AT32" i="54" s="1"/>
  <c r="J30" i="53"/>
  <c r="J32" i="53" s="1"/>
  <c r="X30" i="54"/>
  <c r="X32" i="54" s="1"/>
  <c r="AS30" i="54"/>
  <c r="AS32" i="54" s="1"/>
  <c r="BM30" i="54"/>
  <c r="BM32" i="54" s="1"/>
  <c r="AU30" i="53"/>
  <c r="AU32" i="53" s="1"/>
  <c r="AW30" i="54"/>
  <c r="AW32" i="54" s="1"/>
  <c r="AD30" i="53"/>
  <c r="AD32" i="53" s="1"/>
  <c r="Y30" i="54"/>
  <c r="Y32" i="54" s="1"/>
  <c r="AA30" i="54"/>
  <c r="AA32" i="54" s="1"/>
  <c r="AR30" i="54"/>
  <c r="AR32" i="54" s="1"/>
  <c r="AV30" i="53"/>
  <c r="AV32" i="53" s="1"/>
  <c r="X30" i="53"/>
  <c r="X32" i="53" s="1"/>
  <c r="Y30" i="53"/>
  <c r="Y32" i="53" s="1"/>
  <c r="BR30" i="54"/>
  <c r="BR32" i="54" s="1"/>
  <c r="Z30" i="53"/>
  <c r="Z32" i="53" s="1"/>
  <c r="D30" i="53"/>
  <c r="D32" i="53" s="1"/>
  <c r="AA30" i="53"/>
  <c r="AA32" i="53" s="1"/>
  <c r="CF29" i="54" l="1"/>
  <c r="E30" i="54"/>
  <c r="CP29" i="54"/>
  <c r="AS30" i="37"/>
  <c r="AS32" i="37" s="1"/>
  <c r="AS29" i="36"/>
  <c r="AS30" i="36" s="1"/>
  <c r="AS32" i="36" s="1"/>
  <c r="H30" i="37"/>
  <c r="H32" i="37" s="1"/>
  <c r="H29" i="36"/>
  <c r="H30" i="36" s="1"/>
  <c r="H32" i="36" s="1"/>
  <c r="Z29" i="36"/>
  <c r="Z30" i="36" s="1"/>
  <c r="Z32" i="36" s="1"/>
  <c r="Z30" i="37"/>
  <c r="Z32" i="37" s="1"/>
  <c r="C30" i="54"/>
  <c r="CE29" i="54"/>
  <c r="CO29" i="54"/>
  <c r="K29" i="54"/>
  <c r="CP29" i="53"/>
  <c r="CF29" i="53"/>
  <c r="E30" i="53"/>
  <c r="AZ32" i="37"/>
  <c r="BH30" i="37"/>
  <c r="BH32" i="37" s="1"/>
  <c r="BQ29" i="36"/>
  <c r="BQ30" i="36" s="1"/>
  <c r="BQ32" i="36" s="1"/>
  <c r="CK30" i="54"/>
  <c r="CK32" i="54" s="1"/>
  <c r="N32" i="54"/>
  <c r="AJ95" i="36"/>
  <c r="AJ97" i="36"/>
  <c r="AJ96" i="36"/>
  <c r="CM30" i="54"/>
  <c r="CM32" i="54" s="1"/>
  <c r="R32" i="54"/>
  <c r="L32" i="37"/>
  <c r="CJ30" i="37"/>
  <c r="CJ32" i="37" s="1"/>
  <c r="T30" i="37"/>
  <c r="BV95" i="37"/>
  <c r="BV96" i="37"/>
  <c r="BV97" i="37"/>
  <c r="BV94" i="37"/>
  <c r="R30" i="36"/>
  <c r="CM29" i="36"/>
  <c r="CN29" i="54"/>
  <c r="R32" i="53"/>
  <c r="CM30" i="53"/>
  <c r="CM32" i="53" s="1"/>
  <c r="CB29" i="36"/>
  <c r="BT30" i="36"/>
  <c r="CP29" i="37"/>
  <c r="CF29" i="37"/>
  <c r="E30" i="37"/>
  <c r="E29" i="36"/>
  <c r="BP29" i="36"/>
  <c r="BP30" i="36" s="1"/>
  <c r="BP32" i="36" s="1"/>
  <c r="BP30" i="37"/>
  <c r="BP32" i="37" s="1"/>
  <c r="BO29" i="36"/>
  <c r="BO30" i="36" s="1"/>
  <c r="BO32" i="36" s="1"/>
  <c r="BO30" i="37"/>
  <c r="BO32" i="37" s="1"/>
  <c r="AN30" i="37"/>
  <c r="AN32" i="37" s="1"/>
  <c r="AF32" i="37"/>
  <c r="BT32" i="54"/>
  <c r="CB30" i="54"/>
  <c r="CB32" i="54" s="1"/>
  <c r="CM30" i="37"/>
  <c r="CM32" i="37" s="1"/>
  <c r="R32" i="37"/>
  <c r="L32" i="54"/>
  <c r="CJ30" i="54"/>
  <c r="CJ32" i="54" s="1"/>
  <c r="T30" i="54"/>
  <c r="CL29" i="36"/>
  <c r="P30" i="36"/>
  <c r="CB30" i="37"/>
  <c r="CB32" i="37" s="1"/>
  <c r="BT32" i="37"/>
  <c r="BH30" i="53"/>
  <c r="BH32" i="53" s="1"/>
  <c r="AZ32" i="53"/>
  <c r="AL96" i="37"/>
  <c r="AL97" i="37"/>
  <c r="AL94" i="37"/>
  <c r="AL95" i="37"/>
  <c r="AQ30" i="54"/>
  <c r="AY29" i="54"/>
  <c r="BI29" i="54" s="1"/>
  <c r="W29" i="36"/>
  <c r="W30" i="37"/>
  <c r="AE29" i="37"/>
  <c r="AO29" i="37" s="1"/>
  <c r="AV29" i="36"/>
  <c r="AV30" i="36" s="1"/>
  <c r="AV32" i="36" s="1"/>
  <c r="AV30" i="37"/>
  <c r="AV32" i="37" s="1"/>
  <c r="Y30" i="37"/>
  <c r="Y32" i="37" s="1"/>
  <c r="Y29" i="36"/>
  <c r="Y30" i="36" s="1"/>
  <c r="Y32" i="36" s="1"/>
  <c r="G30" i="37"/>
  <c r="CQ29" i="37"/>
  <c r="CG29" i="37"/>
  <c r="G29" i="36"/>
  <c r="BM29" i="36"/>
  <c r="BM30" i="36" s="1"/>
  <c r="BM32" i="36" s="1"/>
  <c r="BM30" i="37"/>
  <c r="BM32" i="37" s="1"/>
  <c r="AX30" i="37"/>
  <c r="AX32" i="37" s="1"/>
  <c r="AX29" i="36"/>
  <c r="AX30" i="36" s="1"/>
  <c r="AX32" i="36" s="1"/>
  <c r="X30" i="37"/>
  <c r="X32" i="37" s="1"/>
  <c r="X29" i="36"/>
  <c r="X30" i="36" s="1"/>
  <c r="X32" i="36" s="1"/>
  <c r="AW30" i="37"/>
  <c r="AW32" i="37" s="1"/>
  <c r="AW29" i="36"/>
  <c r="AW30" i="36" s="1"/>
  <c r="AW32" i="36" s="1"/>
  <c r="AF30" i="36"/>
  <c r="AN29" i="36"/>
  <c r="AZ30" i="36"/>
  <c r="BH29" i="36"/>
  <c r="BD95" i="37"/>
  <c r="BD97" i="37"/>
  <c r="BD96" i="37"/>
  <c r="BD94" i="37"/>
  <c r="CK30" i="37"/>
  <c r="CK32" i="37" s="1"/>
  <c r="N32" i="37"/>
  <c r="BF94" i="37"/>
  <c r="BF97" i="37"/>
  <c r="BF96" i="37"/>
  <c r="BF95" i="37"/>
  <c r="AN30" i="53"/>
  <c r="AN32" i="53" s="1"/>
  <c r="AF32" i="53"/>
  <c r="BX96" i="37"/>
  <c r="BX95" i="37"/>
  <c r="BX97" i="37"/>
  <c r="BX94" i="37"/>
  <c r="CN32" i="37"/>
  <c r="BB94" i="37"/>
  <c r="BB95" i="37"/>
  <c r="BB96" i="37"/>
  <c r="BB97" i="37"/>
  <c r="T30" i="53"/>
  <c r="CJ30" i="53"/>
  <c r="CJ32" i="53" s="1"/>
  <c r="L32" i="53"/>
  <c r="CL30" i="37"/>
  <c r="CL32" i="37" s="1"/>
  <c r="P32" i="37"/>
  <c r="BZ97" i="37"/>
  <c r="BZ94" i="37"/>
  <c r="BZ96" i="37"/>
  <c r="BZ95" i="37"/>
  <c r="AL97" i="36"/>
  <c r="AL96" i="36"/>
  <c r="AL95" i="36"/>
  <c r="CL30" i="53"/>
  <c r="CL32" i="53" s="1"/>
  <c r="P32" i="53"/>
  <c r="AR30" i="37"/>
  <c r="AR32" i="37" s="1"/>
  <c r="AR29" i="36"/>
  <c r="AR30" i="36" s="1"/>
  <c r="AR32" i="36" s="1"/>
  <c r="AD30" i="37"/>
  <c r="AD32" i="37" s="1"/>
  <c r="AD29" i="36"/>
  <c r="AD30" i="36" s="1"/>
  <c r="AD32" i="36" s="1"/>
  <c r="C30" i="53"/>
  <c r="CE29" i="53"/>
  <c r="CO29" i="53"/>
  <c r="K29" i="53"/>
  <c r="BS29" i="53"/>
  <c r="CC29" i="53" s="1"/>
  <c r="BK30" i="53"/>
  <c r="AT30" i="37"/>
  <c r="AT32" i="37" s="1"/>
  <c r="AT29" i="36"/>
  <c r="AT30" i="36" s="1"/>
  <c r="AT32" i="36" s="1"/>
  <c r="AA30" i="37"/>
  <c r="AA32" i="37" s="1"/>
  <c r="AA29" i="36"/>
  <c r="AA30" i="36" s="1"/>
  <c r="AA32" i="36" s="1"/>
  <c r="D29" i="36"/>
  <c r="D30" i="36" s="1"/>
  <c r="D32" i="36" s="1"/>
  <c r="D30" i="37"/>
  <c r="D32" i="37" s="1"/>
  <c r="J30" i="37"/>
  <c r="J32" i="37" s="1"/>
  <c r="J29" i="36"/>
  <c r="J30" i="36" s="1"/>
  <c r="J32" i="36" s="1"/>
  <c r="AH95" i="37"/>
  <c r="AH96" i="37"/>
  <c r="AH94" i="37"/>
  <c r="AH97" i="37"/>
  <c r="AF32" i="54"/>
  <c r="AN30" i="54"/>
  <c r="AN32" i="54" s="1"/>
  <c r="W30" i="54"/>
  <c r="AE29" i="54"/>
  <c r="AO29" i="54" s="1"/>
  <c r="BR29" i="36"/>
  <c r="BR30" i="36" s="1"/>
  <c r="BR32" i="36" s="1"/>
  <c r="BR30" i="37"/>
  <c r="BR32" i="37" s="1"/>
  <c r="BL29" i="36"/>
  <c r="BL30" i="36" s="1"/>
  <c r="BL32" i="36" s="1"/>
  <c r="BL30" i="37"/>
  <c r="BL32" i="37" s="1"/>
  <c r="BK29" i="36"/>
  <c r="BS29" i="37"/>
  <c r="CC29" i="37" s="1"/>
  <c r="BK30" i="37"/>
  <c r="BN29" i="36"/>
  <c r="BN30" i="36" s="1"/>
  <c r="BN32" i="36" s="1"/>
  <c r="BN30" i="37"/>
  <c r="BN32" i="37" s="1"/>
  <c r="CG29" i="53"/>
  <c r="CQ29" i="53"/>
  <c r="G30" i="53"/>
  <c r="AY29" i="37"/>
  <c r="BI29" i="37" s="1"/>
  <c r="AQ30" i="37"/>
  <c r="AQ29" i="36"/>
  <c r="W30" i="53"/>
  <c r="AE29" i="53"/>
  <c r="AO29" i="53" s="1"/>
  <c r="AU29" i="36"/>
  <c r="AU30" i="36" s="1"/>
  <c r="AU32" i="36" s="1"/>
  <c r="AU30" i="37"/>
  <c r="AU32" i="37" s="1"/>
  <c r="F30" i="37"/>
  <c r="F32" i="37" s="1"/>
  <c r="F29" i="36"/>
  <c r="F30" i="36" s="1"/>
  <c r="F32" i="36" s="1"/>
  <c r="C29" i="36"/>
  <c r="CE29" i="37"/>
  <c r="C30" i="37"/>
  <c r="CO29" i="37"/>
  <c r="K29" i="37"/>
  <c r="AB30" i="37"/>
  <c r="AB32" i="37" s="1"/>
  <c r="AB29" i="36"/>
  <c r="AB30" i="36" s="1"/>
  <c r="AB32" i="36" s="1"/>
  <c r="CR29" i="37"/>
  <c r="I29" i="36"/>
  <c r="CH29" i="37"/>
  <c r="I30" i="37"/>
  <c r="AC29" i="36"/>
  <c r="AC30" i="36" s="1"/>
  <c r="AC32" i="36" s="1"/>
  <c r="AC30" i="37"/>
  <c r="AC32" i="37" s="1"/>
  <c r="CQ29" i="54"/>
  <c r="G30" i="54"/>
  <c r="CG29" i="54"/>
  <c r="CH29" i="53"/>
  <c r="CR29" i="53"/>
  <c r="I30" i="53"/>
  <c r="AQ30" i="53"/>
  <c r="AY29" i="53"/>
  <c r="BI29" i="53" s="1"/>
  <c r="CR29" i="54"/>
  <c r="CH29" i="54"/>
  <c r="I30" i="54"/>
  <c r="BS29" i="54"/>
  <c r="CC29" i="54" s="1"/>
  <c r="BK30" i="54"/>
  <c r="BT97" i="53"/>
  <c r="BT95" i="53"/>
  <c r="BT96" i="53"/>
  <c r="BT94" i="53"/>
  <c r="BD97" i="36"/>
  <c r="BD96" i="36"/>
  <c r="BD95" i="36"/>
  <c r="CL30" i="54"/>
  <c r="CL32" i="54" s="1"/>
  <c r="P32" i="54"/>
  <c r="CK29" i="36"/>
  <c r="N30" i="36"/>
  <c r="BF96" i="36"/>
  <c r="BF97" i="36"/>
  <c r="BF95" i="36"/>
  <c r="AJ94" i="37"/>
  <c r="AJ96" i="37"/>
  <c r="AJ95" i="37"/>
  <c r="AJ97" i="37"/>
  <c r="T29" i="36"/>
  <c r="CJ29" i="36"/>
  <c r="L30" i="36"/>
  <c r="BV96" i="36"/>
  <c r="BV95" i="36"/>
  <c r="BV97" i="36"/>
  <c r="BX95" i="36"/>
  <c r="BX96" i="36"/>
  <c r="BX97" i="36"/>
  <c r="BB97" i="36"/>
  <c r="BB96" i="36"/>
  <c r="BB95" i="36"/>
  <c r="BH30" i="54"/>
  <c r="BH32" i="54" s="1"/>
  <c r="AZ32" i="54"/>
  <c r="BZ97" i="36"/>
  <c r="BZ95" i="36"/>
  <c r="BZ96" i="36"/>
  <c r="AH95" i="36"/>
  <c r="AH97" i="36"/>
  <c r="AH96" i="36"/>
  <c r="CK30" i="53"/>
  <c r="CK32" i="53" s="1"/>
  <c r="N32" i="53"/>
  <c r="N94" i="53" l="1"/>
  <c r="N97" i="53"/>
  <c r="N96" i="53"/>
  <c r="N95" i="53"/>
  <c r="I32" i="54"/>
  <c r="CH30" i="54"/>
  <c r="CH32" i="54" s="1"/>
  <c r="CR30" i="54"/>
  <c r="CR32" i="54" s="1"/>
  <c r="BS29" i="36"/>
  <c r="CC29" i="36" s="1"/>
  <c r="BK30" i="36"/>
  <c r="AE29" i="36"/>
  <c r="AO29" i="36" s="1"/>
  <c r="W30" i="36"/>
  <c r="BT96" i="54"/>
  <c r="BT95" i="54"/>
  <c r="BT94" i="54"/>
  <c r="BT97" i="54"/>
  <c r="T30" i="36"/>
  <c r="CJ30" i="36"/>
  <c r="CJ32" i="36" s="1"/>
  <c r="L32" i="36"/>
  <c r="CH30" i="53"/>
  <c r="CH32" i="53" s="1"/>
  <c r="CR30" i="53"/>
  <c r="CR32" i="53" s="1"/>
  <c r="I32" i="53"/>
  <c r="CQ30" i="54"/>
  <c r="CQ32" i="54" s="1"/>
  <c r="CG30" i="54"/>
  <c r="CG32" i="54" s="1"/>
  <c r="G32" i="54"/>
  <c r="CR30" i="37"/>
  <c r="CR32" i="37" s="1"/>
  <c r="CH30" i="37"/>
  <c r="CH32" i="37" s="1"/>
  <c r="I32" i="37"/>
  <c r="CN96" i="37"/>
  <c r="CN95" i="37"/>
  <c r="CN94" i="37"/>
  <c r="CN97" i="37"/>
  <c r="AY30" i="53"/>
  <c r="AQ32" i="53"/>
  <c r="CI29" i="53"/>
  <c r="U29" i="53"/>
  <c r="CS29" i="53" s="1"/>
  <c r="P97" i="53"/>
  <c r="P95" i="53"/>
  <c r="P96" i="53"/>
  <c r="P94" i="53"/>
  <c r="CN32" i="53"/>
  <c r="AZ94" i="53"/>
  <c r="AZ95" i="53"/>
  <c r="AZ96" i="53"/>
  <c r="AZ97" i="53"/>
  <c r="L94" i="54"/>
  <c r="L95" i="54"/>
  <c r="L97" i="54"/>
  <c r="L96" i="54"/>
  <c r="CP30" i="37"/>
  <c r="CP32" i="37" s="1"/>
  <c r="E32" i="37"/>
  <c r="CF30" i="37"/>
  <c r="CF32" i="37" s="1"/>
  <c r="AZ95" i="37"/>
  <c r="AZ97" i="37"/>
  <c r="AZ96" i="37"/>
  <c r="AZ94" i="37"/>
  <c r="CF30" i="53"/>
  <c r="CF32" i="53" s="1"/>
  <c r="CP30" i="53"/>
  <c r="CP32" i="53" s="1"/>
  <c r="E32" i="53"/>
  <c r="R32" i="36"/>
  <c r="CM30" i="36"/>
  <c r="CM32" i="36" s="1"/>
  <c r="BS30" i="37"/>
  <c r="BK32" i="37"/>
  <c r="W32" i="54"/>
  <c r="AE30" i="54"/>
  <c r="BK32" i="53"/>
  <c r="BS30" i="53"/>
  <c r="CQ29" i="36"/>
  <c r="CG29" i="36"/>
  <c r="G30" i="36"/>
  <c r="AQ32" i="54"/>
  <c r="AY30" i="54"/>
  <c r="BT97" i="37"/>
  <c r="BT96" i="37"/>
  <c r="BT95" i="37"/>
  <c r="BT94" i="37"/>
  <c r="CN30" i="54"/>
  <c r="T32" i="54"/>
  <c r="R94" i="53"/>
  <c r="R95" i="53"/>
  <c r="R96" i="53"/>
  <c r="R97" i="53"/>
  <c r="R95" i="54"/>
  <c r="R94" i="54"/>
  <c r="R96" i="54"/>
  <c r="R97" i="54"/>
  <c r="K30" i="54"/>
  <c r="CE30" i="54"/>
  <c r="CE32" i="54" s="1"/>
  <c r="C32" i="54"/>
  <c r="CO30" i="54"/>
  <c r="CO32" i="54" s="1"/>
  <c r="CP30" i="54"/>
  <c r="CP32" i="54" s="1"/>
  <c r="E32" i="54"/>
  <c r="CF30" i="54"/>
  <c r="CF32" i="54" s="1"/>
  <c r="AF96" i="54"/>
  <c r="AF95" i="54"/>
  <c r="AF97" i="54"/>
  <c r="AF94" i="54"/>
  <c r="CL30" i="36"/>
  <c r="CL32" i="36" s="1"/>
  <c r="P32" i="36"/>
  <c r="N95" i="54"/>
  <c r="N94" i="54"/>
  <c r="N96" i="54"/>
  <c r="N97" i="54"/>
  <c r="N32" i="36"/>
  <c r="CK30" i="36"/>
  <c r="CK32" i="36" s="1"/>
  <c r="CO30" i="37"/>
  <c r="CO32" i="37" s="1"/>
  <c r="C32" i="37"/>
  <c r="CE30" i="37"/>
  <c r="CE32" i="37" s="1"/>
  <c r="K30" i="37"/>
  <c r="W32" i="53"/>
  <c r="AE30" i="53"/>
  <c r="CQ30" i="53"/>
  <c r="CQ32" i="53" s="1"/>
  <c r="G32" i="53"/>
  <c r="CG30" i="53"/>
  <c r="CG32" i="53" s="1"/>
  <c r="L96" i="53"/>
  <c r="L95" i="53"/>
  <c r="L97" i="53"/>
  <c r="L94" i="53"/>
  <c r="AF32" i="36"/>
  <c r="AN30" i="36"/>
  <c r="AN32" i="36" s="1"/>
  <c r="CG30" i="37"/>
  <c r="CG32" i="37" s="1"/>
  <c r="CQ30" i="37"/>
  <c r="CQ32" i="37" s="1"/>
  <c r="G32" i="37"/>
  <c r="R95" i="37"/>
  <c r="R96" i="37"/>
  <c r="R94" i="37"/>
  <c r="R97" i="37"/>
  <c r="AF94" i="37"/>
  <c r="AF96" i="37"/>
  <c r="AF97" i="37"/>
  <c r="AF95" i="37"/>
  <c r="L97" i="37"/>
  <c r="L94" i="37"/>
  <c r="L95" i="37"/>
  <c r="L96" i="37"/>
  <c r="AZ94" i="54"/>
  <c r="AZ97" i="54"/>
  <c r="AZ96" i="54"/>
  <c r="AZ95" i="54"/>
  <c r="BS30" i="54"/>
  <c r="BK32" i="54"/>
  <c r="AY29" i="36"/>
  <c r="BI29" i="36" s="1"/>
  <c r="AQ30" i="36"/>
  <c r="CN29" i="36"/>
  <c r="P95" i="54"/>
  <c r="P94" i="54"/>
  <c r="P96" i="54"/>
  <c r="P97" i="54"/>
  <c r="CN32" i="54"/>
  <c r="CH29" i="36"/>
  <c r="CR29" i="36"/>
  <c r="I30" i="36"/>
  <c r="U29" i="37"/>
  <c r="CS29" i="37" s="1"/>
  <c r="CI29" i="37"/>
  <c r="CE29" i="36"/>
  <c r="C30" i="36"/>
  <c r="CO29" i="36"/>
  <c r="K29" i="36"/>
  <c r="AQ32" i="37"/>
  <c r="AY30" i="37"/>
  <c r="CE30" i="53"/>
  <c r="CE32" i="53" s="1"/>
  <c r="CO30" i="53"/>
  <c r="CO32" i="53" s="1"/>
  <c r="K30" i="53"/>
  <c r="C32" i="53"/>
  <c r="P96" i="37"/>
  <c r="P94" i="37"/>
  <c r="P95" i="37"/>
  <c r="P97" i="37"/>
  <c r="CN30" i="53"/>
  <c r="T32" i="53"/>
  <c r="AF94" i="53"/>
  <c r="AF97" i="53"/>
  <c r="AF95" i="53"/>
  <c r="AF96" i="53"/>
  <c r="N95" i="37"/>
  <c r="N97" i="37"/>
  <c r="N94" i="37"/>
  <c r="N96" i="37"/>
  <c r="BH30" i="36"/>
  <c r="BH32" i="36" s="1"/>
  <c r="AZ32" i="36"/>
  <c r="AE30" i="37"/>
  <c r="W32" i="37"/>
  <c r="E30" i="36"/>
  <c r="CF29" i="36"/>
  <c r="CP29" i="36"/>
  <c r="CB30" i="36"/>
  <c r="CB32" i="36" s="1"/>
  <c r="BT32" i="36"/>
  <c r="CN30" i="37"/>
  <c r="T32" i="37"/>
  <c r="U29" i="54"/>
  <c r="CS29" i="54" s="1"/>
  <c r="CI29" i="54"/>
  <c r="BT95" i="36" l="1"/>
  <c r="BT97" i="36"/>
  <c r="BT96" i="36"/>
  <c r="BT94" i="36"/>
  <c r="AO30" i="37"/>
  <c r="AO32" i="37" s="1"/>
  <c r="AE32" i="37"/>
  <c r="AE32" i="53"/>
  <c r="AO30" i="53"/>
  <c r="AO32" i="53" s="1"/>
  <c r="CC30" i="53"/>
  <c r="BS32" i="53"/>
  <c r="AZ96" i="36"/>
  <c r="AZ95" i="36"/>
  <c r="AZ94" i="36"/>
  <c r="AZ97" i="36"/>
  <c r="CI30" i="53"/>
  <c r="U30" i="53"/>
  <c r="U32" i="53" s="1"/>
  <c r="K32" i="53"/>
  <c r="CI29" i="36"/>
  <c r="U29" i="36"/>
  <c r="CS29" i="36" s="1"/>
  <c r="P97" i="36"/>
  <c r="P96" i="36"/>
  <c r="P95" i="36"/>
  <c r="CN32" i="36"/>
  <c r="CQ30" i="36"/>
  <c r="CQ32" i="36" s="1"/>
  <c r="CG30" i="36"/>
  <c r="CG32" i="36" s="1"/>
  <c r="G32" i="36"/>
  <c r="CC30" i="37"/>
  <c r="BS32" i="37"/>
  <c r="CN94" i="53"/>
  <c r="CN97" i="53"/>
  <c r="CN95" i="53"/>
  <c r="CN96" i="53"/>
  <c r="L94" i="36"/>
  <c r="L96" i="36"/>
  <c r="L97" i="36"/>
  <c r="L95" i="36"/>
  <c r="AE30" i="36"/>
  <c r="W32" i="36"/>
  <c r="CP30" i="36"/>
  <c r="CP32" i="36" s="1"/>
  <c r="CF30" i="36"/>
  <c r="CF32" i="36" s="1"/>
  <c r="E32" i="36"/>
  <c r="AY30" i="36"/>
  <c r="AQ32" i="36"/>
  <c r="CN97" i="54"/>
  <c r="CN96" i="54"/>
  <c r="CN94" i="54"/>
  <c r="CN95" i="54"/>
  <c r="K32" i="37"/>
  <c r="U30" i="37"/>
  <c r="U32" i="37" s="1"/>
  <c r="CI30" i="37"/>
  <c r="CI30" i="54"/>
  <c r="K32" i="54"/>
  <c r="U30" i="54"/>
  <c r="U32" i="54" s="1"/>
  <c r="AE32" i="54"/>
  <c r="AO30" i="54"/>
  <c r="AO32" i="54" s="1"/>
  <c r="AY32" i="53"/>
  <c r="BI30" i="53"/>
  <c r="BI32" i="53" s="1"/>
  <c r="BS30" i="36"/>
  <c r="BK32" i="36"/>
  <c r="AY32" i="37"/>
  <c r="BI30" i="37"/>
  <c r="BI32" i="37" s="1"/>
  <c r="C32" i="36"/>
  <c r="CE30" i="36"/>
  <c r="CE32" i="36" s="1"/>
  <c r="CO30" i="36"/>
  <c r="CO32" i="36" s="1"/>
  <c r="K30" i="36"/>
  <c r="I32" i="36"/>
  <c r="CH30" i="36"/>
  <c r="CH32" i="36" s="1"/>
  <c r="CR30" i="36"/>
  <c r="CR32" i="36" s="1"/>
  <c r="CC30" i="54"/>
  <c r="BS32" i="54"/>
  <c r="AF95" i="36"/>
  <c r="AF97" i="36"/>
  <c r="AF96" i="36"/>
  <c r="AF94" i="36"/>
  <c r="N95" i="36"/>
  <c r="N96" i="36"/>
  <c r="N97" i="36"/>
  <c r="AY32" i="54"/>
  <c r="BI30" i="54"/>
  <c r="BI32" i="54" s="1"/>
  <c r="R97" i="36"/>
  <c r="R95" i="36"/>
  <c r="R96" i="36"/>
  <c r="CN30" i="36"/>
  <c r="T32" i="36"/>
  <c r="CI32" i="54" l="1"/>
  <c r="AO30" i="36"/>
  <c r="AO32" i="36" s="1"/>
  <c r="AE32" i="36"/>
  <c r="CI32" i="37"/>
  <c r="CS30" i="54"/>
  <c r="CC32" i="54"/>
  <c r="K32" i="36"/>
  <c r="U30" i="36"/>
  <c r="U32" i="36" s="1"/>
  <c r="CI30" i="36"/>
  <c r="CC30" i="36"/>
  <c r="BS32" i="36"/>
  <c r="CS30" i="37"/>
  <c r="CC32" i="37"/>
  <c r="D22" i="6"/>
  <c r="D36" i="6"/>
  <c r="CI32" i="53"/>
  <c r="E36" i="6"/>
  <c r="E22" i="6"/>
  <c r="B22" i="6"/>
  <c r="B36" i="6"/>
  <c r="AY32" i="36"/>
  <c r="BI30" i="36"/>
  <c r="BI32" i="36" s="1"/>
  <c r="C22" i="6"/>
  <c r="C36" i="6"/>
  <c r="CN97" i="36"/>
  <c r="CN94" i="36"/>
  <c r="CN96" i="36"/>
  <c r="CN95" i="36"/>
  <c r="CS30" i="53"/>
  <c r="CC32" i="53"/>
  <c r="CI32" i="36" l="1"/>
  <c r="CS32" i="53"/>
  <c r="CS32" i="37"/>
  <c r="CS30" i="36"/>
  <c r="CC32" i="36"/>
  <c r="CS32" i="54"/>
  <c r="CS32" i="36" l="1"/>
  <c r="AR71" i="36" l="1"/>
  <c r="D71" i="36"/>
  <c r="M81" i="36"/>
  <c r="M88" i="54"/>
  <c r="M71" i="36"/>
  <c r="BF73" i="54"/>
  <c r="BZ73" i="53"/>
  <c r="AL86" i="36"/>
  <c r="AD71" i="36"/>
  <c r="S71" i="36"/>
  <c r="AD86" i="36"/>
  <c r="BQ71" i="36"/>
  <c r="AJ73" i="53"/>
  <c r="BX73" i="54"/>
  <c r="AJ71" i="36"/>
  <c r="BD71" i="36"/>
  <c r="Q73" i="54"/>
  <c r="AV71" i="36"/>
  <c r="BO71" i="36"/>
  <c r="BE73" i="54"/>
  <c r="AU71" i="36"/>
  <c r="H71" i="36"/>
  <c r="BE71" i="36"/>
  <c r="AK73" i="53"/>
  <c r="BP88" i="53"/>
  <c r="BV73" i="53"/>
  <c r="AH71" i="36"/>
  <c r="AI71" i="36"/>
  <c r="BC81" i="36"/>
  <c r="BM73" i="54"/>
  <c r="F73" i="54"/>
  <c r="AT71" i="36"/>
  <c r="BN73" i="54"/>
  <c r="Y88" i="53"/>
  <c r="Y81" i="36"/>
  <c r="Z73" i="54" l="1"/>
  <c r="AH73" i="54"/>
  <c r="AB71" i="36"/>
  <c r="Q71" i="36"/>
  <c r="AL73" i="53"/>
  <c r="AL73" i="54"/>
  <c r="Q73" i="53"/>
  <c r="Q95" i="53" s="1"/>
  <c r="AL71" i="36"/>
  <c r="O88" i="53"/>
  <c r="BB81" i="36"/>
  <c r="AH88" i="54"/>
  <c r="AH90" i="54" s="1"/>
  <c r="AH92" i="54" s="1"/>
  <c r="AK81" i="36"/>
  <c r="BY81" i="36"/>
  <c r="AB88" i="53"/>
  <c r="AU88" i="54"/>
  <c r="AU81" i="36"/>
  <c r="AM81" i="36"/>
  <c r="J88" i="53"/>
  <c r="BG81" i="36"/>
  <c r="S88" i="53"/>
  <c r="S97" i="53" s="1"/>
  <c r="BZ81" i="36"/>
  <c r="X81" i="36"/>
  <c r="BL81" i="36"/>
  <c r="AE81" i="54"/>
  <c r="BH81" i="53"/>
  <c r="Z81" i="36"/>
  <c r="AH81" i="36"/>
  <c r="S88" i="54"/>
  <c r="S97" i="54" s="1"/>
  <c r="S81" i="36"/>
  <c r="AW81" i="36"/>
  <c r="BC86" i="36"/>
  <c r="AS86" i="36"/>
  <c r="F88" i="54"/>
  <c r="F97" i="54" s="1"/>
  <c r="BB88" i="54"/>
  <c r="BY86" i="36"/>
  <c r="AK88" i="53"/>
  <c r="AK97" i="53" s="1"/>
  <c r="AU86" i="36"/>
  <c r="BO86" i="36"/>
  <c r="AB88" i="54"/>
  <c r="AB97" i="54" s="1"/>
  <c r="H86" i="36"/>
  <c r="AJ88" i="54"/>
  <c r="BX86" i="36"/>
  <c r="BD88" i="54"/>
  <c r="BG86" i="36"/>
  <c r="BQ86" i="36"/>
  <c r="AW88" i="54"/>
  <c r="BF88" i="53"/>
  <c r="BL88" i="54"/>
  <c r="BL97" i="54" s="1"/>
  <c r="X86" i="36"/>
  <c r="BS86" i="53"/>
  <c r="BW88" i="54"/>
  <c r="BW97" i="54" s="1"/>
  <c r="BC88" i="53"/>
  <c r="BC97" i="53" s="1"/>
  <c r="AK88" i="54"/>
  <c r="X88" i="54"/>
  <c r="F86" i="36"/>
  <c r="BG88" i="54"/>
  <c r="BY88" i="53"/>
  <c r="AK86" i="36"/>
  <c r="AA88" i="53"/>
  <c r="AW86" i="36"/>
  <c r="AR88" i="54"/>
  <c r="D88" i="54"/>
  <c r="D86" i="36"/>
  <c r="O97" i="53"/>
  <c r="CF81" i="54"/>
  <c r="CP81" i="54"/>
  <c r="BN96" i="54"/>
  <c r="BN95" i="54"/>
  <c r="BW79" i="36"/>
  <c r="BW88" i="37"/>
  <c r="AT73" i="37"/>
  <c r="AT69" i="36"/>
  <c r="AT73" i="36" s="1"/>
  <c r="BM88" i="37"/>
  <c r="BM79" i="36"/>
  <c r="F90" i="54"/>
  <c r="F92" i="54" s="1"/>
  <c r="F94" i="54" s="1"/>
  <c r="Y73" i="37"/>
  <c r="Y69" i="36"/>
  <c r="AH79" i="36"/>
  <c r="AH88" i="37"/>
  <c r="BB90" i="54"/>
  <c r="BB92" i="54" s="1"/>
  <c r="CK71" i="54"/>
  <c r="CK79" i="37"/>
  <c r="N79" i="36"/>
  <c r="N88" i="37"/>
  <c r="BO79" i="36"/>
  <c r="BO88" i="37"/>
  <c r="AB97" i="53"/>
  <c r="CG86" i="53"/>
  <c r="CQ86" i="53"/>
  <c r="BE88" i="37"/>
  <c r="BE79" i="36"/>
  <c r="CQ81" i="37"/>
  <c r="CG81" i="37"/>
  <c r="G81" i="36"/>
  <c r="AJ69" i="36"/>
  <c r="AJ73" i="36" s="1"/>
  <c r="AJ73" i="37"/>
  <c r="AC79" i="36"/>
  <c r="AC88" i="37"/>
  <c r="CH86" i="53"/>
  <c r="CR86" i="53"/>
  <c r="AX79" i="36"/>
  <c r="AX88" i="37"/>
  <c r="AW97" i="54"/>
  <c r="CR81" i="54"/>
  <c r="CH81" i="54"/>
  <c r="R69" i="36"/>
  <c r="R73" i="37"/>
  <c r="AE86" i="53"/>
  <c r="BL88" i="37"/>
  <c r="BL79" i="36"/>
  <c r="BS86" i="54"/>
  <c r="CB81" i="53"/>
  <c r="BH86" i="54"/>
  <c r="AF88" i="53"/>
  <c r="AN79" i="53"/>
  <c r="T79" i="54"/>
  <c r="CJ79" i="54"/>
  <c r="L88" i="54"/>
  <c r="CJ81" i="53"/>
  <c r="T81" i="53"/>
  <c r="CB81" i="37"/>
  <c r="BT81" i="36"/>
  <c r="L86" i="36"/>
  <c r="T86" i="37"/>
  <c r="CJ86" i="37"/>
  <c r="AS71" i="36"/>
  <c r="AT73" i="54"/>
  <c r="BN73" i="53"/>
  <c r="F88" i="37"/>
  <c r="F79" i="36"/>
  <c r="CF71" i="54"/>
  <c r="CP71" i="54"/>
  <c r="Y73" i="53"/>
  <c r="BM71" i="36"/>
  <c r="Y79" i="36"/>
  <c r="Y88" i="37"/>
  <c r="AI88" i="54"/>
  <c r="BW86" i="36"/>
  <c r="AI79" i="36"/>
  <c r="AI88" i="37"/>
  <c r="N73" i="53"/>
  <c r="N86" i="36"/>
  <c r="CK86" i="37"/>
  <c r="BV73" i="54"/>
  <c r="N71" i="36"/>
  <c r="CK71" i="37"/>
  <c r="BB73" i="54"/>
  <c r="CK86" i="53"/>
  <c r="BV88" i="53"/>
  <c r="BV90" i="53" s="1"/>
  <c r="BV92" i="53" s="1"/>
  <c r="CK86" i="54"/>
  <c r="BB88" i="53"/>
  <c r="AK97" i="54"/>
  <c r="BP97" i="53"/>
  <c r="Q73" i="37"/>
  <c r="Q69" i="36"/>
  <c r="AU79" i="36"/>
  <c r="AU88" i="36" s="1"/>
  <c r="AU88" i="37"/>
  <c r="G88" i="54"/>
  <c r="G97" i="54" s="1"/>
  <c r="CQ79" i="54"/>
  <c r="CG79" i="54"/>
  <c r="AK69" i="36"/>
  <c r="AK73" i="37"/>
  <c r="G79" i="36"/>
  <c r="CQ79" i="37"/>
  <c r="CG79" i="37"/>
  <c r="G88" i="37"/>
  <c r="G97" i="37" s="1"/>
  <c r="AV81" i="36"/>
  <c r="AA88" i="54"/>
  <c r="AA81" i="36"/>
  <c r="Q88" i="54"/>
  <c r="BE69" i="36"/>
  <c r="BE73" i="36" s="1"/>
  <c r="BE73" i="37"/>
  <c r="CG86" i="54"/>
  <c r="CQ86" i="54"/>
  <c r="CQ86" i="37"/>
  <c r="CG86" i="37"/>
  <c r="G86" i="36"/>
  <c r="H88" i="53"/>
  <c r="AB86" i="36"/>
  <c r="AU88" i="53"/>
  <c r="BY73" i="54"/>
  <c r="BE86" i="36"/>
  <c r="BP88" i="54"/>
  <c r="AV88" i="37"/>
  <c r="AV79" i="36"/>
  <c r="H79" i="36"/>
  <c r="H88" i="37"/>
  <c r="AJ79" i="36"/>
  <c r="AJ88" i="37"/>
  <c r="CL81" i="54"/>
  <c r="AJ73" i="54"/>
  <c r="AJ90" i="54" s="1"/>
  <c r="AJ92" i="54" s="1"/>
  <c r="BX73" i="53"/>
  <c r="BX69" i="36"/>
  <c r="BX73" i="37"/>
  <c r="BD73" i="37"/>
  <c r="BD69" i="36"/>
  <c r="BD73" i="36" s="1"/>
  <c r="BX81" i="36"/>
  <c r="AJ88" i="53"/>
  <c r="AJ90" i="53" s="1"/>
  <c r="AJ92" i="53" s="1"/>
  <c r="AJ81" i="36"/>
  <c r="P71" i="36"/>
  <c r="CL71" i="37"/>
  <c r="BQ88" i="54"/>
  <c r="AM88" i="53"/>
  <c r="BR79" i="36"/>
  <c r="BR88" i="37"/>
  <c r="AM88" i="54"/>
  <c r="BR81" i="36"/>
  <c r="S86" i="36"/>
  <c r="CR79" i="54"/>
  <c r="I88" i="54"/>
  <c r="I97" i="54" s="1"/>
  <c r="CH79" i="54"/>
  <c r="I88" i="53"/>
  <c r="I97" i="53" s="1"/>
  <c r="CH79" i="53"/>
  <c r="CR79" i="53"/>
  <c r="AX88" i="54"/>
  <c r="AM71" i="36"/>
  <c r="AX86" i="36"/>
  <c r="AW71" i="36"/>
  <c r="AM86" i="36"/>
  <c r="BQ81" i="36"/>
  <c r="CA71" i="36"/>
  <c r="J71" i="36"/>
  <c r="AC81" i="36"/>
  <c r="BZ73" i="37"/>
  <c r="BZ69" i="36"/>
  <c r="R88" i="53"/>
  <c r="CM79" i="53"/>
  <c r="BZ86" i="36"/>
  <c r="CM86" i="53"/>
  <c r="CM79" i="37"/>
  <c r="R88" i="37"/>
  <c r="R79" i="36"/>
  <c r="BZ71" i="36"/>
  <c r="CM81" i="54"/>
  <c r="BZ73" i="54"/>
  <c r="AY86" i="37"/>
  <c r="AQ86" i="36"/>
  <c r="X97" i="54"/>
  <c r="AE71" i="54"/>
  <c r="BS79" i="54"/>
  <c r="BK88" i="54"/>
  <c r="BK97" i="54" s="1"/>
  <c r="AR88" i="53"/>
  <c r="AY86" i="54"/>
  <c r="CE71" i="54"/>
  <c r="CO71" i="54"/>
  <c r="K71" i="54"/>
  <c r="BA71" i="36"/>
  <c r="CO86" i="37"/>
  <c r="CE86" i="37"/>
  <c r="K86" i="37"/>
  <c r="C86" i="36"/>
  <c r="BS71" i="53"/>
  <c r="AY79" i="54"/>
  <c r="AQ88" i="54"/>
  <c r="AQ97" i="54" s="1"/>
  <c r="D88" i="53"/>
  <c r="AE86" i="54"/>
  <c r="AY79" i="53"/>
  <c r="AQ88" i="53"/>
  <c r="AQ97" i="53" s="1"/>
  <c r="BK81" i="36"/>
  <c r="BS81" i="37"/>
  <c r="BU88" i="53"/>
  <c r="CE79" i="53"/>
  <c r="C88" i="53"/>
  <c r="C97" i="53" s="1"/>
  <c r="CO79" i="53"/>
  <c r="K79" i="53"/>
  <c r="AY81" i="54"/>
  <c r="AQ71" i="36"/>
  <c r="AY71" i="37"/>
  <c r="AR86" i="36"/>
  <c r="BU79" i="36"/>
  <c r="BU88" i="37"/>
  <c r="BK86" i="36"/>
  <c r="BS86" i="37"/>
  <c r="CE81" i="53"/>
  <c r="K81" i="53"/>
  <c r="CO81" i="53"/>
  <c r="AQ88" i="37"/>
  <c r="AQ79" i="36"/>
  <c r="AY79" i="37"/>
  <c r="CE86" i="53"/>
  <c r="CO86" i="53"/>
  <c r="K86" i="53"/>
  <c r="M73" i="54"/>
  <c r="M90" i="54" s="1"/>
  <c r="M92" i="54" s="1"/>
  <c r="M94" i="54" s="1"/>
  <c r="AE81" i="53"/>
  <c r="X71" i="36"/>
  <c r="BU81" i="36"/>
  <c r="CE79" i="37"/>
  <c r="C79" i="36"/>
  <c r="C88" i="37"/>
  <c r="C97" i="37" s="1"/>
  <c r="K79" i="37"/>
  <c r="CO79" i="37"/>
  <c r="CJ86" i="53"/>
  <c r="T86" i="53"/>
  <c r="CB86" i="54"/>
  <c r="AF88" i="37"/>
  <c r="AF79" i="36"/>
  <c r="AN79" i="37"/>
  <c r="AN71" i="53"/>
  <c r="AZ71" i="36"/>
  <c r="BH71" i="37"/>
  <c r="BI71" i="37" s="1"/>
  <c r="BH71" i="54"/>
  <c r="AZ81" i="36"/>
  <c r="BH81" i="37"/>
  <c r="BT88" i="53"/>
  <c r="CB79" i="53"/>
  <c r="CB81" i="54"/>
  <c r="BH71" i="53"/>
  <c r="AN71" i="37"/>
  <c r="AF71" i="36"/>
  <c r="T81" i="54"/>
  <c r="CJ81" i="54"/>
  <c r="BA88" i="54"/>
  <c r="E88" i="54"/>
  <c r="E97" i="54" s="1"/>
  <c r="CP79" i="54"/>
  <c r="CF79" i="54"/>
  <c r="Z73" i="53"/>
  <c r="CF71" i="53"/>
  <c r="CP71" i="53"/>
  <c r="BO88" i="53"/>
  <c r="CQ71" i="53"/>
  <c r="CG71" i="53"/>
  <c r="BY79" i="36"/>
  <c r="BY88" i="37"/>
  <c r="AJ86" i="36"/>
  <c r="P86" i="36"/>
  <c r="CL86" i="37"/>
  <c r="AM88" i="37"/>
  <c r="AM79" i="36"/>
  <c r="S88" i="37"/>
  <c r="S79" i="36"/>
  <c r="J97" i="53"/>
  <c r="BG71" i="36"/>
  <c r="R73" i="53"/>
  <c r="BZ79" i="36"/>
  <c r="BZ88" i="37"/>
  <c r="BZ90" i="37" s="1"/>
  <c r="BZ92" i="37" s="1"/>
  <c r="AL88" i="37"/>
  <c r="AL79" i="36"/>
  <c r="BS81" i="54"/>
  <c r="BK88" i="53"/>
  <c r="BK97" i="53" s="1"/>
  <c r="BS79" i="53"/>
  <c r="AN86" i="54"/>
  <c r="L88" i="37"/>
  <c r="T79" i="37"/>
  <c r="L79" i="36"/>
  <c r="CJ79" i="37"/>
  <c r="CB71" i="53"/>
  <c r="BT86" i="36"/>
  <c r="CB86" i="37"/>
  <c r="AF88" i="54"/>
  <c r="AN79" i="54"/>
  <c r="Y90" i="53"/>
  <c r="Y92" i="53" s="1"/>
  <c r="Y94" i="53" s="1"/>
  <c r="Y97" i="53"/>
  <c r="BN88" i="54"/>
  <c r="Z71" i="36"/>
  <c r="Z69" i="36"/>
  <c r="Z73" i="36" s="1"/>
  <c r="Z73" i="37"/>
  <c r="AS81" i="36"/>
  <c r="Z88" i="37"/>
  <c r="Z79" i="36"/>
  <c r="BM96" i="54"/>
  <c r="BM95" i="54"/>
  <c r="CP81" i="53"/>
  <c r="CF81" i="53"/>
  <c r="BM86" i="36"/>
  <c r="BW71" i="36"/>
  <c r="Z95" i="54"/>
  <c r="Z96" i="54"/>
  <c r="Z88" i="54"/>
  <c r="BM81" i="36"/>
  <c r="AI81" i="36"/>
  <c r="BN81" i="36"/>
  <c r="CP86" i="54"/>
  <c r="CF86" i="54"/>
  <c r="CP71" i="37"/>
  <c r="E71" i="36"/>
  <c r="CF71" i="37"/>
  <c r="AT88" i="54"/>
  <c r="BN86" i="36"/>
  <c r="BM88" i="54"/>
  <c r="BM88" i="53"/>
  <c r="BM69" i="36"/>
  <c r="BM73" i="37"/>
  <c r="CP81" i="37"/>
  <c r="CF81" i="37"/>
  <c r="E81" i="36"/>
  <c r="O88" i="54"/>
  <c r="O86" i="36"/>
  <c r="BB73" i="53"/>
  <c r="N73" i="54"/>
  <c r="BB71" i="36"/>
  <c r="CK81" i="37"/>
  <c r="N81" i="36"/>
  <c r="AH73" i="53"/>
  <c r="AH69" i="36"/>
  <c r="AH73" i="36" s="1"/>
  <c r="AH73" i="37"/>
  <c r="AH86" i="36"/>
  <c r="AH88" i="53"/>
  <c r="AH90" i="53" s="1"/>
  <c r="AH92" i="53" s="1"/>
  <c r="AV86" i="36"/>
  <c r="AK73" i="54"/>
  <c r="AK90" i="54" s="1"/>
  <c r="AK92" i="54" s="1"/>
  <c r="AK94" i="54" s="1"/>
  <c r="AA86" i="36"/>
  <c r="BY97" i="53"/>
  <c r="G71" i="36"/>
  <c r="CQ71" i="37"/>
  <c r="CG71" i="37"/>
  <c r="Q88" i="53"/>
  <c r="AB81" i="36"/>
  <c r="BE88" i="54"/>
  <c r="BY73" i="53"/>
  <c r="BY90" i="53" s="1"/>
  <c r="BY92" i="53" s="1"/>
  <c r="BY94" i="53" s="1"/>
  <c r="AK71" i="36"/>
  <c r="H88" i="54"/>
  <c r="AA71" i="36"/>
  <c r="BX79" i="36"/>
  <c r="BX88" i="36" s="1"/>
  <c r="BX88" i="37"/>
  <c r="BX90" i="37" s="1"/>
  <c r="BX92" i="37" s="1"/>
  <c r="CL69" i="53"/>
  <c r="P73" i="53"/>
  <c r="CL86" i="54"/>
  <c r="P81" i="36"/>
  <c r="CL81" i="37"/>
  <c r="CL79" i="37"/>
  <c r="P79" i="36"/>
  <c r="P88" i="37"/>
  <c r="BX88" i="54"/>
  <c r="BX90" i="54" s="1"/>
  <c r="BX92" i="54" s="1"/>
  <c r="BD86" i="36"/>
  <c r="P88" i="54"/>
  <c r="CL79" i="54"/>
  <c r="CL88" i="54" s="1"/>
  <c r="AD79" i="36"/>
  <c r="AD88" i="37"/>
  <c r="AC88" i="53"/>
  <c r="CR86" i="37"/>
  <c r="CH86" i="37"/>
  <c r="I86" i="36"/>
  <c r="AX81" i="36"/>
  <c r="CH71" i="54"/>
  <c r="CR71" i="54"/>
  <c r="AC86" i="36"/>
  <c r="AD88" i="54"/>
  <c r="CA81" i="36"/>
  <c r="AD81" i="36"/>
  <c r="CR86" i="54"/>
  <c r="CH86" i="54"/>
  <c r="AX88" i="53"/>
  <c r="BR86" i="36"/>
  <c r="CR79" i="37"/>
  <c r="I88" i="37"/>
  <c r="I97" i="37" s="1"/>
  <c r="I79" i="36"/>
  <c r="CH79" i="37"/>
  <c r="BQ88" i="53"/>
  <c r="CR71" i="53"/>
  <c r="CH71" i="53"/>
  <c r="BF73" i="37"/>
  <c r="BF69" i="36"/>
  <c r="BF88" i="37"/>
  <c r="BF79" i="36"/>
  <c r="R88" i="54"/>
  <c r="CM79" i="54"/>
  <c r="CM71" i="53"/>
  <c r="R71" i="36"/>
  <c r="CM71" i="37"/>
  <c r="CM86" i="54"/>
  <c r="CM81" i="53"/>
  <c r="CM86" i="37"/>
  <c r="R86" i="36"/>
  <c r="CM71" i="54"/>
  <c r="CO86" i="54"/>
  <c r="K86" i="54"/>
  <c r="CE86" i="54"/>
  <c r="AR97" i="54"/>
  <c r="D97" i="54"/>
  <c r="CO71" i="53"/>
  <c r="K71" i="53"/>
  <c r="CE71" i="53"/>
  <c r="BL86" i="36"/>
  <c r="CO81" i="54"/>
  <c r="CE81" i="54"/>
  <c r="K81" i="54"/>
  <c r="BU71" i="36"/>
  <c r="AG71" i="36"/>
  <c r="AR81" i="36"/>
  <c r="AE79" i="54"/>
  <c r="W88" i="54"/>
  <c r="W97" i="54" s="1"/>
  <c r="C81" i="36"/>
  <c r="CE81" i="37"/>
  <c r="CO81" i="37"/>
  <c r="K81" i="37"/>
  <c r="AG79" i="36"/>
  <c r="AG88" i="37"/>
  <c r="AG81" i="36"/>
  <c r="BU88" i="54"/>
  <c r="BU86" i="36"/>
  <c r="CB79" i="37"/>
  <c r="BT79" i="36"/>
  <c r="BT88" i="37"/>
  <c r="L81" i="36"/>
  <c r="CJ81" i="37"/>
  <c r="T81" i="37"/>
  <c r="AZ86" i="36"/>
  <c r="BH86" i="37"/>
  <c r="BH79" i="54"/>
  <c r="AZ88" i="54"/>
  <c r="AN81" i="54"/>
  <c r="CJ79" i="53"/>
  <c r="T79" i="53"/>
  <c r="L88" i="53"/>
  <c r="CB71" i="37"/>
  <c r="BT71" i="36"/>
  <c r="AN71" i="54"/>
  <c r="CB79" i="54"/>
  <c r="BT88" i="54"/>
  <c r="CJ71" i="37"/>
  <c r="T71" i="37"/>
  <c r="L71" i="36"/>
  <c r="AN81" i="53"/>
  <c r="CJ86" i="54"/>
  <c r="T86" i="54"/>
  <c r="CF79" i="53"/>
  <c r="E88" i="53"/>
  <c r="E97" i="53" s="1"/>
  <c r="CP79" i="53"/>
  <c r="BC79" i="36"/>
  <c r="BC88" i="37"/>
  <c r="BW88" i="53"/>
  <c r="F95" i="54"/>
  <c r="F96" i="54"/>
  <c r="Z86" i="36"/>
  <c r="CK79" i="53"/>
  <c r="N88" i="53"/>
  <c r="N90" i="53" s="1"/>
  <c r="N92" i="53" s="1"/>
  <c r="BB79" i="36"/>
  <c r="BB88" i="37"/>
  <c r="BV79" i="36"/>
  <c r="BV88" i="37"/>
  <c r="CK71" i="53"/>
  <c r="AA88" i="37"/>
  <c r="AA79" i="36"/>
  <c r="AK90" i="53"/>
  <c r="AK92" i="53" s="1"/>
  <c r="AK94" i="53" s="1"/>
  <c r="AK96" i="53"/>
  <c r="AK95" i="53"/>
  <c r="BE96" i="54"/>
  <c r="BE95" i="54"/>
  <c r="BP88" i="37"/>
  <c r="BP79" i="36"/>
  <c r="AU97" i="54"/>
  <c r="AK79" i="36"/>
  <c r="AK88" i="37"/>
  <c r="Q95" i="54"/>
  <c r="Q96" i="54"/>
  <c r="CG81" i="54"/>
  <c r="CQ81" i="54"/>
  <c r="BD88" i="37"/>
  <c r="BD79" i="36"/>
  <c r="CL86" i="53"/>
  <c r="CL71" i="53"/>
  <c r="BG88" i="53"/>
  <c r="AW88" i="37"/>
  <c r="AW79" i="36"/>
  <c r="J79" i="36"/>
  <c r="J88" i="37"/>
  <c r="BF86" i="36"/>
  <c r="AL88" i="54"/>
  <c r="AL90" i="54" s="1"/>
  <c r="AL92" i="54" s="1"/>
  <c r="BA79" i="36"/>
  <c r="BA88" i="37"/>
  <c r="M97" i="54"/>
  <c r="BA86" i="36"/>
  <c r="AY71" i="53"/>
  <c r="BK71" i="36"/>
  <c r="BS71" i="37"/>
  <c r="AE71" i="53"/>
  <c r="AQ81" i="36"/>
  <c r="AY81" i="37"/>
  <c r="AY86" i="53"/>
  <c r="Y71" i="36"/>
  <c r="F88" i="53"/>
  <c r="F73" i="53"/>
  <c r="AT88" i="53"/>
  <c r="F81" i="36"/>
  <c r="O71" i="36"/>
  <c r="BN88" i="53"/>
  <c r="BN69" i="36"/>
  <c r="BN73" i="37"/>
  <c r="Y73" i="54"/>
  <c r="CF86" i="37"/>
  <c r="E86" i="36"/>
  <c r="CP86" i="37"/>
  <c r="AI88" i="53"/>
  <c r="BM73" i="53"/>
  <c r="AI86" i="36"/>
  <c r="AS73" i="54"/>
  <c r="AT81" i="36"/>
  <c r="AT88" i="37"/>
  <c r="AT79" i="36"/>
  <c r="Y86" i="36"/>
  <c r="AS88" i="53"/>
  <c r="BW81" i="36"/>
  <c r="O81" i="36"/>
  <c r="Z88" i="53"/>
  <c r="BN71" i="36"/>
  <c r="F71" i="36"/>
  <c r="Y88" i="54"/>
  <c r="AS88" i="37"/>
  <c r="AS79" i="36"/>
  <c r="E88" i="37"/>
  <c r="E97" i="37" s="1"/>
  <c r="CP79" i="37"/>
  <c r="E79" i="36"/>
  <c r="CF79" i="37"/>
  <c r="O88" i="37"/>
  <c r="O79" i="36"/>
  <c r="AT86" i="36"/>
  <c r="BC88" i="54"/>
  <c r="AT73" i="53"/>
  <c r="BN88" i="37"/>
  <c r="BN79" i="36"/>
  <c r="AS88" i="54"/>
  <c r="CF86" i="53"/>
  <c r="CP86" i="53"/>
  <c r="AS73" i="37"/>
  <c r="BC71" i="36"/>
  <c r="BV86" i="36"/>
  <c r="BB69" i="36"/>
  <c r="BB73" i="36" s="1"/>
  <c r="BB73" i="37"/>
  <c r="BV88" i="54"/>
  <c r="BV90" i="54" s="1"/>
  <c r="BV92" i="54" s="1"/>
  <c r="BV81" i="36"/>
  <c r="BV73" i="37"/>
  <c r="BV69" i="36"/>
  <c r="N88" i="54"/>
  <c r="N90" i="54" s="1"/>
  <c r="N92" i="54" s="1"/>
  <c r="CK79" i="54"/>
  <c r="BV71" i="36"/>
  <c r="BB86" i="36"/>
  <c r="CK81" i="54"/>
  <c r="N73" i="37"/>
  <c r="N69" i="36"/>
  <c r="CK81" i="53"/>
  <c r="Q88" i="37"/>
  <c r="Q79" i="36"/>
  <c r="CQ79" i="53"/>
  <c r="G88" i="53"/>
  <c r="G97" i="53" s="1"/>
  <c r="CG79" i="53"/>
  <c r="BE88" i="53"/>
  <c r="AV88" i="54"/>
  <c r="BY88" i="54"/>
  <c r="Q96" i="53"/>
  <c r="BP71" i="36"/>
  <c r="BE73" i="53"/>
  <c r="CQ71" i="54"/>
  <c r="CG71" i="54"/>
  <c r="BP81" i="36"/>
  <c r="H81" i="36"/>
  <c r="CQ81" i="53"/>
  <c r="CG81" i="53"/>
  <c r="BY69" i="36"/>
  <c r="BY73" i="37"/>
  <c r="Q81" i="36"/>
  <c r="AV88" i="53"/>
  <c r="BP86" i="36"/>
  <c r="BO88" i="54"/>
  <c r="BE81" i="36"/>
  <c r="BY71" i="36"/>
  <c r="Q86" i="36"/>
  <c r="BO81" i="36"/>
  <c r="AB88" i="37"/>
  <c r="AB79" i="36"/>
  <c r="CL79" i="53"/>
  <c r="P88" i="53"/>
  <c r="CL81" i="53"/>
  <c r="CL71" i="54"/>
  <c r="BX71" i="36"/>
  <c r="BD73" i="53"/>
  <c r="BD88" i="53"/>
  <c r="BD90" i="53" s="1"/>
  <c r="BD92" i="53" s="1"/>
  <c r="BX88" i="53"/>
  <c r="CL69" i="54"/>
  <c r="P73" i="54"/>
  <c r="BD81" i="36"/>
  <c r="P69" i="36"/>
  <c r="CL69" i="37"/>
  <c r="CL73" i="37" s="1"/>
  <c r="P73" i="37"/>
  <c r="BD73" i="54"/>
  <c r="BR88" i="53"/>
  <c r="J88" i="54"/>
  <c r="CA88" i="54"/>
  <c r="BR88" i="54"/>
  <c r="CA79" i="36"/>
  <c r="CA88" i="37"/>
  <c r="I81" i="36"/>
  <c r="CH81" i="37"/>
  <c r="CR81" i="37"/>
  <c r="CA86" i="36"/>
  <c r="CR71" i="37"/>
  <c r="I71" i="36"/>
  <c r="CH71" i="37"/>
  <c r="CA88" i="53"/>
  <c r="AD88" i="53"/>
  <c r="BG88" i="37"/>
  <c r="BG79" i="36"/>
  <c r="BR71" i="36"/>
  <c r="J86" i="36"/>
  <c r="CH81" i="53"/>
  <c r="CR81" i="53"/>
  <c r="AC71" i="36"/>
  <c r="J81" i="36"/>
  <c r="AW88" i="53"/>
  <c r="AX71" i="36"/>
  <c r="AC88" i="54"/>
  <c r="BQ88" i="37"/>
  <c r="BQ79" i="36"/>
  <c r="BQ88" i="36" s="1"/>
  <c r="AL73" i="37"/>
  <c r="AL69" i="36"/>
  <c r="BF73" i="53"/>
  <c r="BF90" i="53" s="1"/>
  <c r="BF92" i="53" s="1"/>
  <c r="BF71" i="36"/>
  <c r="R73" i="54"/>
  <c r="AL88" i="53"/>
  <c r="AL90" i="53" s="1"/>
  <c r="AL92" i="53" s="1"/>
  <c r="BF88" i="54"/>
  <c r="BF90" i="54" s="1"/>
  <c r="BF92" i="54" s="1"/>
  <c r="AL81" i="36"/>
  <c r="BZ88" i="53"/>
  <c r="BZ90" i="53" s="1"/>
  <c r="BZ92" i="53" s="1"/>
  <c r="R81" i="36"/>
  <c r="CM81" i="37"/>
  <c r="BF81" i="36"/>
  <c r="BZ88" i="54"/>
  <c r="AG88" i="53"/>
  <c r="X88" i="37"/>
  <c r="X79" i="36"/>
  <c r="X88" i="36" s="1"/>
  <c r="W86" i="36"/>
  <c r="AE86" i="37"/>
  <c r="BK88" i="37"/>
  <c r="BK97" i="37" s="1"/>
  <c r="BS79" i="37"/>
  <c r="BK79" i="36"/>
  <c r="AY71" i="54"/>
  <c r="K71" i="37"/>
  <c r="CE71" i="37"/>
  <c r="C71" i="36"/>
  <c r="CO71" i="37"/>
  <c r="X88" i="53"/>
  <c r="AE79" i="37"/>
  <c r="W88" i="37"/>
  <c r="W97" i="37" s="1"/>
  <c r="W79" i="36"/>
  <c r="BS71" i="54"/>
  <c r="AG86" i="36"/>
  <c r="BA81" i="36"/>
  <c r="AR88" i="37"/>
  <c r="AR79" i="36"/>
  <c r="AR88" i="36" s="1"/>
  <c r="BA88" i="53"/>
  <c r="M86" i="36"/>
  <c r="D88" i="37"/>
  <c r="D79" i="36"/>
  <c r="D88" i="36" s="1"/>
  <c r="M88" i="53"/>
  <c r="AE71" i="37"/>
  <c r="W71" i="36"/>
  <c r="W88" i="53"/>
  <c r="W97" i="53" s="1"/>
  <c r="AE79" i="53"/>
  <c r="CE79" i="54"/>
  <c r="K79" i="54"/>
  <c r="C88" i="54"/>
  <c r="C97" i="54" s="1"/>
  <c r="CO79" i="54"/>
  <c r="D81" i="36"/>
  <c r="BS81" i="53"/>
  <c r="AE81" i="37"/>
  <c r="W81" i="36"/>
  <c r="BL88" i="53"/>
  <c r="BL71" i="36"/>
  <c r="AG88" i="54"/>
  <c r="AY81" i="53"/>
  <c r="BI81" i="53" s="1"/>
  <c r="M79" i="36"/>
  <c r="M88" i="36" s="1"/>
  <c r="M88" i="37"/>
  <c r="BH79" i="53"/>
  <c r="AZ88" i="53"/>
  <c r="AZ79" i="36"/>
  <c r="BH79" i="37"/>
  <c r="AZ88" i="37"/>
  <c r="CB71" i="54"/>
  <c r="CC71" i="54" s="1"/>
  <c r="CJ71" i="53"/>
  <c r="T71" i="53"/>
  <c r="T71" i="54"/>
  <c r="CJ71" i="54"/>
  <c r="AF86" i="36"/>
  <c r="AN86" i="37"/>
  <c r="AO86" i="37" s="1"/>
  <c r="BH86" i="53"/>
  <c r="AF81" i="36"/>
  <c r="AN81" i="37"/>
  <c r="AN86" i="53"/>
  <c r="CB86" i="53"/>
  <c r="CC86" i="53" s="1"/>
  <c r="BH81" i="54"/>
  <c r="AS73" i="53"/>
  <c r="J73" i="54"/>
  <c r="D73" i="54"/>
  <c r="D90" i="54" s="1"/>
  <c r="D92" i="54" s="1"/>
  <c r="D94" i="54" s="1"/>
  <c r="BQ73" i="54"/>
  <c r="AW73" i="54"/>
  <c r="AW90" i="54" s="1"/>
  <c r="AW92" i="54" s="1"/>
  <c r="AW94" i="54" s="1"/>
  <c r="AM73" i="53"/>
  <c r="BG73" i="53"/>
  <c r="S73" i="53"/>
  <c r="AC73" i="54"/>
  <c r="AD73" i="54"/>
  <c r="AI73" i="53"/>
  <c r="AU73" i="54"/>
  <c r="X73" i="54"/>
  <c r="AV73" i="54"/>
  <c r="BO73" i="53"/>
  <c r="AU73" i="53"/>
  <c r="AR73" i="53"/>
  <c r="X73" i="53"/>
  <c r="BW73" i="54"/>
  <c r="BW90" i="54" s="1"/>
  <c r="BW92" i="54" s="1"/>
  <c r="BW94" i="54" s="1"/>
  <c r="O73" i="54"/>
  <c r="BW73" i="53"/>
  <c r="AB73" i="53"/>
  <c r="AG73" i="54"/>
  <c r="BC73" i="53"/>
  <c r="O73" i="53"/>
  <c r="AB73" i="54"/>
  <c r="AA73" i="54"/>
  <c r="BQ73" i="53"/>
  <c r="AX73" i="54"/>
  <c r="BP73" i="54"/>
  <c r="BP73" i="53"/>
  <c r="AA73" i="53"/>
  <c r="H73" i="53"/>
  <c r="CA73" i="54"/>
  <c r="AM73" i="54"/>
  <c r="AR73" i="54"/>
  <c r="D73" i="53"/>
  <c r="AX73" i="53"/>
  <c r="AW73" i="53"/>
  <c r="BR73" i="53"/>
  <c r="AG73" i="53"/>
  <c r="BL73" i="53"/>
  <c r="AD73" i="53"/>
  <c r="BA73" i="53"/>
  <c r="BA73" i="54"/>
  <c r="AI73" i="54"/>
  <c r="BC73" i="54"/>
  <c r="BO73" i="54"/>
  <c r="AV73" i="53"/>
  <c r="H73" i="54"/>
  <c r="S73" i="54"/>
  <c r="BG73" i="54"/>
  <c r="CA73" i="53"/>
  <c r="BL73" i="54"/>
  <c r="AC73" i="53"/>
  <c r="J73" i="53"/>
  <c r="BR73" i="54"/>
  <c r="M73" i="53"/>
  <c r="BU73" i="54"/>
  <c r="BU73" i="53"/>
  <c r="BG90" i="54" l="1"/>
  <c r="BG92" i="54" s="1"/>
  <c r="BG94" i="54" s="1"/>
  <c r="BN88" i="36"/>
  <c r="CI86" i="54"/>
  <c r="CM71" i="36"/>
  <c r="BG97" i="54"/>
  <c r="Q73" i="36"/>
  <c r="AA90" i="53"/>
  <c r="AA92" i="53" s="1"/>
  <c r="AA94" i="53" s="1"/>
  <c r="AL73" i="36"/>
  <c r="BN73" i="36"/>
  <c r="BN96" i="36" s="1"/>
  <c r="BB90" i="37"/>
  <c r="BB92" i="37" s="1"/>
  <c r="BF90" i="37"/>
  <c r="BF92" i="37" s="1"/>
  <c r="CH88" i="53"/>
  <c r="BZ90" i="54"/>
  <c r="BZ92" i="54" s="1"/>
  <c r="BX90" i="53"/>
  <c r="BX92" i="53" s="1"/>
  <c r="AO71" i="54"/>
  <c r="CL88" i="37"/>
  <c r="CN73" i="53"/>
  <c r="AM88" i="36"/>
  <c r="AO71" i="37"/>
  <c r="Y73" i="36"/>
  <c r="Y96" i="36" s="1"/>
  <c r="AA88" i="36"/>
  <c r="AA97" i="36" s="1"/>
  <c r="CR88" i="54"/>
  <c r="BL90" i="54"/>
  <c r="BL92" i="54" s="1"/>
  <c r="BL94" i="54" s="1"/>
  <c r="BG88" i="36"/>
  <c r="BG97" i="36" s="1"/>
  <c r="CI81" i="54"/>
  <c r="CO88" i="53"/>
  <c r="BS88" i="54"/>
  <c r="BS97" i="54" s="1"/>
  <c r="AO86" i="53"/>
  <c r="AO81" i="54"/>
  <c r="AD88" i="36"/>
  <c r="BI81" i="54"/>
  <c r="AN81" i="36"/>
  <c r="AE81" i="36"/>
  <c r="CO88" i="54"/>
  <c r="AE88" i="53"/>
  <c r="AE97" i="53" s="1"/>
  <c r="AW88" i="36"/>
  <c r="AK88" i="36"/>
  <c r="AK97" i="36" s="1"/>
  <c r="CJ88" i="37"/>
  <c r="BO88" i="36"/>
  <c r="CA88" i="36"/>
  <c r="CA97" i="36" s="1"/>
  <c r="AB88" i="36"/>
  <c r="Q88" i="36"/>
  <c r="Q97" i="36" s="1"/>
  <c r="CK88" i="54"/>
  <c r="CF88" i="53"/>
  <c r="CF97" i="53" s="1"/>
  <c r="AE88" i="54"/>
  <c r="AE97" i="54" s="1"/>
  <c r="AO86" i="54"/>
  <c r="BZ88" i="36"/>
  <c r="BZ90" i="36" s="1"/>
  <c r="BZ92" i="36" s="1"/>
  <c r="BZ94" i="36" s="1"/>
  <c r="CF88" i="54"/>
  <c r="CF90" i="54" s="1"/>
  <c r="CF92" i="54" s="1"/>
  <c r="CF94" i="54" s="1"/>
  <c r="BM88" i="36"/>
  <c r="BM97" i="36" s="1"/>
  <c r="BS86" i="36"/>
  <c r="BL88" i="36"/>
  <c r="BL97" i="36" s="1"/>
  <c r="AB90" i="54"/>
  <c r="AB92" i="54" s="1"/>
  <c r="AB94" i="54" s="1"/>
  <c r="AE88" i="37"/>
  <c r="BS88" i="37"/>
  <c r="BD90" i="54"/>
  <c r="BD92" i="54" s="1"/>
  <c r="BB88" i="36"/>
  <c r="BB90" i="36" s="1"/>
  <c r="BB92" i="36" s="1"/>
  <c r="BB94" i="36" s="1"/>
  <c r="BC88" i="36"/>
  <c r="AA97" i="53"/>
  <c r="CC86" i="37"/>
  <c r="BY88" i="36"/>
  <c r="CC86" i="54"/>
  <c r="BI86" i="37"/>
  <c r="CQ88" i="54"/>
  <c r="CQ97" i="54" s="1"/>
  <c r="T69" i="54"/>
  <c r="L73" i="54"/>
  <c r="L90" i="54" s="1"/>
  <c r="L92" i="54" s="1"/>
  <c r="CJ69" i="54"/>
  <c r="CJ73" i="54" s="1"/>
  <c r="AV73" i="37"/>
  <c r="AV69" i="36"/>
  <c r="AV73" i="36" s="1"/>
  <c r="AA73" i="37"/>
  <c r="AA69" i="36"/>
  <c r="AA73" i="36" s="1"/>
  <c r="AN69" i="53"/>
  <c r="AF73" i="53"/>
  <c r="AF90" i="53" s="1"/>
  <c r="AF92" i="53" s="1"/>
  <c r="W73" i="53"/>
  <c r="AE69" i="53"/>
  <c r="AE73" i="53" s="1"/>
  <c r="BU69" i="36"/>
  <c r="BU73" i="36" s="1"/>
  <c r="BU73" i="37"/>
  <c r="BU90" i="37" s="1"/>
  <c r="BU92" i="37" s="1"/>
  <c r="BU94" i="37" s="1"/>
  <c r="BQ95" i="53"/>
  <c r="BQ96" i="53"/>
  <c r="BC95" i="53"/>
  <c r="BC96" i="53"/>
  <c r="O95" i="54"/>
  <c r="O96" i="54"/>
  <c r="X96" i="54"/>
  <c r="X95" i="54"/>
  <c r="BQ96" i="54"/>
  <c r="BQ95" i="54"/>
  <c r="X97" i="36"/>
  <c r="AB97" i="36"/>
  <c r="BE90" i="53"/>
  <c r="BE92" i="53" s="1"/>
  <c r="BE94" i="53" s="1"/>
  <c r="BE97" i="53"/>
  <c r="BN97" i="36"/>
  <c r="AS90" i="37"/>
  <c r="AS92" i="37" s="1"/>
  <c r="AS94" i="37" s="1"/>
  <c r="AS97" i="37"/>
  <c r="AS96" i="54"/>
  <c r="AS95" i="54"/>
  <c r="AW97" i="37"/>
  <c r="CN81" i="37"/>
  <c r="U81" i="37"/>
  <c r="CH79" i="36"/>
  <c r="I88" i="36"/>
  <c r="I97" i="36" s="1"/>
  <c r="CR79" i="36"/>
  <c r="BE90" i="54"/>
  <c r="BE92" i="54" s="1"/>
  <c r="BE94" i="54" s="1"/>
  <c r="BE97" i="54"/>
  <c r="BN90" i="54"/>
  <c r="BN92" i="54" s="1"/>
  <c r="BN94" i="54" s="1"/>
  <c r="BN97" i="54"/>
  <c r="S97" i="37"/>
  <c r="Z96" i="53"/>
  <c r="Z95" i="53"/>
  <c r="BA90" i="54"/>
  <c r="BA92" i="54" s="1"/>
  <c r="BA94" i="54" s="1"/>
  <c r="BA97" i="54"/>
  <c r="AY86" i="36"/>
  <c r="BZ73" i="36"/>
  <c r="BP90" i="54"/>
  <c r="BP92" i="54" s="1"/>
  <c r="BP94" i="54" s="1"/>
  <c r="BP97" i="54"/>
  <c r="CK69" i="53"/>
  <c r="CK73" i="53" s="1"/>
  <c r="F88" i="36"/>
  <c r="M96" i="53"/>
  <c r="M95" i="53"/>
  <c r="AY69" i="54"/>
  <c r="AY73" i="54" s="1"/>
  <c r="AQ73" i="54"/>
  <c r="CA73" i="37"/>
  <c r="CA69" i="36"/>
  <c r="CA73" i="36" s="1"/>
  <c r="S96" i="54"/>
  <c r="S95" i="54"/>
  <c r="AV95" i="53"/>
  <c r="AV96" i="53"/>
  <c r="BA96" i="54"/>
  <c r="BA95" i="54"/>
  <c r="K69" i="54"/>
  <c r="CO69" i="54"/>
  <c r="CO73" i="54" s="1"/>
  <c r="C73" i="54"/>
  <c r="CE69" i="54"/>
  <c r="CE73" i="54" s="1"/>
  <c r="BA69" i="36"/>
  <c r="BA73" i="36" s="1"/>
  <c r="BA73" i="37"/>
  <c r="AC73" i="37"/>
  <c r="AC90" i="37" s="1"/>
  <c r="AC92" i="37" s="1"/>
  <c r="AC94" i="37" s="1"/>
  <c r="AC69" i="36"/>
  <c r="AC73" i="36" s="1"/>
  <c r="AX96" i="53"/>
  <c r="AX95" i="53"/>
  <c r="AR95" i="54"/>
  <c r="AR96" i="54"/>
  <c r="AN69" i="54"/>
  <c r="AF73" i="54"/>
  <c r="AF90" i="54" s="1"/>
  <c r="AF92" i="54" s="1"/>
  <c r="H95" i="53"/>
  <c r="H96" i="53"/>
  <c r="AA95" i="53"/>
  <c r="AA96" i="53"/>
  <c r="BW73" i="37"/>
  <c r="BW90" i="37" s="1"/>
  <c r="BW92" i="37" s="1"/>
  <c r="BW94" i="37" s="1"/>
  <c r="BW69" i="36"/>
  <c r="BW73" i="36" s="1"/>
  <c r="M69" i="36"/>
  <c r="M73" i="36" s="1"/>
  <c r="M73" i="37"/>
  <c r="E73" i="37"/>
  <c r="CP69" i="37"/>
  <c r="CP73" i="37" s="1"/>
  <c r="CF69" i="37"/>
  <c r="CF73" i="37" s="1"/>
  <c r="E69" i="36"/>
  <c r="CB69" i="53"/>
  <c r="BT73" i="53"/>
  <c r="BT90" i="53" s="1"/>
  <c r="BT92" i="53" s="1"/>
  <c r="AB95" i="53"/>
  <c r="AB96" i="53"/>
  <c r="AU95" i="53"/>
  <c r="AU96" i="53"/>
  <c r="H73" i="37"/>
  <c r="H90" i="37" s="1"/>
  <c r="H92" i="37" s="1"/>
  <c r="H94" i="37" s="1"/>
  <c r="H69" i="36"/>
  <c r="H73" i="36" s="1"/>
  <c r="AI95" i="53"/>
  <c r="AI96" i="53"/>
  <c r="BG96" i="53"/>
  <c r="BG95" i="53"/>
  <c r="AX69" i="36"/>
  <c r="AX73" i="36" s="1"/>
  <c r="AX73" i="37"/>
  <c r="AX90" i="37" s="1"/>
  <c r="AX92" i="37" s="1"/>
  <c r="AX94" i="37" s="1"/>
  <c r="J96" i="54"/>
  <c r="J95" i="54"/>
  <c r="O73" i="37"/>
  <c r="O90" i="37" s="1"/>
  <c r="O92" i="37" s="1"/>
  <c r="O94" i="37" s="1"/>
  <c r="O69" i="36"/>
  <c r="O73" i="36" s="1"/>
  <c r="BI86" i="53"/>
  <c r="U71" i="54"/>
  <c r="CN71" i="54"/>
  <c r="BH88" i="53"/>
  <c r="BH97" i="53" s="1"/>
  <c r="BI79" i="53"/>
  <c r="BI88" i="53" s="1"/>
  <c r="BI97" i="53" s="1"/>
  <c r="AG90" i="54"/>
  <c r="AG92" i="54" s="1"/>
  <c r="AG94" i="54" s="1"/>
  <c r="AG97" i="54"/>
  <c r="D97" i="36"/>
  <c r="AR97" i="36"/>
  <c r="X90" i="53"/>
  <c r="X92" i="53" s="1"/>
  <c r="X94" i="53" s="1"/>
  <c r="X97" i="53"/>
  <c r="CI71" i="37"/>
  <c r="X97" i="37"/>
  <c r="BQ97" i="36"/>
  <c r="AW90" i="53"/>
  <c r="AW92" i="53" s="1"/>
  <c r="AW94" i="53" s="1"/>
  <c r="AW97" i="53"/>
  <c r="BG97" i="37"/>
  <c r="CR71" i="36"/>
  <c r="CH71" i="36"/>
  <c r="BR90" i="54"/>
  <c r="BR92" i="54" s="1"/>
  <c r="BR94" i="54" s="1"/>
  <c r="BR97" i="54"/>
  <c r="AB97" i="37"/>
  <c r="CG88" i="53"/>
  <c r="Q90" i="37"/>
  <c r="Q92" i="37" s="1"/>
  <c r="Q94" i="37" s="1"/>
  <c r="Q97" i="37"/>
  <c r="BN90" i="37"/>
  <c r="BN92" i="37" s="1"/>
  <c r="BN94" i="37" s="1"/>
  <c r="BN97" i="37"/>
  <c r="O88" i="36"/>
  <c r="CP88" i="37"/>
  <c r="Y90" i="54"/>
  <c r="Y92" i="54" s="1"/>
  <c r="Y94" i="54" s="1"/>
  <c r="Y97" i="54"/>
  <c r="AT88" i="36"/>
  <c r="CF86" i="36"/>
  <c r="CP86" i="36"/>
  <c r="AT90" i="53"/>
  <c r="AT92" i="53" s="1"/>
  <c r="AT94" i="53" s="1"/>
  <c r="AT97" i="53"/>
  <c r="BC90" i="53"/>
  <c r="BC92" i="53" s="1"/>
  <c r="BC94" i="53" s="1"/>
  <c r="BS71" i="36"/>
  <c r="J97" i="37"/>
  <c r="BG90" i="53"/>
  <c r="BG92" i="53" s="1"/>
  <c r="BG94" i="53" s="1"/>
  <c r="BG97" i="53"/>
  <c r="BD88" i="36"/>
  <c r="BD90" i="36" s="1"/>
  <c r="BD92" i="36" s="1"/>
  <c r="BD94" i="36" s="1"/>
  <c r="BC97" i="36"/>
  <c r="U86" i="54"/>
  <c r="CN86" i="54"/>
  <c r="U71" i="37"/>
  <c r="CN71" i="37"/>
  <c r="U79" i="53"/>
  <c r="T88" i="53"/>
  <c r="T97" i="53" s="1"/>
  <c r="CN79" i="53"/>
  <c r="BH88" i="54"/>
  <c r="BH97" i="54" s="1"/>
  <c r="BI79" i="54"/>
  <c r="CB88" i="37"/>
  <c r="CB97" i="37" s="1"/>
  <c r="CC79" i="37"/>
  <c r="AG97" i="37"/>
  <c r="CI71" i="53"/>
  <c r="AD90" i="54"/>
  <c r="AD92" i="54" s="1"/>
  <c r="AD94" i="54" s="1"/>
  <c r="AD97" i="54"/>
  <c r="AD97" i="36"/>
  <c r="CL73" i="53"/>
  <c r="H90" i="54"/>
  <c r="H92" i="54" s="1"/>
  <c r="H94" i="54" s="1"/>
  <c r="H97" i="54"/>
  <c r="CK69" i="54"/>
  <c r="CK73" i="54" s="1"/>
  <c r="O90" i="54"/>
  <c r="O92" i="54" s="1"/>
  <c r="O94" i="54" s="1"/>
  <c r="O97" i="54"/>
  <c r="BM95" i="37"/>
  <c r="BM96" i="37"/>
  <c r="Z96" i="37"/>
  <c r="Z95" i="37"/>
  <c r="L88" i="36"/>
  <c r="T79" i="36"/>
  <c r="CJ79" i="36"/>
  <c r="BS88" i="53"/>
  <c r="AM97" i="36"/>
  <c r="BY90" i="37"/>
  <c r="BY92" i="37" s="1"/>
  <c r="BY94" i="37" s="1"/>
  <c r="BY97" i="37"/>
  <c r="BO90" i="53"/>
  <c r="BO92" i="53" s="1"/>
  <c r="BO94" i="53" s="1"/>
  <c r="BO97" i="53"/>
  <c r="BI71" i="53"/>
  <c r="BI81" i="37"/>
  <c r="BH71" i="36"/>
  <c r="CO88" i="37"/>
  <c r="CE88" i="37"/>
  <c r="M96" i="54"/>
  <c r="M95" i="54"/>
  <c r="AY88" i="37"/>
  <c r="AY97" i="37" s="1"/>
  <c r="CI81" i="53"/>
  <c r="BU97" i="37"/>
  <c r="AY71" i="36"/>
  <c r="BS81" i="36"/>
  <c r="D90" i="53"/>
  <c r="D92" i="53" s="1"/>
  <c r="D94" i="53" s="1"/>
  <c r="D97" i="53"/>
  <c r="K86" i="36"/>
  <c r="CE86" i="36"/>
  <c r="CO86" i="36"/>
  <c r="R88" i="36"/>
  <c r="CM79" i="36"/>
  <c r="BR88" i="36"/>
  <c r="BQ90" i="54"/>
  <c r="BQ92" i="54" s="1"/>
  <c r="BQ94" i="54" s="1"/>
  <c r="BQ97" i="54"/>
  <c r="CN73" i="37"/>
  <c r="H88" i="36"/>
  <c r="H90" i="53"/>
  <c r="H92" i="53" s="1"/>
  <c r="H94" i="53" s="1"/>
  <c r="H97" i="53"/>
  <c r="Q90" i="54"/>
  <c r="Q92" i="54" s="1"/>
  <c r="Q94" i="54" s="1"/>
  <c r="Q97" i="54"/>
  <c r="AK95" i="37"/>
  <c r="AK96" i="37"/>
  <c r="Q95" i="37"/>
  <c r="Q96" i="37"/>
  <c r="AI90" i="54"/>
  <c r="AI92" i="54" s="1"/>
  <c r="AI94" i="54" s="1"/>
  <c r="AI97" i="54"/>
  <c r="Y95" i="53"/>
  <c r="Y96" i="53"/>
  <c r="F97" i="37"/>
  <c r="CC81" i="37"/>
  <c r="CJ88" i="54"/>
  <c r="BI86" i="54"/>
  <c r="BL97" i="37"/>
  <c r="R73" i="36"/>
  <c r="BE88" i="36"/>
  <c r="N90" i="37"/>
  <c r="N92" i="37" s="1"/>
  <c r="Y95" i="37"/>
  <c r="Y96" i="37"/>
  <c r="BM90" i="37"/>
  <c r="BM92" i="37" s="1"/>
  <c r="BM94" i="37" s="1"/>
  <c r="BM97" i="37"/>
  <c r="BW88" i="36"/>
  <c r="BU96" i="53"/>
  <c r="BU95" i="53"/>
  <c r="X73" i="37"/>
  <c r="X90" i="37" s="1"/>
  <c r="X92" i="37" s="1"/>
  <c r="X94" i="37" s="1"/>
  <c r="X69" i="36"/>
  <c r="X73" i="36" s="1"/>
  <c r="S73" i="37"/>
  <c r="S69" i="36"/>
  <c r="S73" i="36" s="1"/>
  <c r="K69" i="53"/>
  <c r="CO69" i="53"/>
  <c r="CO73" i="53" s="1"/>
  <c r="CO90" i="53" s="1"/>
  <c r="CO92" i="53" s="1"/>
  <c r="CO94" i="53" s="1"/>
  <c r="C73" i="53"/>
  <c r="CE69" i="53"/>
  <c r="CE73" i="53" s="1"/>
  <c r="BG69" i="36"/>
  <c r="BG73" i="36" s="1"/>
  <c r="BG73" i="37"/>
  <c r="BG90" i="37" s="1"/>
  <c r="BG92" i="37" s="1"/>
  <c r="BG94" i="37" s="1"/>
  <c r="BL96" i="53"/>
  <c r="BL95" i="53"/>
  <c r="BQ73" i="37"/>
  <c r="BQ69" i="36"/>
  <c r="BQ73" i="36" s="1"/>
  <c r="BQ90" i="36" s="1"/>
  <c r="BQ92" i="36" s="1"/>
  <c r="BQ94" i="36" s="1"/>
  <c r="D73" i="37"/>
  <c r="D69" i="36"/>
  <c r="D73" i="36" s="1"/>
  <c r="CA95" i="54"/>
  <c r="CA96" i="54"/>
  <c r="AG96" i="54"/>
  <c r="AG95" i="54"/>
  <c r="S96" i="53"/>
  <c r="S95" i="53"/>
  <c r="BA90" i="53"/>
  <c r="BA92" i="53" s="1"/>
  <c r="BA94" i="53" s="1"/>
  <c r="BA97" i="53"/>
  <c r="BS97" i="37"/>
  <c r="BR90" i="53"/>
  <c r="BR92" i="53" s="1"/>
  <c r="BR94" i="53" s="1"/>
  <c r="BR97" i="53"/>
  <c r="AV90" i="53"/>
  <c r="AV92" i="53" s="1"/>
  <c r="AV94" i="53" s="1"/>
  <c r="AV97" i="53"/>
  <c r="AS96" i="37"/>
  <c r="AS95" i="37"/>
  <c r="CP79" i="36"/>
  <c r="E88" i="36"/>
  <c r="E97" i="36" s="1"/>
  <c r="CF79" i="36"/>
  <c r="BN95" i="37"/>
  <c r="BN96" i="37"/>
  <c r="BP90" i="37"/>
  <c r="BP92" i="37" s="1"/>
  <c r="BP94" i="37" s="1"/>
  <c r="BP97" i="37"/>
  <c r="AA90" i="37"/>
  <c r="AA92" i="37" s="1"/>
  <c r="AA94" i="37" s="1"/>
  <c r="AA97" i="37"/>
  <c r="CJ71" i="36"/>
  <c r="T71" i="36"/>
  <c r="BF88" i="36"/>
  <c r="AD97" i="37"/>
  <c r="BM90" i="54"/>
  <c r="BM92" i="54" s="1"/>
  <c r="BM94" i="54" s="1"/>
  <c r="BM97" i="54"/>
  <c r="CL86" i="36"/>
  <c r="CO97" i="53"/>
  <c r="CH97" i="53"/>
  <c r="BR97" i="37"/>
  <c r="CG79" i="36"/>
  <c r="G88" i="36"/>
  <c r="G97" i="36" s="1"/>
  <c r="CQ79" i="36"/>
  <c r="CK71" i="36"/>
  <c r="J96" i="53"/>
  <c r="J95" i="53"/>
  <c r="CA95" i="53"/>
  <c r="CA96" i="53"/>
  <c r="BG96" i="54"/>
  <c r="BG95" i="54"/>
  <c r="AI73" i="37"/>
  <c r="AI69" i="36"/>
  <c r="AI73" i="36" s="1"/>
  <c r="J69" i="36"/>
  <c r="J73" i="36" s="1"/>
  <c r="J73" i="37"/>
  <c r="J90" i="37" s="1"/>
  <c r="J92" i="37" s="1"/>
  <c r="J94" i="37" s="1"/>
  <c r="BH69" i="53"/>
  <c r="AZ73" i="53"/>
  <c r="AZ90" i="53" s="1"/>
  <c r="AZ92" i="53" s="1"/>
  <c r="BA96" i="53"/>
  <c r="BA95" i="53"/>
  <c r="BS69" i="37"/>
  <c r="BS73" i="37" s="1"/>
  <c r="BK73" i="37"/>
  <c r="BK69" i="36"/>
  <c r="BR96" i="53"/>
  <c r="BR95" i="53"/>
  <c r="BL69" i="36"/>
  <c r="BL73" i="36" s="1"/>
  <c r="BL90" i="36" s="1"/>
  <c r="BL92" i="36" s="1"/>
  <c r="BL94" i="36" s="1"/>
  <c r="BL73" i="37"/>
  <c r="BL90" i="37" s="1"/>
  <c r="BL92" i="37" s="1"/>
  <c r="BL94" i="37" s="1"/>
  <c r="AY69" i="37"/>
  <c r="AY73" i="37" s="1"/>
  <c r="AQ73" i="37"/>
  <c r="AQ90" i="37" s="1"/>
  <c r="AQ92" i="37" s="1"/>
  <c r="AQ69" i="36"/>
  <c r="BP96" i="53"/>
  <c r="BP95" i="53"/>
  <c r="BC73" i="37"/>
  <c r="BC90" i="37" s="1"/>
  <c r="BC92" i="37" s="1"/>
  <c r="BC94" i="37" s="1"/>
  <c r="BC69" i="36"/>
  <c r="BC73" i="36" s="1"/>
  <c r="AY69" i="53"/>
  <c r="AY73" i="53" s="1"/>
  <c r="AQ73" i="53"/>
  <c r="CH69" i="37"/>
  <c r="CH73" i="37" s="1"/>
  <c r="I69" i="36"/>
  <c r="CR69" i="37"/>
  <c r="CR73" i="37" s="1"/>
  <c r="I73" i="37"/>
  <c r="BW96" i="53"/>
  <c r="BW95" i="53"/>
  <c r="BW95" i="54"/>
  <c r="BW96" i="54"/>
  <c r="BO95" i="53"/>
  <c r="BO96" i="53"/>
  <c r="AU96" i="54"/>
  <c r="AU95" i="54"/>
  <c r="AD96" i="54"/>
  <c r="AD95" i="54"/>
  <c r="AM96" i="53"/>
  <c r="AM95" i="53"/>
  <c r="G73" i="37"/>
  <c r="CQ69" i="37"/>
  <c r="CQ73" i="37" s="1"/>
  <c r="G69" i="36"/>
  <c r="CG69" i="37"/>
  <c r="CG73" i="37" s="1"/>
  <c r="F69" i="36"/>
  <c r="F73" i="36" s="1"/>
  <c r="F73" i="37"/>
  <c r="F90" i="37" s="1"/>
  <c r="F92" i="37" s="1"/>
  <c r="F94" i="37" s="1"/>
  <c r="AS95" i="53"/>
  <c r="AS96" i="53"/>
  <c r="CN71" i="53"/>
  <c r="U71" i="53"/>
  <c r="BI79" i="37"/>
  <c r="BH88" i="37"/>
  <c r="BH97" i="37" s="1"/>
  <c r="M90" i="37"/>
  <c r="M92" i="37" s="1"/>
  <c r="M94" i="37" s="1"/>
  <c r="M97" i="37"/>
  <c r="CI79" i="54"/>
  <c r="K88" i="54"/>
  <c r="AE71" i="36"/>
  <c r="D97" i="37"/>
  <c r="AR97" i="37"/>
  <c r="AE79" i="36"/>
  <c r="W88" i="36"/>
  <c r="AG90" i="53"/>
  <c r="AG92" i="53" s="1"/>
  <c r="AG94" i="53" s="1"/>
  <c r="AG97" i="53"/>
  <c r="CM81" i="36"/>
  <c r="BQ90" i="37"/>
  <c r="BQ92" i="37" s="1"/>
  <c r="BQ94" i="37" s="1"/>
  <c r="BQ97" i="37"/>
  <c r="AD90" i="53"/>
  <c r="AD92" i="53" s="1"/>
  <c r="AD94" i="53" s="1"/>
  <c r="AD97" i="53"/>
  <c r="CH81" i="36"/>
  <c r="CR81" i="36"/>
  <c r="CA90" i="54"/>
  <c r="CA92" i="54" s="1"/>
  <c r="CA94" i="54" s="1"/>
  <c r="CA97" i="54"/>
  <c r="CN73" i="54"/>
  <c r="P90" i="53"/>
  <c r="P92" i="53" s="1"/>
  <c r="BO90" i="54"/>
  <c r="BO92" i="54" s="1"/>
  <c r="BO94" i="54" s="1"/>
  <c r="BO97" i="54"/>
  <c r="BY96" i="37"/>
  <c r="BY95" i="37"/>
  <c r="BE96" i="53"/>
  <c r="BE95" i="53"/>
  <c r="BY90" i="54"/>
  <c r="BY92" i="54" s="1"/>
  <c r="BY94" i="54" s="1"/>
  <c r="BY97" i="54"/>
  <c r="AT95" i="53"/>
  <c r="AT96" i="53"/>
  <c r="O97" i="37"/>
  <c r="AT90" i="37"/>
  <c r="AT92" i="37" s="1"/>
  <c r="AT94" i="37" s="1"/>
  <c r="AT97" i="37"/>
  <c r="BM96" i="53"/>
  <c r="BM95" i="53"/>
  <c r="BN90" i="53"/>
  <c r="BN92" i="53" s="1"/>
  <c r="BN94" i="53" s="1"/>
  <c r="BN97" i="53"/>
  <c r="F96" i="53"/>
  <c r="F95" i="53"/>
  <c r="AY81" i="36"/>
  <c r="BA97" i="37"/>
  <c r="J88" i="36"/>
  <c r="BD90" i="37"/>
  <c r="BD92" i="37" s="1"/>
  <c r="AU90" i="54"/>
  <c r="AU92" i="54" s="1"/>
  <c r="AU94" i="54" s="1"/>
  <c r="BV90" i="37"/>
  <c r="BV92" i="37" s="1"/>
  <c r="CP88" i="53"/>
  <c r="CB71" i="36"/>
  <c r="CC71" i="36" s="1"/>
  <c r="CJ88" i="53"/>
  <c r="T81" i="36"/>
  <c r="CJ81" i="36"/>
  <c r="AG88" i="36"/>
  <c r="CE81" i="36"/>
  <c r="K81" i="36"/>
  <c r="CO81" i="36"/>
  <c r="AR90" i="54"/>
  <c r="AR92" i="54" s="1"/>
  <c r="AR94" i="54" s="1"/>
  <c r="CM88" i="54"/>
  <c r="BF73" i="36"/>
  <c r="BQ90" i="53"/>
  <c r="BQ92" i="53" s="1"/>
  <c r="BQ94" i="53" s="1"/>
  <c r="BQ97" i="53"/>
  <c r="CR88" i="37"/>
  <c r="CR97" i="37" s="1"/>
  <c r="CL97" i="54"/>
  <c r="P90" i="37"/>
  <c r="P92" i="37" s="1"/>
  <c r="CL81" i="36"/>
  <c r="Q90" i="53"/>
  <c r="Q92" i="53" s="1"/>
  <c r="Q94" i="53" s="1"/>
  <c r="Q97" i="53"/>
  <c r="CK81" i="36"/>
  <c r="CF81" i="36"/>
  <c r="CP81" i="36"/>
  <c r="BM73" i="36"/>
  <c r="AT90" i="54"/>
  <c r="AT92" i="54" s="1"/>
  <c r="AT94" i="54" s="1"/>
  <c r="AT97" i="54"/>
  <c r="Z88" i="36"/>
  <c r="Z95" i="36"/>
  <c r="Z96" i="36"/>
  <c r="CB86" i="36"/>
  <c r="T88" i="37"/>
  <c r="T97" i="37" s="1"/>
  <c r="CN79" i="37"/>
  <c r="U79" i="37"/>
  <c r="AL88" i="36"/>
  <c r="AL90" i="36" s="1"/>
  <c r="AL92" i="36" s="1"/>
  <c r="AL94" i="36" s="1"/>
  <c r="CM69" i="53"/>
  <c r="CM73" i="53" s="1"/>
  <c r="J90" i="53"/>
  <c r="J92" i="53" s="1"/>
  <c r="J94" i="53" s="1"/>
  <c r="AM97" i="37"/>
  <c r="BY97" i="36"/>
  <c r="CP88" i="54"/>
  <c r="U81" i="54"/>
  <c r="CN81" i="54"/>
  <c r="CC81" i="54"/>
  <c r="BH81" i="36"/>
  <c r="AO71" i="53"/>
  <c r="K88" i="37"/>
  <c r="K97" i="37" s="1"/>
  <c r="CI79" i="37"/>
  <c r="CI86" i="53"/>
  <c r="AY79" i="36"/>
  <c r="AQ88" i="36"/>
  <c r="BU88" i="36"/>
  <c r="CE88" i="53"/>
  <c r="CI86" i="37"/>
  <c r="CI71" i="54"/>
  <c r="AR90" i="53"/>
  <c r="AR92" i="53" s="1"/>
  <c r="AR94" i="53" s="1"/>
  <c r="AR97" i="53"/>
  <c r="R90" i="37"/>
  <c r="R92" i="37" s="1"/>
  <c r="CM88" i="53"/>
  <c r="AX90" i="54"/>
  <c r="AX92" i="54" s="1"/>
  <c r="AX94" i="54" s="1"/>
  <c r="AX97" i="54"/>
  <c r="CH88" i="54"/>
  <c r="CH97" i="54" s="1"/>
  <c r="AM90" i="53"/>
  <c r="AM92" i="53" s="1"/>
  <c r="AM94" i="53" s="1"/>
  <c r="AM97" i="53"/>
  <c r="BX73" i="36"/>
  <c r="BX90" i="36" s="1"/>
  <c r="BX92" i="36" s="1"/>
  <c r="BX94" i="36" s="1"/>
  <c r="AJ90" i="37"/>
  <c r="AJ92" i="37" s="1"/>
  <c r="AV88" i="36"/>
  <c r="BY95" i="54"/>
  <c r="BY96" i="54"/>
  <c r="CG86" i="36"/>
  <c r="CQ86" i="36"/>
  <c r="CG88" i="37"/>
  <c r="CG97" i="37" s="1"/>
  <c r="AK73" i="36"/>
  <c r="AU97" i="37"/>
  <c r="BB90" i="53"/>
  <c r="BB92" i="53" s="1"/>
  <c r="AI90" i="37"/>
  <c r="AI92" i="37" s="1"/>
  <c r="AI94" i="37" s="1"/>
  <c r="AI97" i="37"/>
  <c r="Y90" i="37"/>
  <c r="Y92" i="37" s="1"/>
  <c r="Y94" i="37" s="1"/>
  <c r="Y97" i="37"/>
  <c r="BN96" i="53"/>
  <c r="BN95" i="53"/>
  <c r="CN86" i="37"/>
  <c r="U86" i="37"/>
  <c r="U81" i="53"/>
  <c r="CN81" i="53"/>
  <c r="T88" i="54"/>
  <c r="T97" i="54" s="1"/>
  <c r="U79" i="54"/>
  <c r="CN79" i="54"/>
  <c r="CC81" i="53"/>
  <c r="AX97" i="37"/>
  <c r="AC97" i="37"/>
  <c r="CG81" i="36"/>
  <c r="CQ81" i="36"/>
  <c r="BE90" i="37"/>
  <c r="BE92" i="37" s="1"/>
  <c r="BE94" i="37" s="1"/>
  <c r="BE97" i="37"/>
  <c r="AB90" i="53"/>
  <c r="AB92" i="53" s="1"/>
  <c r="AB94" i="53" s="1"/>
  <c r="N88" i="36"/>
  <c r="CK79" i="36"/>
  <c r="AH90" i="37"/>
  <c r="AH92" i="37" s="1"/>
  <c r="AT96" i="36"/>
  <c r="AT95" i="36"/>
  <c r="BR73" i="37"/>
  <c r="BR69" i="36"/>
  <c r="BR73" i="36" s="1"/>
  <c r="AR73" i="37"/>
  <c r="AR90" i="37" s="1"/>
  <c r="AR92" i="37" s="1"/>
  <c r="AR94" i="37" s="1"/>
  <c r="AR69" i="36"/>
  <c r="AR73" i="36" s="1"/>
  <c r="AI95" i="54"/>
  <c r="AI96" i="54"/>
  <c r="AZ73" i="54"/>
  <c r="AZ90" i="54" s="1"/>
  <c r="AZ92" i="54" s="1"/>
  <c r="BH69" i="54"/>
  <c r="BT73" i="37"/>
  <c r="BT90" i="37" s="1"/>
  <c r="BT92" i="37" s="1"/>
  <c r="BT69" i="36"/>
  <c r="CB69" i="37"/>
  <c r="AM96" i="54"/>
  <c r="AM95" i="54"/>
  <c r="AB95" i="54"/>
  <c r="AB96" i="54"/>
  <c r="AR96" i="53"/>
  <c r="AR95" i="53"/>
  <c r="BO69" i="36"/>
  <c r="BO73" i="36" s="1"/>
  <c r="BO73" i="37"/>
  <c r="BO90" i="37" s="1"/>
  <c r="BO92" i="37" s="1"/>
  <c r="BO94" i="37" s="1"/>
  <c r="AW69" i="36"/>
  <c r="AW73" i="36" s="1"/>
  <c r="AW73" i="37"/>
  <c r="AW90" i="37" s="1"/>
  <c r="AW92" i="37" s="1"/>
  <c r="AW94" i="37" s="1"/>
  <c r="CO97" i="54"/>
  <c r="M90" i="53"/>
  <c r="M92" i="53" s="1"/>
  <c r="M94" i="53" s="1"/>
  <c r="M97" i="53"/>
  <c r="P73" i="36"/>
  <c r="CL69" i="36"/>
  <c r="N73" i="36"/>
  <c r="Z90" i="53"/>
  <c r="Z92" i="53" s="1"/>
  <c r="Z94" i="53" s="1"/>
  <c r="Z97" i="53"/>
  <c r="S90" i="53"/>
  <c r="S92" i="53" s="1"/>
  <c r="S94" i="53" s="1"/>
  <c r="BC97" i="37"/>
  <c r="CB88" i="54"/>
  <c r="CB97" i="54" s="1"/>
  <c r="CC79" i="54"/>
  <c r="CB79" i="36"/>
  <c r="BT88" i="36"/>
  <c r="AX90" i="53"/>
  <c r="AX92" i="53" s="1"/>
  <c r="AX94" i="53" s="1"/>
  <c r="AX97" i="53"/>
  <c r="CH86" i="36"/>
  <c r="CR86" i="36"/>
  <c r="CL90" i="37"/>
  <c r="CL92" i="37" s="1"/>
  <c r="CL94" i="37" s="1"/>
  <c r="CL97" i="37"/>
  <c r="CP71" i="36"/>
  <c r="CF71" i="36"/>
  <c r="CJ97" i="37"/>
  <c r="AN79" i="36"/>
  <c r="AF88" i="36"/>
  <c r="CO79" i="36"/>
  <c r="K79" i="36"/>
  <c r="C88" i="36"/>
  <c r="C97" i="36" s="1"/>
  <c r="CE79" i="36"/>
  <c r="CR97" i="54"/>
  <c r="H97" i="37"/>
  <c r="BE95" i="36"/>
  <c r="BE96" i="36"/>
  <c r="Q96" i="36"/>
  <c r="Q95" i="36"/>
  <c r="CB81" i="36"/>
  <c r="Y95" i="36"/>
  <c r="BW97" i="37"/>
  <c r="BU96" i="54"/>
  <c r="BU95" i="54"/>
  <c r="CR69" i="53"/>
  <c r="CR73" i="53" s="1"/>
  <c r="I73" i="53"/>
  <c r="CH69" i="53"/>
  <c r="CH73" i="53" s="1"/>
  <c r="CH90" i="53" s="1"/>
  <c r="CH92" i="53" s="1"/>
  <c r="CH94" i="53" s="1"/>
  <c r="BS69" i="54"/>
  <c r="BS73" i="54" s="1"/>
  <c r="BK73" i="54"/>
  <c r="AC95" i="53"/>
  <c r="AC96" i="53"/>
  <c r="L73" i="53"/>
  <c r="L90" i="53" s="1"/>
  <c r="L92" i="53" s="1"/>
  <c r="T69" i="53"/>
  <c r="CJ69" i="53"/>
  <c r="CJ73" i="53" s="1"/>
  <c r="E73" i="54"/>
  <c r="CP69" i="54"/>
  <c r="CP73" i="54" s="1"/>
  <c r="CF69" i="54"/>
  <c r="CF73" i="54" s="1"/>
  <c r="AB69" i="36"/>
  <c r="AB73" i="36" s="1"/>
  <c r="AB73" i="37"/>
  <c r="AB90" i="37" s="1"/>
  <c r="AB92" i="37" s="1"/>
  <c r="AB94" i="37" s="1"/>
  <c r="BP69" i="36"/>
  <c r="BP73" i="36" s="1"/>
  <c r="BP73" i="37"/>
  <c r="AD73" i="37"/>
  <c r="AD69" i="36"/>
  <c r="AD73" i="36" s="1"/>
  <c r="AD90" i="36" s="1"/>
  <c r="AD92" i="36" s="1"/>
  <c r="AD94" i="36" s="1"/>
  <c r="BR95" i="54"/>
  <c r="BR96" i="54"/>
  <c r="CF69" i="53"/>
  <c r="CF73" i="53" s="1"/>
  <c r="E73" i="53"/>
  <c r="CP69" i="53"/>
  <c r="CP73" i="53" s="1"/>
  <c r="BL96" i="54"/>
  <c r="BL95" i="54"/>
  <c r="AE69" i="54"/>
  <c r="AE73" i="54" s="1"/>
  <c r="W73" i="54"/>
  <c r="H96" i="54"/>
  <c r="H95" i="54"/>
  <c r="BO96" i="54"/>
  <c r="BO95" i="54"/>
  <c r="BC95" i="54"/>
  <c r="BC96" i="54"/>
  <c r="AN69" i="37"/>
  <c r="AF69" i="36"/>
  <c r="AF73" i="37"/>
  <c r="AF90" i="37" s="1"/>
  <c r="AF92" i="37" s="1"/>
  <c r="AD96" i="53"/>
  <c r="AD95" i="53"/>
  <c r="CG69" i="54"/>
  <c r="CG73" i="54" s="1"/>
  <c r="CQ69" i="54"/>
  <c r="CQ73" i="54" s="1"/>
  <c r="G73" i="54"/>
  <c r="AG96" i="53"/>
  <c r="AG95" i="53"/>
  <c r="AW95" i="53"/>
  <c r="AW96" i="53"/>
  <c r="I73" i="54"/>
  <c r="CR69" i="54"/>
  <c r="CR73" i="54" s="1"/>
  <c r="CH69" i="54"/>
  <c r="CH73" i="54" s="1"/>
  <c r="W69" i="36"/>
  <c r="W73" i="37"/>
  <c r="AE69" i="37"/>
  <c r="AE73" i="37" s="1"/>
  <c r="D95" i="53"/>
  <c r="D96" i="53"/>
  <c r="AZ69" i="36"/>
  <c r="AZ73" i="37"/>
  <c r="AZ90" i="37" s="1"/>
  <c r="AZ92" i="37" s="1"/>
  <c r="BH69" i="37"/>
  <c r="AM73" i="37"/>
  <c r="AM90" i="37" s="1"/>
  <c r="AM92" i="37" s="1"/>
  <c r="AM94" i="37" s="1"/>
  <c r="AM69" i="36"/>
  <c r="AM73" i="36" s="1"/>
  <c r="CQ69" i="53"/>
  <c r="CQ73" i="53" s="1"/>
  <c r="G73" i="53"/>
  <c r="CG69" i="53"/>
  <c r="CG73" i="53" s="1"/>
  <c r="BP96" i="54"/>
  <c r="BP95" i="54"/>
  <c r="AG69" i="36"/>
  <c r="AG73" i="36" s="1"/>
  <c r="AG73" i="37"/>
  <c r="AG90" i="37" s="1"/>
  <c r="AG92" i="37" s="1"/>
  <c r="AG94" i="37" s="1"/>
  <c r="AX96" i="54"/>
  <c r="AX95" i="54"/>
  <c r="CO69" i="37"/>
  <c r="CO73" i="37" s="1"/>
  <c r="K69" i="37"/>
  <c r="C69" i="36"/>
  <c r="CE69" i="37"/>
  <c r="CE73" i="37" s="1"/>
  <c r="C73" i="37"/>
  <c r="BK73" i="53"/>
  <c r="BS69" i="53"/>
  <c r="BS73" i="53" s="1"/>
  <c r="AA95" i="54"/>
  <c r="AA96" i="54"/>
  <c r="O95" i="53"/>
  <c r="O96" i="53"/>
  <c r="CB69" i="54"/>
  <c r="BT73" i="54"/>
  <c r="BT90" i="54" s="1"/>
  <c r="BT92" i="54" s="1"/>
  <c r="L73" i="37"/>
  <c r="L90" i="37" s="1"/>
  <c r="L92" i="37" s="1"/>
  <c r="CJ69" i="37"/>
  <c r="CJ73" i="37" s="1"/>
  <c r="L69" i="36"/>
  <c r="T69" i="37"/>
  <c r="X96" i="53"/>
  <c r="X95" i="53"/>
  <c r="AV95" i="54"/>
  <c r="AV96" i="54"/>
  <c r="AU69" i="36"/>
  <c r="AU73" i="36" s="1"/>
  <c r="AU90" i="36" s="1"/>
  <c r="AU92" i="36" s="1"/>
  <c r="AU94" i="36" s="1"/>
  <c r="AU73" i="37"/>
  <c r="AC95" i="54"/>
  <c r="AC96" i="54"/>
  <c r="AW95" i="54"/>
  <c r="AW96" i="54"/>
  <c r="D96" i="54"/>
  <c r="D95" i="54"/>
  <c r="AO81" i="37"/>
  <c r="AN86" i="36"/>
  <c r="BH79" i="36"/>
  <c r="AZ88" i="36"/>
  <c r="M97" i="36"/>
  <c r="BL90" i="53"/>
  <c r="BL92" i="53" s="1"/>
  <c r="BL94" i="53" s="1"/>
  <c r="BL97" i="53"/>
  <c r="CE88" i="54"/>
  <c r="CO71" i="36"/>
  <c r="K71" i="36"/>
  <c r="CE71" i="36"/>
  <c r="BS79" i="36"/>
  <c r="BK88" i="36"/>
  <c r="BK97" i="36" s="1"/>
  <c r="AE86" i="36"/>
  <c r="CM69" i="54"/>
  <c r="CM73" i="54" s="1"/>
  <c r="AC90" i="54"/>
  <c r="AC92" i="54" s="1"/>
  <c r="AC94" i="54" s="1"/>
  <c r="AC97" i="54"/>
  <c r="CA90" i="53"/>
  <c r="CA92" i="53" s="1"/>
  <c r="CA94" i="53" s="1"/>
  <c r="CA97" i="53"/>
  <c r="CA97" i="37"/>
  <c r="J90" i="54"/>
  <c r="J92" i="54" s="1"/>
  <c r="J94" i="54" s="1"/>
  <c r="J97" i="54"/>
  <c r="CL95" i="37"/>
  <c r="CL96" i="37"/>
  <c r="CL73" i="54"/>
  <c r="CL90" i="54" s="1"/>
  <c r="CL92" i="54" s="1"/>
  <c r="CL94" i="54" s="1"/>
  <c r="CL88" i="53"/>
  <c r="BY73" i="36"/>
  <c r="BY90" i="36" s="1"/>
  <c r="BY92" i="36" s="1"/>
  <c r="BY94" i="36" s="1"/>
  <c r="AV90" i="54"/>
  <c r="AV92" i="54" s="1"/>
  <c r="AV94" i="54" s="1"/>
  <c r="AV97" i="54"/>
  <c r="CQ88" i="53"/>
  <c r="CQ97" i="53" s="1"/>
  <c r="CK69" i="37"/>
  <c r="CK73" i="37" s="1"/>
  <c r="BV73" i="36"/>
  <c r="AS69" i="36"/>
  <c r="AS73" i="36" s="1"/>
  <c r="AS90" i="54"/>
  <c r="AS92" i="54" s="1"/>
  <c r="AS94" i="54" s="1"/>
  <c r="AS97" i="54"/>
  <c r="BC90" i="54"/>
  <c r="BC92" i="54" s="1"/>
  <c r="BC94" i="54" s="1"/>
  <c r="BC97" i="54"/>
  <c r="CF88" i="37"/>
  <c r="AS88" i="36"/>
  <c r="AS90" i="53"/>
  <c r="AS92" i="53" s="1"/>
  <c r="AS94" i="53" s="1"/>
  <c r="AS97" i="53"/>
  <c r="AI90" i="53"/>
  <c r="AI92" i="53" s="1"/>
  <c r="AI94" i="53" s="1"/>
  <c r="AI97" i="53"/>
  <c r="Y96" i="54"/>
  <c r="Y95" i="54"/>
  <c r="F90" i="53"/>
  <c r="F92" i="53" s="1"/>
  <c r="F94" i="53" s="1"/>
  <c r="F97" i="53"/>
  <c r="BA88" i="36"/>
  <c r="AW97" i="36"/>
  <c r="AK90" i="37"/>
  <c r="AK92" i="37" s="1"/>
  <c r="AK94" i="37" s="1"/>
  <c r="AK97" i="37"/>
  <c r="BP88" i="36"/>
  <c r="AA90" i="36"/>
  <c r="AA92" i="36" s="1"/>
  <c r="AA94" i="36" s="1"/>
  <c r="BV88" i="36"/>
  <c r="BV90" i="36" s="1"/>
  <c r="BV92" i="36" s="1"/>
  <c r="BV94" i="36" s="1"/>
  <c r="CK88" i="53"/>
  <c r="BW90" i="53"/>
  <c r="BW92" i="53" s="1"/>
  <c r="BW94" i="53" s="1"/>
  <c r="BW97" i="53"/>
  <c r="AO81" i="53"/>
  <c r="CC71" i="37"/>
  <c r="CS71" i="37" s="1"/>
  <c r="BH86" i="36"/>
  <c r="BU90" i="54"/>
  <c r="BU92" i="54" s="1"/>
  <c r="BU94" i="54" s="1"/>
  <c r="BU97" i="54"/>
  <c r="CI81" i="37"/>
  <c r="CM86" i="36"/>
  <c r="R90" i="54"/>
  <c r="R92" i="54" s="1"/>
  <c r="CH88" i="37"/>
  <c r="CH97" i="37" s="1"/>
  <c r="S90" i="54"/>
  <c r="S92" i="54" s="1"/>
  <c r="S94" i="54" s="1"/>
  <c r="AC90" i="53"/>
  <c r="AC92" i="53" s="1"/>
  <c r="AC94" i="53" s="1"/>
  <c r="AC97" i="53"/>
  <c r="P90" i="54"/>
  <c r="P92" i="54" s="1"/>
  <c r="P88" i="36"/>
  <c r="CL79" i="36"/>
  <c r="CL88" i="36" s="1"/>
  <c r="BY95" i="53"/>
  <c r="BY96" i="53"/>
  <c r="CG71" i="36"/>
  <c r="CQ71" i="36"/>
  <c r="AK96" i="54"/>
  <c r="AK95" i="54"/>
  <c r="BM90" i="53"/>
  <c r="BM92" i="53" s="1"/>
  <c r="BM94" i="53" s="1"/>
  <c r="BM97" i="53"/>
  <c r="Z90" i="54"/>
  <c r="Z92" i="54" s="1"/>
  <c r="Z94" i="54" s="1"/>
  <c r="Z97" i="54"/>
  <c r="Z90" i="37"/>
  <c r="Z92" i="37" s="1"/>
  <c r="Z94" i="37" s="1"/>
  <c r="Z97" i="37"/>
  <c r="AN88" i="54"/>
  <c r="AN97" i="54" s="1"/>
  <c r="AO79" i="54"/>
  <c r="CC71" i="53"/>
  <c r="AL90" i="37"/>
  <c r="AL92" i="37" s="1"/>
  <c r="S88" i="36"/>
  <c r="AN71" i="36"/>
  <c r="CC79" i="53"/>
  <c r="CB88" i="53"/>
  <c r="CB97" i="53" s="1"/>
  <c r="BI71" i="54"/>
  <c r="AN88" i="37"/>
  <c r="AN97" i="37" s="1"/>
  <c r="AO79" i="37"/>
  <c r="U86" i="53"/>
  <c r="CN86" i="53"/>
  <c r="AQ97" i="37"/>
  <c r="K88" i="53"/>
  <c r="CI79" i="53"/>
  <c r="BU90" i="53"/>
  <c r="BU92" i="53" s="1"/>
  <c r="BU94" i="53" s="1"/>
  <c r="BU97" i="53"/>
  <c r="AY88" i="53"/>
  <c r="AY97" i="53" s="1"/>
  <c r="AY88" i="54"/>
  <c r="AY97" i="54" s="1"/>
  <c r="X90" i="54"/>
  <c r="X92" i="54" s="1"/>
  <c r="X94" i="54" s="1"/>
  <c r="CM88" i="37"/>
  <c r="R90" i="53"/>
  <c r="R92" i="53" s="1"/>
  <c r="CR88" i="53"/>
  <c r="CR97" i="53" s="1"/>
  <c r="AM90" i="54"/>
  <c r="AM92" i="54" s="1"/>
  <c r="AM94" i="54" s="1"/>
  <c r="AM97" i="54"/>
  <c r="CL71" i="36"/>
  <c r="AJ88" i="36"/>
  <c r="AJ90" i="36" s="1"/>
  <c r="AJ92" i="36" s="1"/>
  <c r="AJ94" i="36" s="1"/>
  <c r="AV97" i="37"/>
  <c r="AU90" i="53"/>
  <c r="AU92" i="53" s="1"/>
  <c r="AU94" i="53" s="1"/>
  <c r="AU97" i="53"/>
  <c r="BE95" i="37"/>
  <c r="BE96" i="37"/>
  <c r="AA90" i="54"/>
  <c r="AA92" i="54" s="1"/>
  <c r="AA94" i="54" s="1"/>
  <c r="AA97" i="54"/>
  <c r="CQ88" i="37"/>
  <c r="CG88" i="54"/>
  <c r="AU97" i="36"/>
  <c r="BP90" i="53"/>
  <c r="BP92" i="53" s="1"/>
  <c r="BP94" i="53" s="1"/>
  <c r="CK86" i="36"/>
  <c r="AI88" i="36"/>
  <c r="Y88" i="36"/>
  <c r="AT95" i="54"/>
  <c r="AT96" i="54"/>
  <c r="T86" i="36"/>
  <c r="CJ86" i="36"/>
  <c r="AN88" i="53"/>
  <c r="AN97" i="53" s="1"/>
  <c r="AO79" i="53"/>
  <c r="CM69" i="37"/>
  <c r="CM73" i="37" s="1"/>
  <c r="AX88" i="36"/>
  <c r="AC88" i="36"/>
  <c r="BO97" i="37"/>
  <c r="CK88" i="37"/>
  <c r="AH88" i="36"/>
  <c r="AH90" i="36" s="1"/>
  <c r="AH92" i="36" s="1"/>
  <c r="AH94" i="36" s="1"/>
  <c r="AT96" i="37"/>
  <c r="AT95" i="37"/>
  <c r="O90" i="53"/>
  <c r="O92" i="53" s="1"/>
  <c r="O94" i="53" s="1"/>
  <c r="CK69" i="36" l="1"/>
  <c r="CK73" i="36" s="1"/>
  <c r="BN95" i="36"/>
  <c r="AO88" i="37"/>
  <c r="P90" i="36"/>
  <c r="P92" i="36" s="1"/>
  <c r="P94" i="36" s="1"/>
  <c r="CC81" i="36"/>
  <c r="CE88" i="36"/>
  <c r="CI88" i="54"/>
  <c r="CI97" i="54" s="1"/>
  <c r="CF97" i="54"/>
  <c r="BN90" i="36"/>
  <c r="BN92" i="36" s="1"/>
  <c r="BN94" i="36" s="1"/>
  <c r="CK90" i="54"/>
  <c r="CK92" i="54" s="1"/>
  <c r="CK94" i="54" s="1"/>
  <c r="AW90" i="36"/>
  <c r="AW92" i="36" s="1"/>
  <c r="AW94" i="36" s="1"/>
  <c r="AO81" i="36"/>
  <c r="R90" i="36"/>
  <c r="R92" i="36" s="1"/>
  <c r="R94" i="36" s="1"/>
  <c r="BI71" i="36"/>
  <c r="BO90" i="36"/>
  <c r="BO92" i="36" s="1"/>
  <c r="BO94" i="36" s="1"/>
  <c r="AK90" i="36"/>
  <c r="AK92" i="36" s="1"/>
  <c r="AK94" i="36" s="1"/>
  <c r="BI81" i="36"/>
  <c r="AE90" i="37"/>
  <c r="CS86" i="37"/>
  <c r="BO97" i="36"/>
  <c r="CK97" i="54"/>
  <c r="AO88" i="53"/>
  <c r="AO97" i="53" s="1"/>
  <c r="CN88" i="54"/>
  <c r="CN90" i="54" s="1"/>
  <c r="CN92" i="54" s="1"/>
  <c r="CS81" i="53"/>
  <c r="CC86" i="36"/>
  <c r="AN92" i="54"/>
  <c r="AN94" i="54" s="1"/>
  <c r="U88" i="37"/>
  <c r="U97" i="37" s="1"/>
  <c r="BC90" i="36"/>
  <c r="BC92" i="36" s="1"/>
  <c r="BC94" i="36" s="1"/>
  <c r="Q90" i="36"/>
  <c r="Q92" i="36" s="1"/>
  <c r="Q94" i="36" s="1"/>
  <c r="CS86" i="53"/>
  <c r="AE97" i="37"/>
  <c r="AO88" i="54"/>
  <c r="AO97" i="54" s="1"/>
  <c r="BS88" i="36"/>
  <c r="CB92" i="54"/>
  <c r="CB94" i="54" s="1"/>
  <c r="AN92" i="37"/>
  <c r="AN94" i="37" s="1"/>
  <c r="CN88" i="37"/>
  <c r="CN90" i="37" s="1"/>
  <c r="CN92" i="37" s="1"/>
  <c r="CQ88" i="36"/>
  <c r="BI88" i="54"/>
  <c r="BI97" i="54" s="1"/>
  <c r="CS86" i="54"/>
  <c r="AQ94" i="37"/>
  <c r="CC88" i="53"/>
  <c r="CS79" i="53"/>
  <c r="CL90" i="53"/>
  <c r="CL92" i="53" s="1"/>
  <c r="CL94" i="53" s="1"/>
  <c r="CL97" i="53"/>
  <c r="CM96" i="54"/>
  <c r="CM95" i="54"/>
  <c r="CN69" i="37"/>
  <c r="T73" i="37"/>
  <c r="U69" i="37"/>
  <c r="U73" i="37" s="1"/>
  <c r="CO96" i="37"/>
  <c r="CO95" i="37"/>
  <c r="G90" i="53"/>
  <c r="G92" i="53" s="1"/>
  <c r="G94" i="53" s="1"/>
  <c r="G96" i="53"/>
  <c r="G95" i="53"/>
  <c r="CP90" i="54"/>
  <c r="CP92" i="54" s="1"/>
  <c r="CP94" i="54" s="1"/>
  <c r="CP97" i="54"/>
  <c r="G90" i="37"/>
  <c r="G92" i="37" s="1"/>
  <c r="G94" i="37" s="1"/>
  <c r="G96" i="37"/>
  <c r="G95" i="37"/>
  <c r="BI69" i="53"/>
  <c r="BI73" i="53" s="1"/>
  <c r="BH73" i="53"/>
  <c r="AI96" i="37"/>
  <c r="AI95" i="37"/>
  <c r="D95" i="36"/>
  <c r="D96" i="36"/>
  <c r="CE95" i="53"/>
  <c r="CE96" i="53"/>
  <c r="BE90" i="36"/>
  <c r="BE92" i="36" s="1"/>
  <c r="BE94" i="36" s="1"/>
  <c r="BE97" i="36"/>
  <c r="BS90" i="53"/>
  <c r="BS97" i="53"/>
  <c r="CG90" i="53"/>
  <c r="CG92" i="53" s="1"/>
  <c r="CG94" i="53" s="1"/>
  <c r="CG97" i="53"/>
  <c r="M95" i="37"/>
  <c r="M96" i="37"/>
  <c r="BA96" i="37"/>
  <c r="BA95" i="37"/>
  <c r="CH88" i="36"/>
  <c r="AN73" i="53"/>
  <c r="AO69" i="53"/>
  <c r="AO73" i="53" s="1"/>
  <c r="AC90" i="36"/>
  <c r="AC92" i="36" s="1"/>
  <c r="AC94" i="36" s="1"/>
  <c r="AC97" i="36"/>
  <c r="CK90" i="53"/>
  <c r="CK92" i="53" s="1"/>
  <c r="CK94" i="53" s="1"/>
  <c r="CK97" i="53"/>
  <c r="AS95" i="36"/>
  <c r="AS96" i="36"/>
  <c r="CJ69" i="36"/>
  <c r="CJ73" i="36" s="1"/>
  <c r="T69" i="36"/>
  <c r="L73" i="36"/>
  <c r="L90" i="36" s="1"/>
  <c r="L92" i="36" s="1"/>
  <c r="CC69" i="54"/>
  <c r="CB73" i="54"/>
  <c r="CQ90" i="53"/>
  <c r="CQ92" i="53" s="1"/>
  <c r="CQ94" i="53" s="1"/>
  <c r="CQ96" i="53"/>
  <c r="CQ95" i="53"/>
  <c r="CR95" i="54"/>
  <c r="CR96" i="54"/>
  <c r="AN69" i="36"/>
  <c r="AF73" i="36"/>
  <c r="AF90" i="36" s="1"/>
  <c r="AF92" i="36" s="1"/>
  <c r="BP95" i="37"/>
  <c r="BP96" i="37"/>
  <c r="CN69" i="53"/>
  <c r="U69" i="53"/>
  <c r="U73" i="53" s="1"/>
  <c r="T73" i="53"/>
  <c r="BK90" i="54"/>
  <c r="BK92" i="54" s="1"/>
  <c r="BK96" i="54"/>
  <c r="BK95" i="54"/>
  <c r="CI79" i="36"/>
  <c r="K88" i="36"/>
  <c r="K97" i="36" s="1"/>
  <c r="AW96" i="36"/>
  <c r="AW95" i="36"/>
  <c r="BI69" i="54"/>
  <c r="BI73" i="54" s="1"/>
  <c r="BH73" i="54"/>
  <c r="N90" i="36"/>
  <c r="N92" i="36" s="1"/>
  <c r="N94" i="36" s="1"/>
  <c r="U88" i="54"/>
  <c r="BU90" i="36"/>
  <c r="BU92" i="36" s="1"/>
  <c r="BU94" i="36" s="1"/>
  <c r="BU97" i="36"/>
  <c r="J90" i="36"/>
  <c r="J92" i="36" s="1"/>
  <c r="J94" i="36" s="1"/>
  <c r="J97" i="36"/>
  <c r="K97" i="54"/>
  <c r="CG90" i="37"/>
  <c r="CG92" i="37" s="1"/>
  <c r="CG94" i="37" s="1"/>
  <c r="CG96" i="37"/>
  <c r="CG95" i="37"/>
  <c r="AQ90" i="53"/>
  <c r="AQ92" i="53" s="1"/>
  <c r="AQ96" i="53"/>
  <c r="AQ95" i="53"/>
  <c r="D96" i="37"/>
  <c r="D95" i="37"/>
  <c r="C90" i="53"/>
  <c r="C92" i="53" s="1"/>
  <c r="C96" i="53"/>
  <c r="C95" i="53"/>
  <c r="CM69" i="36"/>
  <c r="CM73" i="36" s="1"/>
  <c r="CJ88" i="36"/>
  <c r="AT90" i="36"/>
  <c r="AT92" i="36" s="1"/>
  <c r="AT94" i="36" s="1"/>
  <c r="AT97" i="36"/>
  <c r="O90" i="36"/>
  <c r="O92" i="36" s="1"/>
  <c r="O94" i="36" s="1"/>
  <c r="O97" i="36"/>
  <c r="M95" i="36"/>
  <c r="M96" i="36"/>
  <c r="AO69" i="54"/>
  <c r="AO73" i="54" s="1"/>
  <c r="AN73" i="54"/>
  <c r="K73" i="54"/>
  <c r="CI69" i="54"/>
  <c r="CA96" i="37"/>
  <c r="CA95" i="37"/>
  <c r="CJ96" i="54"/>
  <c r="CJ95" i="54"/>
  <c r="CK90" i="37"/>
  <c r="CK92" i="37" s="1"/>
  <c r="CK94" i="37" s="1"/>
  <c r="CK97" i="37"/>
  <c r="AX90" i="36"/>
  <c r="AX92" i="36" s="1"/>
  <c r="AX94" i="36" s="1"/>
  <c r="AX97" i="36"/>
  <c r="Y90" i="36"/>
  <c r="Y92" i="36" s="1"/>
  <c r="Y94" i="36" s="1"/>
  <c r="Y97" i="36"/>
  <c r="CI88" i="53"/>
  <c r="CI97" i="53" s="1"/>
  <c r="S90" i="36"/>
  <c r="S92" i="36" s="1"/>
  <c r="S94" i="36" s="1"/>
  <c r="S97" i="36"/>
  <c r="BA90" i="36"/>
  <c r="BA92" i="36" s="1"/>
  <c r="BA94" i="36" s="1"/>
  <c r="BA97" i="36"/>
  <c r="AO86" i="36"/>
  <c r="AU95" i="37"/>
  <c r="AU96" i="37"/>
  <c r="CJ96" i="37"/>
  <c r="CJ95" i="37"/>
  <c r="BS96" i="53"/>
  <c r="BS95" i="53"/>
  <c r="CE69" i="36"/>
  <c r="CE73" i="36" s="1"/>
  <c r="CO69" i="36"/>
  <c r="CO73" i="36" s="1"/>
  <c r="K69" i="36"/>
  <c r="C73" i="36"/>
  <c r="AM95" i="36"/>
  <c r="AM96" i="36"/>
  <c r="AZ73" i="36"/>
  <c r="AZ90" i="36" s="1"/>
  <c r="AZ92" i="36" s="1"/>
  <c r="BH69" i="36"/>
  <c r="W90" i="37"/>
  <c r="W92" i="37" s="1"/>
  <c r="W96" i="37"/>
  <c r="W95" i="37"/>
  <c r="I90" i="54"/>
  <c r="I92" i="54" s="1"/>
  <c r="I94" i="54" s="1"/>
  <c r="I95" i="54"/>
  <c r="I96" i="54"/>
  <c r="AO69" i="37"/>
  <c r="AO73" i="37" s="1"/>
  <c r="AO90" i="37" s="1"/>
  <c r="AO92" i="37" s="1"/>
  <c r="AO94" i="37" s="1"/>
  <c r="AN73" i="37"/>
  <c r="W90" i="54"/>
  <c r="W92" i="54" s="1"/>
  <c r="W96" i="54"/>
  <c r="W95" i="54"/>
  <c r="CP95" i="53"/>
  <c r="CP96" i="53"/>
  <c r="BP96" i="36"/>
  <c r="BP95" i="36"/>
  <c r="CP96" i="54"/>
  <c r="CP95" i="54"/>
  <c r="BS90" i="54"/>
  <c r="BS96" i="54"/>
  <c r="BS95" i="54"/>
  <c r="CR90" i="54"/>
  <c r="CR92" i="54" s="1"/>
  <c r="CR94" i="54" s="1"/>
  <c r="CO88" i="36"/>
  <c r="CJ90" i="37"/>
  <c r="CJ92" i="37" s="1"/>
  <c r="CJ94" i="37" s="1"/>
  <c r="CL73" i="36"/>
  <c r="BO95" i="37"/>
  <c r="BO96" i="37"/>
  <c r="CC69" i="37"/>
  <c r="CB73" i="37"/>
  <c r="BH92" i="54"/>
  <c r="BH94" i="54" s="1"/>
  <c r="AR96" i="37"/>
  <c r="AR95" i="37"/>
  <c r="AV90" i="36"/>
  <c r="AV92" i="36" s="1"/>
  <c r="AV94" i="36" s="1"/>
  <c r="AV97" i="36"/>
  <c r="CM90" i="53"/>
  <c r="CM92" i="53" s="1"/>
  <c r="CM94" i="53" s="1"/>
  <c r="CM97" i="53"/>
  <c r="AQ97" i="36"/>
  <c r="CM95" i="53"/>
  <c r="CM96" i="53"/>
  <c r="Z90" i="36"/>
  <c r="Z92" i="36" s="1"/>
  <c r="Z94" i="36" s="1"/>
  <c r="Z97" i="36"/>
  <c r="CI81" i="36"/>
  <c r="CN81" i="36"/>
  <c r="U81" i="36"/>
  <c r="CS81" i="36" s="1"/>
  <c r="W97" i="36"/>
  <c r="BI88" i="37"/>
  <c r="BI97" i="37" s="1"/>
  <c r="G73" i="36"/>
  <c r="CG69" i="36"/>
  <c r="CG73" i="36" s="1"/>
  <c r="CQ69" i="36"/>
  <c r="CQ73" i="36" s="1"/>
  <c r="CR90" i="37"/>
  <c r="CR92" i="37" s="1"/>
  <c r="CR94" i="37" s="1"/>
  <c r="CR96" i="37"/>
  <c r="CR95" i="37"/>
  <c r="AY90" i="53"/>
  <c r="AY95" i="53"/>
  <c r="AY96" i="53"/>
  <c r="BL96" i="37"/>
  <c r="BL95" i="37"/>
  <c r="BS69" i="36"/>
  <c r="BS73" i="36" s="1"/>
  <c r="BS90" i="36" s="1"/>
  <c r="BK73" i="36"/>
  <c r="J96" i="36"/>
  <c r="J95" i="36"/>
  <c r="CG88" i="36"/>
  <c r="CG97" i="36" s="1"/>
  <c r="BF90" i="36"/>
  <c r="BF92" i="36" s="1"/>
  <c r="BF94" i="36" s="1"/>
  <c r="BQ95" i="36"/>
  <c r="BQ96" i="36"/>
  <c r="BG96" i="37"/>
  <c r="BG95" i="37"/>
  <c r="CO96" i="53"/>
  <c r="CO95" i="53"/>
  <c r="X95" i="36"/>
  <c r="X96" i="36"/>
  <c r="BW90" i="36"/>
  <c r="BW92" i="36" s="1"/>
  <c r="BW94" i="36" s="1"/>
  <c r="BW97" i="36"/>
  <c r="CJ90" i="54"/>
  <c r="CJ92" i="54" s="1"/>
  <c r="CJ94" i="54" s="1"/>
  <c r="CJ97" i="54"/>
  <c r="H90" i="36"/>
  <c r="H92" i="36" s="1"/>
  <c r="H94" i="36" s="1"/>
  <c r="H97" i="36"/>
  <c r="BR90" i="36"/>
  <c r="BR92" i="36" s="1"/>
  <c r="BR94" i="36" s="1"/>
  <c r="BR97" i="36"/>
  <c r="CE90" i="37"/>
  <c r="CE92" i="37" s="1"/>
  <c r="CE94" i="37" s="1"/>
  <c r="CE97" i="37"/>
  <c r="AM90" i="36"/>
  <c r="AM92" i="36" s="1"/>
  <c r="AM94" i="36" s="1"/>
  <c r="CN79" i="36"/>
  <c r="T88" i="36"/>
  <c r="T97" i="36" s="1"/>
  <c r="U79" i="36"/>
  <c r="CL95" i="53"/>
  <c r="CL96" i="53"/>
  <c r="CS79" i="37"/>
  <c r="CC88" i="37"/>
  <c r="CN88" i="53"/>
  <c r="CN90" i="53" s="1"/>
  <c r="CN92" i="53" s="1"/>
  <c r="O95" i="36"/>
  <c r="O96" i="36"/>
  <c r="AX96" i="37"/>
  <c r="AX95" i="37"/>
  <c r="CB92" i="53"/>
  <c r="CB94" i="53" s="1"/>
  <c r="CP96" i="37"/>
  <c r="CP95" i="37"/>
  <c r="BW95" i="36"/>
  <c r="BW96" i="36"/>
  <c r="AC95" i="36"/>
  <c r="AC96" i="36"/>
  <c r="CE95" i="54"/>
  <c r="CE96" i="54"/>
  <c r="AQ90" i="54"/>
  <c r="AQ92" i="54" s="1"/>
  <c r="AQ96" i="54"/>
  <c r="AQ95" i="54"/>
  <c r="F90" i="36"/>
  <c r="F92" i="36" s="1"/>
  <c r="F94" i="36" s="1"/>
  <c r="F97" i="36"/>
  <c r="CR88" i="36"/>
  <c r="X90" i="36"/>
  <c r="X92" i="36" s="1"/>
  <c r="X94" i="36" s="1"/>
  <c r="W90" i="53"/>
  <c r="W92" i="53" s="1"/>
  <c r="W95" i="53"/>
  <c r="W96" i="53"/>
  <c r="AA96" i="37"/>
  <c r="AA95" i="37"/>
  <c r="CG90" i="54"/>
  <c r="CG92" i="54" s="1"/>
  <c r="CG94" i="54" s="1"/>
  <c r="CG97" i="54"/>
  <c r="CM90" i="37"/>
  <c r="CM92" i="37" s="1"/>
  <c r="CM94" i="37" s="1"/>
  <c r="CM97" i="37"/>
  <c r="AO97" i="37"/>
  <c r="CL97" i="36"/>
  <c r="CF90" i="37"/>
  <c r="CF92" i="37" s="1"/>
  <c r="CF94" i="37" s="1"/>
  <c r="CF97" i="37"/>
  <c r="C90" i="37"/>
  <c r="C92" i="37" s="1"/>
  <c r="C96" i="37"/>
  <c r="C95" i="37"/>
  <c r="AG95" i="36"/>
  <c r="AG96" i="36"/>
  <c r="BH73" i="37"/>
  <c r="BI69" i="37"/>
  <c r="BI73" i="37" s="1"/>
  <c r="CH90" i="54"/>
  <c r="CH92" i="54" s="1"/>
  <c r="CH94" i="54" s="1"/>
  <c r="CH95" i="54"/>
  <c r="CH96" i="54"/>
  <c r="CQ90" i="54"/>
  <c r="CQ92" i="54" s="1"/>
  <c r="CQ94" i="54" s="1"/>
  <c r="CQ95" i="54"/>
  <c r="CQ96" i="54"/>
  <c r="CF96" i="53"/>
  <c r="CF95" i="53"/>
  <c r="AD95" i="37"/>
  <c r="AD96" i="37"/>
  <c r="AB96" i="36"/>
  <c r="AB95" i="36"/>
  <c r="CJ95" i="53"/>
  <c r="CJ96" i="53"/>
  <c r="I90" i="53"/>
  <c r="I92" i="53" s="1"/>
  <c r="I94" i="53" s="1"/>
  <c r="I95" i="53"/>
  <c r="I96" i="53"/>
  <c r="AN88" i="36"/>
  <c r="AN97" i="36" s="1"/>
  <c r="AO79" i="36"/>
  <c r="CB88" i="36"/>
  <c r="CB97" i="36" s="1"/>
  <c r="CC79" i="36"/>
  <c r="CK95" i="36"/>
  <c r="CK96" i="36"/>
  <c r="AW95" i="37"/>
  <c r="AW96" i="37"/>
  <c r="BR95" i="37"/>
  <c r="BR96" i="37"/>
  <c r="CK88" i="36"/>
  <c r="AK96" i="36"/>
  <c r="AK95" i="36"/>
  <c r="CE90" i="53"/>
  <c r="CE92" i="53" s="1"/>
  <c r="CE94" i="53" s="1"/>
  <c r="CE97" i="53"/>
  <c r="AG90" i="36"/>
  <c r="AG92" i="36" s="1"/>
  <c r="AG94" i="36" s="1"/>
  <c r="AG97" i="36"/>
  <c r="F95" i="36"/>
  <c r="F96" i="36"/>
  <c r="CH90" i="37"/>
  <c r="CH92" i="37" s="1"/>
  <c r="CH94" i="37" s="1"/>
  <c r="CH95" i="37"/>
  <c r="CH96" i="37"/>
  <c r="BC95" i="37"/>
  <c r="BC96" i="37"/>
  <c r="AQ96" i="37"/>
  <c r="AQ95" i="37"/>
  <c r="CI73" i="37"/>
  <c r="BS96" i="37"/>
  <c r="BS95" i="37"/>
  <c r="CQ97" i="36"/>
  <c r="D40" i="6"/>
  <c r="BR90" i="37"/>
  <c r="BR92" i="37" s="1"/>
  <c r="BR94" i="37" s="1"/>
  <c r="S96" i="36"/>
  <c r="S95" i="36"/>
  <c r="U88" i="53"/>
  <c r="CP90" i="37"/>
  <c r="CP92" i="37" s="1"/>
  <c r="CP94" i="37" s="1"/>
  <c r="CP97" i="37"/>
  <c r="H95" i="36"/>
  <c r="H96" i="36"/>
  <c r="CF69" i="36"/>
  <c r="CF73" i="36" s="1"/>
  <c r="E73" i="36"/>
  <c r="CP69" i="36"/>
  <c r="CP73" i="36" s="1"/>
  <c r="CO96" i="54"/>
  <c r="CO95" i="54"/>
  <c r="CA95" i="36"/>
  <c r="CA96" i="36"/>
  <c r="CF90" i="53"/>
  <c r="CF92" i="53" s="1"/>
  <c r="CF94" i="53" s="1"/>
  <c r="AB90" i="36"/>
  <c r="AB92" i="36" s="1"/>
  <c r="AB94" i="36" s="1"/>
  <c r="BU95" i="36"/>
  <c r="BU96" i="36"/>
  <c r="AV96" i="37"/>
  <c r="AV95" i="37"/>
  <c r="CQ90" i="37"/>
  <c r="CQ92" i="37" s="1"/>
  <c r="CQ94" i="37" s="1"/>
  <c r="CQ97" i="37"/>
  <c r="AV90" i="37"/>
  <c r="AV92" i="37" s="1"/>
  <c r="AV94" i="37" s="1"/>
  <c r="AO71" i="36"/>
  <c r="BP90" i="36"/>
  <c r="BP92" i="36" s="1"/>
  <c r="BP94" i="36" s="1"/>
  <c r="BP97" i="36"/>
  <c r="CL96" i="54"/>
  <c r="CL95" i="54"/>
  <c r="CI71" i="36"/>
  <c r="BI79" i="36"/>
  <c r="BH88" i="36"/>
  <c r="BH97" i="36" s="1"/>
  <c r="CE96" i="37"/>
  <c r="CE95" i="37"/>
  <c r="AE95" i="37"/>
  <c r="AE96" i="37"/>
  <c r="CG95" i="54"/>
  <c r="CG96" i="54"/>
  <c r="CF96" i="54"/>
  <c r="CF95" i="54"/>
  <c r="CR90" i="53"/>
  <c r="CR92" i="53" s="1"/>
  <c r="CR94" i="53" s="1"/>
  <c r="CR95" i="53"/>
  <c r="CR96" i="53"/>
  <c r="CS79" i="54"/>
  <c r="CC88" i="54"/>
  <c r="AR96" i="36"/>
  <c r="AR95" i="36"/>
  <c r="CI88" i="37"/>
  <c r="CI97" i="37" s="1"/>
  <c r="BM96" i="36"/>
  <c r="BM95" i="36"/>
  <c r="CP90" i="53"/>
  <c r="CP92" i="53" s="1"/>
  <c r="CP94" i="53" s="1"/>
  <c r="CP97" i="53"/>
  <c r="I90" i="37"/>
  <c r="I92" i="37" s="1"/>
  <c r="I94" i="37" s="1"/>
  <c r="I96" i="37"/>
  <c r="I95" i="37"/>
  <c r="AY90" i="37"/>
  <c r="AY96" i="37"/>
  <c r="AY95" i="37"/>
  <c r="J96" i="37"/>
  <c r="J95" i="37"/>
  <c r="AD90" i="37"/>
  <c r="AD92" i="37" s="1"/>
  <c r="AD94" i="37" s="1"/>
  <c r="CF88" i="36"/>
  <c r="CA90" i="36"/>
  <c r="CA92" i="36" s="1"/>
  <c r="CA94" i="36" s="1"/>
  <c r="S96" i="37"/>
  <c r="S95" i="37"/>
  <c r="D90" i="36"/>
  <c r="D92" i="36" s="1"/>
  <c r="D94" i="36" s="1"/>
  <c r="H96" i="37"/>
  <c r="H95" i="37"/>
  <c r="CF95" i="37"/>
  <c r="CF96" i="37"/>
  <c r="BA96" i="36"/>
  <c r="BA95" i="36"/>
  <c r="S90" i="37"/>
  <c r="S92" i="37" s="1"/>
  <c r="S94" i="37" s="1"/>
  <c r="AE90" i="53"/>
  <c r="AE96" i="53"/>
  <c r="AE95" i="53"/>
  <c r="AA95" i="36"/>
  <c r="AA96" i="36"/>
  <c r="CM96" i="37"/>
  <c r="CM95" i="37"/>
  <c r="CN86" i="36"/>
  <c r="U86" i="36"/>
  <c r="AI90" i="36"/>
  <c r="AI92" i="36" s="1"/>
  <c r="AI94" i="36" s="1"/>
  <c r="AI97" i="36"/>
  <c r="K97" i="53"/>
  <c r="AS90" i="36"/>
  <c r="AS92" i="36" s="1"/>
  <c r="AS94" i="36" s="1"/>
  <c r="AS97" i="36"/>
  <c r="CK95" i="37"/>
  <c r="CK96" i="37"/>
  <c r="BY95" i="36"/>
  <c r="BY96" i="36"/>
  <c r="CA90" i="37"/>
  <c r="CA92" i="37" s="1"/>
  <c r="CA94" i="37" s="1"/>
  <c r="BS97" i="36"/>
  <c r="CE90" i="54"/>
  <c r="CE92" i="54" s="1"/>
  <c r="CE94" i="54" s="1"/>
  <c r="CE97" i="54"/>
  <c r="M90" i="36"/>
  <c r="M92" i="36" s="1"/>
  <c r="M94" i="36" s="1"/>
  <c r="AU96" i="36"/>
  <c r="AU95" i="36"/>
  <c r="BK90" i="53"/>
  <c r="BK92" i="53" s="1"/>
  <c r="BK96" i="53"/>
  <c r="BK95" i="53"/>
  <c r="CI69" i="37"/>
  <c r="K73" i="37"/>
  <c r="AG96" i="37"/>
  <c r="AG95" i="37"/>
  <c r="CG95" i="53"/>
  <c r="CG96" i="53"/>
  <c r="AM96" i="37"/>
  <c r="AM95" i="37"/>
  <c r="AE69" i="36"/>
  <c r="AE73" i="36" s="1"/>
  <c r="W73" i="36"/>
  <c r="W90" i="36" s="1"/>
  <c r="W92" i="36" s="1"/>
  <c r="G90" i="54"/>
  <c r="G92" i="54" s="1"/>
  <c r="G94" i="54" s="1"/>
  <c r="G96" i="54"/>
  <c r="G95" i="54"/>
  <c r="AE90" i="54"/>
  <c r="AE96" i="54"/>
  <c r="AE95" i="54"/>
  <c r="E90" i="53"/>
  <c r="E92" i="53" s="1"/>
  <c r="E94" i="53" s="1"/>
  <c r="E96" i="53"/>
  <c r="E95" i="53"/>
  <c r="AD95" i="36"/>
  <c r="AD96" i="36"/>
  <c r="AB96" i="37"/>
  <c r="AB95" i="37"/>
  <c r="E90" i="54"/>
  <c r="E92" i="54" s="1"/>
  <c r="E94" i="54" s="1"/>
  <c r="E96" i="54"/>
  <c r="E95" i="54"/>
  <c r="CH96" i="53"/>
  <c r="CH95" i="53"/>
  <c r="CE90" i="36"/>
  <c r="CE92" i="36" s="1"/>
  <c r="CE94" i="36" s="1"/>
  <c r="CE97" i="36"/>
  <c r="CN73" i="36"/>
  <c r="CO90" i="54"/>
  <c r="CO92" i="54" s="1"/>
  <c r="CO94" i="54" s="1"/>
  <c r="BO96" i="36"/>
  <c r="BO95" i="36"/>
  <c r="CB69" i="36"/>
  <c r="BT73" i="36"/>
  <c r="BT90" i="36" s="1"/>
  <c r="BT92" i="36" s="1"/>
  <c r="BR96" i="36"/>
  <c r="BR95" i="36"/>
  <c r="AU90" i="37"/>
  <c r="AU92" i="37" s="1"/>
  <c r="AU94" i="37" s="1"/>
  <c r="AY88" i="36"/>
  <c r="AY97" i="36" s="1"/>
  <c r="CS81" i="54"/>
  <c r="CM90" i="54"/>
  <c r="CM92" i="54" s="1"/>
  <c r="CM94" i="54" s="1"/>
  <c r="CM97" i="54"/>
  <c r="CJ90" i="53"/>
  <c r="CJ92" i="53" s="1"/>
  <c r="CJ94" i="53" s="1"/>
  <c r="CJ97" i="53"/>
  <c r="BA90" i="37"/>
  <c r="BA92" i="37" s="1"/>
  <c r="BA94" i="37" s="1"/>
  <c r="AE88" i="36"/>
  <c r="D90" i="37"/>
  <c r="D92" i="37" s="1"/>
  <c r="D94" i="37" s="1"/>
  <c r="CS71" i="53"/>
  <c r="F95" i="37"/>
  <c r="F96" i="37"/>
  <c r="CQ95" i="37"/>
  <c r="CQ96" i="37"/>
  <c r="CH69" i="36"/>
  <c r="CH73" i="36" s="1"/>
  <c r="I73" i="36"/>
  <c r="CR69" i="36"/>
  <c r="CR73" i="36" s="1"/>
  <c r="BC95" i="36"/>
  <c r="BC96" i="36"/>
  <c r="AY69" i="36"/>
  <c r="AY73" i="36" s="1"/>
  <c r="AQ73" i="36"/>
  <c r="BL96" i="36"/>
  <c r="BL95" i="36"/>
  <c r="BK90" i="37"/>
  <c r="BK92" i="37" s="1"/>
  <c r="BK95" i="37"/>
  <c r="BK96" i="37"/>
  <c r="BH92" i="53"/>
  <c r="BH94" i="53" s="1"/>
  <c r="AI96" i="36"/>
  <c r="AI95" i="36"/>
  <c r="CN71" i="36"/>
  <c r="U71" i="36"/>
  <c r="CP88" i="36"/>
  <c r="BS90" i="37"/>
  <c r="BQ96" i="37"/>
  <c r="BQ95" i="37"/>
  <c r="BG90" i="36"/>
  <c r="BG92" i="36" s="1"/>
  <c r="BG94" i="36" s="1"/>
  <c r="BG95" i="36"/>
  <c r="BG96" i="36"/>
  <c r="K73" i="53"/>
  <c r="CI69" i="53"/>
  <c r="X96" i="37"/>
  <c r="X95" i="37"/>
  <c r="CS81" i="37"/>
  <c r="CM88" i="36"/>
  <c r="CI86" i="36"/>
  <c r="CO90" i="37"/>
  <c r="CO92" i="37" s="1"/>
  <c r="CO94" i="37" s="1"/>
  <c r="CO97" i="37"/>
  <c r="CK96" i="54"/>
  <c r="CK95" i="54"/>
  <c r="AR90" i="36"/>
  <c r="AR92" i="36" s="1"/>
  <c r="AR94" i="36" s="1"/>
  <c r="CS71" i="54"/>
  <c r="O96" i="37"/>
  <c r="O95" i="37"/>
  <c r="AX95" i="36"/>
  <c r="AX96" i="36"/>
  <c r="CC69" i="53"/>
  <c r="CB73" i="53"/>
  <c r="E90" i="37"/>
  <c r="E92" i="37" s="1"/>
  <c r="E94" i="37" s="1"/>
  <c r="E96" i="37"/>
  <c r="E95" i="37"/>
  <c r="BW95" i="37"/>
  <c r="BW96" i="37"/>
  <c r="AC96" i="37"/>
  <c r="AC95" i="37"/>
  <c r="C90" i="54"/>
  <c r="C92" i="54" s="1"/>
  <c r="C95" i="54"/>
  <c r="C96" i="54"/>
  <c r="AY90" i="54"/>
  <c r="AY96" i="54"/>
  <c r="AY95" i="54"/>
  <c r="BM90" i="36"/>
  <c r="BM92" i="36" s="1"/>
  <c r="BM94" i="36" s="1"/>
  <c r="CK95" i="53"/>
  <c r="CK96" i="53"/>
  <c r="BI86" i="36"/>
  <c r="BU95" i="37"/>
  <c r="BU96" i="37"/>
  <c r="AN92" i="53"/>
  <c r="AN94" i="53" s="1"/>
  <c r="AV95" i="36"/>
  <c r="AV96" i="36"/>
  <c r="T73" i="54"/>
  <c r="CN69" i="54"/>
  <c r="U69" i="54"/>
  <c r="U73" i="54" s="1"/>
  <c r="U88" i="36" l="1"/>
  <c r="U97" i="36" s="1"/>
  <c r="CS86" i="36"/>
  <c r="CS88" i="53"/>
  <c r="CS97" i="53" s="1"/>
  <c r="CS88" i="37"/>
  <c r="CS97" i="37" s="1"/>
  <c r="CB92" i="36"/>
  <c r="CB94" i="36" s="1"/>
  <c r="CN88" i="36"/>
  <c r="CN90" i="36" s="1"/>
  <c r="CN92" i="36" s="1"/>
  <c r="AN92" i="36"/>
  <c r="AN94" i="36" s="1"/>
  <c r="C94" i="54"/>
  <c r="K92" i="54"/>
  <c r="K94" i="54" s="1"/>
  <c r="AQ95" i="36"/>
  <c r="AQ96" i="36"/>
  <c r="CC97" i="54"/>
  <c r="CI90" i="37"/>
  <c r="CI92" i="37" s="1"/>
  <c r="CI94" i="37" s="1"/>
  <c r="CI95" i="37"/>
  <c r="CI96" i="37"/>
  <c r="CK90" i="36"/>
  <c r="CK92" i="36" s="1"/>
  <c r="CK94" i="36" s="1"/>
  <c r="CK97" i="36"/>
  <c r="CS79" i="36"/>
  <c r="CS88" i="36" s="1"/>
  <c r="CC88" i="36"/>
  <c r="CR97" i="36"/>
  <c r="E40" i="6"/>
  <c r="CC97" i="37"/>
  <c r="CO95" i="36"/>
  <c r="CO96" i="36"/>
  <c r="B38" i="6"/>
  <c r="CS69" i="54"/>
  <c r="CC73" i="54"/>
  <c r="CM90" i="36"/>
  <c r="CM92" i="36" s="1"/>
  <c r="CM94" i="36" s="1"/>
  <c r="CM97" i="36"/>
  <c r="BS92" i="37"/>
  <c r="BS94" i="37" s="1"/>
  <c r="BK94" i="37"/>
  <c r="CS88" i="54"/>
  <c r="CS97" i="54" s="1"/>
  <c r="AE92" i="36"/>
  <c r="AE94" i="36" s="1"/>
  <c r="W94" i="36"/>
  <c r="AE92" i="37"/>
  <c r="AE94" i="37" s="1"/>
  <c r="W94" i="37"/>
  <c r="CE96" i="36"/>
  <c r="CE95" i="36"/>
  <c r="CJ90" i="36"/>
  <c r="CJ92" i="36" s="1"/>
  <c r="CJ94" i="36" s="1"/>
  <c r="CJ97" i="36"/>
  <c r="T92" i="36"/>
  <c r="T94" i="36" s="1"/>
  <c r="U90" i="37"/>
  <c r="U92" i="37" s="1"/>
  <c r="U94" i="37" s="1"/>
  <c r="U96" i="37"/>
  <c r="U95" i="37"/>
  <c r="CI73" i="53"/>
  <c r="K95" i="53"/>
  <c r="K96" i="53"/>
  <c r="CS71" i="36"/>
  <c r="CC69" i="36"/>
  <c r="CB73" i="36"/>
  <c r="AO88" i="36"/>
  <c r="AO97" i="36" s="1"/>
  <c r="AE92" i="53"/>
  <c r="AE94" i="53" s="1"/>
  <c r="W94" i="53"/>
  <c r="BK90" i="36"/>
  <c r="BK92" i="36" s="1"/>
  <c r="BK96" i="36"/>
  <c r="BK95" i="36"/>
  <c r="G90" i="36"/>
  <c r="G92" i="36" s="1"/>
  <c r="G94" i="36" s="1"/>
  <c r="G96" i="36"/>
  <c r="G95" i="36"/>
  <c r="AQ90" i="36"/>
  <c r="AQ92" i="36" s="1"/>
  <c r="CB90" i="37"/>
  <c r="CB95" i="37"/>
  <c r="CB96" i="37"/>
  <c r="CL96" i="36"/>
  <c r="CL95" i="36"/>
  <c r="AN90" i="37"/>
  <c r="AN95" i="37"/>
  <c r="AN96" i="37"/>
  <c r="BI69" i="36"/>
  <c r="BI73" i="36" s="1"/>
  <c r="BH73" i="36"/>
  <c r="C90" i="36"/>
  <c r="C92" i="36" s="1"/>
  <c r="C95" i="36"/>
  <c r="C96" i="36"/>
  <c r="AO90" i="54"/>
  <c r="AO92" i="54" s="1"/>
  <c r="AO94" i="54" s="1"/>
  <c r="AO96" i="54"/>
  <c r="AO95" i="54"/>
  <c r="CM95" i="36"/>
  <c r="CM96" i="36"/>
  <c r="AY92" i="53"/>
  <c r="AY94" i="53" s="1"/>
  <c r="AQ94" i="53"/>
  <c r="BH90" i="54"/>
  <c r="BH95" i="54"/>
  <c r="BH96" i="54"/>
  <c r="BS92" i="54"/>
  <c r="BS94" i="54" s="1"/>
  <c r="BK94" i="54"/>
  <c r="U69" i="36"/>
  <c r="U73" i="36" s="1"/>
  <c r="CN69" i="36"/>
  <c r="T73" i="36"/>
  <c r="AO90" i="53"/>
  <c r="AO92" i="53" s="1"/>
  <c r="AO94" i="53" s="1"/>
  <c r="AO95" i="53"/>
  <c r="AO96" i="53"/>
  <c r="BI90" i="53"/>
  <c r="BI92" i="53" s="1"/>
  <c r="BI94" i="53" s="1"/>
  <c r="BI95" i="53"/>
  <c r="BI96" i="53"/>
  <c r="T90" i="37"/>
  <c r="T92" i="37" s="1"/>
  <c r="T94" i="37" s="1"/>
  <c r="T95" i="37"/>
  <c r="T96" i="37"/>
  <c r="CB90" i="53"/>
  <c r="CB95" i="53"/>
  <c r="CB96" i="53"/>
  <c r="CR90" i="36"/>
  <c r="CR92" i="36" s="1"/>
  <c r="CR95" i="36"/>
  <c r="CR96" i="36"/>
  <c r="E38" i="6"/>
  <c r="AE95" i="36"/>
  <c r="AE96" i="36"/>
  <c r="CP95" i="36"/>
  <c r="CP96" i="36"/>
  <c r="C38" i="6"/>
  <c r="CQ96" i="36"/>
  <c r="CQ95" i="36"/>
  <c r="D38" i="6"/>
  <c r="CO90" i="36"/>
  <c r="CO97" i="36"/>
  <c r="B40" i="6"/>
  <c r="CI73" i="54"/>
  <c r="K95" i="54"/>
  <c r="K96" i="54"/>
  <c r="U90" i="54"/>
  <c r="U92" i="54" s="1"/>
  <c r="U94" i="54" s="1"/>
  <c r="U97" i="54"/>
  <c r="U95" i="53"/>
  <c r="U96" i="53"/>
  <c r="CH90" i="36"/>
  <c r="CH92" i="36" s="1"/>
  <c r="CH94" i="36" s="1"/>
  <c r="CH97" i="36"/>
  <c r="T90" i="54"/>
  <c r="T92" i="54" s="1"/>
  <c r="T94" i="54" s="1"/>
  <c r="T95" i="54"/>
  <c r="T96" i="54"/>
  <c r="CS69" i="53"/>
  <c r="CC73" i="53"/>
  <c r="CP90" i="36"/>
  <c r="CP92" i="36" s="1"/>
  <c r="C40" i="6"/>
  <c r="CP97" i="36"/>
  <c r="AY90" i="36"/>
  <c r="AY95" i="36"/>
  <c r="AY96" i="36"/>
  <c r="I90" i="36"/>
  <c r="I92" i="36" s="1"/>
  <c r="I94" i="36" s="1"/>
  <c r="I95" i="36"/>
  <c r="I96" i="36"/>
  <c r="AE90" i="36"/>
  <c r="AE97" i="36"/>
  <c r="E90" i="36"/>
  <c r="E92" i="36" s="1"/>
  <c r="E94" i="36" s="1"/>
  <c r="E96" i="36"/>
  <c r="E95" i="36"/>
  <c r="CQ90" i="36"/>
  <c r="CQ92" i="36" s="1"/>
  <c r="BI90" i="37"/>
  <c r="BI92" i="37" s="1"/>
  <c r="BI94" i="37" s="1"/>
  <c r="BI95" i="37"/>
  <c r="BI96" i="37"/>
  <c r="AY92" i="54"/>
  <c r="AY94" i="54" s="1"/>
  <c r="AQ94" i="54"/>
  <c r="CG90" i="36"/>
  <c r="CG92" i="36" s="1"/>
  <c r="CG94" i="36" s="1"/>
  <c r="CG95" i="36"/>
  <c r="CG96" i="36"/>
  <c r="AE92" i="54"/>
  <c r="AE94" i="54" s="1"/>
  <c r="W94" i="54"/>
  <c r="AN90" i="54"/>
  <c r="AN96" i="54"/>
  <c r="AN95" i="54"/>
  <c r="K92" i="53"/>
  <c r="K94" i="53" s="1"/>
  <c r="C94" i="53"/>
  <c r="AN73" i="36"/>
  <c r="AO69" i="36"/>
  <c r="AO73" i="36" s="1"/>
  <c r="BH90" i="53"/>
  <c r="BH96" i="53"/>
  <c r="BH95" i="53"/>
  <c r="CC90" i="53"/>
  <c r="CC92" i="53" s="1"/>
  <c r="CC94" i="53" s="1"/>
  <c r="CC97" i="53"/>
  <c r="CH95" i="36"/>
  <c r="CH96" i="36"/>
  <c r="CF95" i="36"/>
  <c r="CF96" i="36"/>
  <c r="BH90" i="37"/>
  <c r="BH95" i="37"/>
  <c r="BH96" i="37"/>
  <c r="U95" i="54"/>
  <c r="U96" i="54"/>
  <c r="W95" i="36"/>
  <c r="W96" i="36"/>
  <c r="K90" i="37"/>
  <c r="K96" i="37"/>
  <c r="K95" i="37"/>
  <c r="BS92" i="53"/>
  <c r="BS94" i="53" s="1"/>
  <c r="BK94" i="53"/>
  <c r="K90" i="53"/>
  <c r="CF90" i="36"/>
  <c r="CF92" i="36" s="1"/>
  <c r="CF94" i="36" s="1"/>
  <c r="CF97" i="36"/>
  <c r="BH92" i="37"/>
  <c r="BH94" i="37" s="1"/>
  <c r="BI88" i="36"/>
  <c r="BI97" i="36" s="1"/>
  <c r="U90" i="53"/>
  <c r="U92" i="53" s="1"/>
  <c r="U94" i="53" s="1"/>
  <c r="U97" i="53"/>
  <c r="CB92" i="37"/>
  <c r="CB94" i="37" s="1"/>
  <c r="K92" i="37"/>
  <c r="K94" i="37" s="1"/>
  <c r="C94" i="37"/>
  <c r="CL90" i="36"/>
  <c r="CL92" i="36" s="1"/>
  <c r="CL94" i="36" s="1"/>
  <c r="BS96" i="36"/>
  <c r="BS95" i="36"/>
  <c r="CC73" i="37"/>
  <c r="CC90" i="37" s="1"/>
  <c r="CC92" i="37" s="1"/>
  <c r="CC94" i="37" s="1"/>
  <c r="CS69" i="37"/>
  <c r="AO96" i="37"/>
  <c r="AO95" i="37"/>
  <c r="BH92" i="36"/>
  <c r="BH94" i="36" s="1"/>
  <c r="K73" i="36"/>
  <c r="CI69" i="36"/>
  <c r="K90" i="54"/>
  <c r="BI90" i="54"/>
  <c r="BI92" i="54" s="1"/>
  <c r="BI94" i="54" s="1"/>
  <c r="BI95" i="54"/>
  <c r="BI96" i="54"/>
  <c r="CI88" i="36"/>
  <c r="CI97" i="36" s="1"/>
  <c r="T90" i="53"/>
  <c r="T92" i="53" s="1"/>
  <c r="T94" i="53" s="1"/>
  <c r="T96" i="53"/>
  <c r="T95" i="53"/>
  <c r="CB90" i="54"/>
  <c r="CB96" i="54"/>
  <c r="CB95" i="54"/>
  <c r="CJ95" i="36"/>
  <c r="CJ96" i="36"/>
  <c r="AN90" i="53"/>
  <c r="AN95" i="53"/>
  <c r="AN96" i="53"/>
  <c r="AY92" i="37"/>
  <c r="AY94" i="37" s="1"/>
  <c r="CO92" i="36" l="1"/>
  <c r="D10" i="13"/>
  <c r="D13" i="13" s="1"/>
  <c r="D27" i="13" s="1"/>
  <c r="D36" i="13" s="1"/>
  <c r="D13" i="6"/>
  <c r="D15" i="6"/>
  <c r="D14" i="6"/>
  <c r="D35" i="6"/>
  <c r="CQ94" i="36"/>
  <c r="CI90" i="54"/>
  <c r="CI92" i="54" s="1"/>
  <c r="CI94" i="54" s="1"/>
  <c r="CI95" i="54"/>
  <c r="CI96" i="54"/>
  <c r="T90" i="36"/>
  <c r="T96" i="36"/>
  <c r="T95" i="36"/>
  <c r="CS69" i="36"/>
  <c r="CC73" i="36"/>
  <c r="CS97" i="36"/>
  <c r="C94" i="36"/>
  <c r="K92" i="36"/>
  <c r="K94" i="36" s="1"/>
  <c r="K90" i="36"/>
  <c r="K96" i="36"/>
  <c r="K95" i="36"/>
  <c r="CI73" i="36"/>
  <c r="C14" i="6"/>
  <c r="C10" i="13"/>
  <c r="C13" i="13" s="1"/>
  <c r="C27" i="13" s="1"/>
  <c r="C36" i="13" s="1"/>
  <c r="C13" i="6"/>
  <c r="C15" i="6"/>
  <c r="C35" i="6"/>
  <c r="CP94" i="36"/>
  <c r="U90" i="36"/>
  <c r="U92" i="36" s="1"/>
  <c r="U94" i="36" s="1"/>
  <c r="U95" i="36"/>
  <c r="U96" i="36"/>
  <c r="BH90" i="36"/>
  <c r="BH96" i="36"/>
  <c r="BH95" i="36"/>
  <c r="BS92" i="36"/>
  <c r="BS94" i="36" s="1"/>
  <c r="BK94" i="36"/>
  <c r="CS73" i="54"/>
  <c r="CC96" i="54"/>
  <c r="CC95" i="54"/>
  <c r="AN90" i="36"/>
  <c r="AN96" i="36"/>
  <c r="AN95" i="36"/>
  <c r="AY92" i="36"/>
  <c r="AY94" i="36" s="1"/>
  <c r="AQ94" i="36"/>
  <c r="CI90" i="53"/>
  <c r="CI92" i="53" s="1"/>
  <c r="CI94" i="53" s="1"/>
  <c r="CI96" i="53"/>
  <c r="CI95" i="53"/>
  <c r="CS73" i="37"/>
  <c r="CC96" i="37"/>
  <c r="CC95" i="37"/>
  <c r="AO90" i="36"/>
  <c r="AO92" i="36" s="1"/>
  <c r="AO94" i="36" s="1"/>
  <c r="AO95" i="36"/>
  <c r="AO96" i="36"/>
  <c r="CS73" i="53"/>
  <c r="CC95" i="53"/>
  <c r="CC96" i="53"/>
  <c r="CO94" i="36"/>
  <c r="B10" i="13"/>
  <c r="B13" i="13" s="1"/>
  <c r="B27" i="13" s="1"/>
  <c r="B36" i="13" s="1"/>
  <c r="B40" i="13" s="1"/>
  <c r="B15" i="6"/>
  <c r="B13" i="6"/>
  <c r="B35" i="6"/>
  <c r="B14" i="6"/>
  <c r="E15" i="6"/>
  <c r="E10" i="13"/>
  <c r="E13" i="13" s="1"/>
  <c r="E27" i="13" s="1"/>
  <c r="E36" i="13" s="1"/>
  <c r="E13" i="6"/>
  <c r="CR94" i="36"/>
  <c r="E35" i="6"/>
  <c r="E14" i="6"/>
  <c r="BI90" i="36"/>
  <c r="BI92" i="36" s="1"/>
  <c r="BI94" i="36" s="1"/>
  <c r="BI95" i="36"/>
  <c r="BI96" i="36"/>
  <c r="CB90" i="36"/>
  <c r="CB96" i="36"/>
  <c r="CB95" i="36"/>
  <c r="CC90" i="36"/>
  <c r="CC92" i="36" s="1"/>
  <c r="CC94" i="36" s="1"/>
  <c r="CC97" i="36"/>
  <c r="CC90" i="54"/>
  <c r="CC92" i="54" s="1"/>
  <c r="CC94" i="54" s="1"/>
  <c r="CS90" i="37" l="1"/>
  <c r="CS92" i="37" s="1"/>
  <c r="CS94" i="37" s="1"/>
  <c r="CS96" i="37"/>
  <c r="CS95" i="37"/>
  <c r="C39" i="13"/>
  <c r="C40" i="13" s="1"/>
  <c r="CS90" i="53"/>
  <c r="CS92" i="53" s="1"/>
  <c r="CS94" i="53" s="1"/>
  <c r="CS96" i="53"/>
  <c r="CS95" i="53"/>
  <c r="CI90" i="36"/>
  <c r="CI92" i="36" s="1"/>
  <c r="CI94" i="36" s="1"/>
  <c r="CI95" i="36"/>
  <c r="CI96" i="36"/>
  <c r="CS73" i="36"/>
  <c r="CC95" i="36"/>
  <c r="CC96" i="36"/>
  <c r="CS90" i="54"/>
  <c r="CS92" i="54" s="1"/>
  <c r="CS94" i="54" s="1"/>
  <c r="CS95" i="54"/>
  <c r="CS96" i="54"/>
  <c r="CS96" i="36" l="1"/>
  <c r="CS95" i="36"/>
  <c r="CS90" i="36"/>
  <c r="CS92" i="36" s="1"/>
  <c r="CS94" i="36" s="1"/>
  <c r="D39" i="13"/>
  <c r="D40" i="13" s="1"/>
  <c r="E39" i="13" l="1"/>
  <c r="E40"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Janet Lau</author>
  </authors>
  <commentList>
    <comment ref="D18" authorId="0" shapeId="0" xr:uid="{EF7C692E-BCCA-40A7-B0CE-F38373D09BB7}">
      <text>
        <r>
          <rPr>
            <b/>
            <sz val="9"/>
            <color indexed="81"/>
            <rFont val="Tahoma"/>
            <family val="2"/>
          </rPr>
          <t>Janet Lau:</t>
        </r>
        <r>
          <rPr>
            <sz val="9"/>
            <color indexed="81"/>
            <rFont val="Tahoma"/>
            <family val="2"/>
          </rPr>
          <t xml:space="preserve">
</t>
        </r>
      </text>
    </comment>
  </commentList>
</comments>
</file>

<file path=xl/sharedStrings.xml><?xml version="1.0" encoding="utf-8"?>
<sst xmlns="http://schemas.openxmlformats.org/spreadsheetml/2006/main" count="5891" uniqueCount="1573">
  <si>
    <t>Purpose</t>
  </si>
  <si>
    <t>The objective of this Financial Reporting Template is to ensure uniformity, accuracy and completeness in financial reporting for the Massachusetts Senior Care Options (SCO) program. In addition, the provision of this Financial Reporting Template to the SCOs will help to eliminate inconsistencies, as reports can vary in the presentation of items such as allocation of expenses, accrual of incurred-but-not-reported (IBNR) claims and other items. All reports shall be submitted as outlined in the general instructions. The financial data submitted from this Financial Reporting Template will be used to monitor SCO performance, encounter submissions and will be used in rate setting.</t>
  </si>
  <si>
    <t>Appendix D: Reporting Requirements</t>
  </si>
  <si>
    <t>The Contractor shall report the following data related to the specific entity which will directly operate the Senior Care Options Program (i.e., not the parent organization and/or affiliate): Financial data related to cost for the Massachusetts SCO covered population. The report shall be submitted in a form and format specified by EOHHS including, but not limited to, the following:
a. Member Enrollment and Disenrollment
b. Balance Sheet containing the SCO product line net worth and working capital as set forth in Section 2.11: Financial Requirements
c. Income Statement
d. Cash Flow
e. Financial Indicators
f. Utilization
g. Solvency Requirements as set forth in Section 2.11.B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</si>
  <si>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</si>
  <si>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</si>
  <si>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</si>
  <si>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</si>
  <si>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</si>
  <si>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</si>
  <si>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</si>
  <si>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</si>
  <si>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</si>
  <si>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orange are to be completed by the SCO. Cells highlighted in yellow are formula driven and do not require data input. All information requested is for Massachusetts SCO enrollment only. If there is an issue with the formula within the template please correct and notify the program.</t>
  </si>
  <si>
    <t>SCO PROGRAM</t>
  </si>
  <si>
    <t>Submission Dates for Financial Reports For Calendar Year 2024</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</si>
  <si>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</si>
  <si>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</si>
  <si>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</si>
  <si>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</si>
  <si>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</si>
  <si>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</si>
  <si>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</si>
  <si>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</si>
  <si>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</si>
  <si>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</si>
  <si>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</si>
  <si>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</si>
  <si>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</si>
  <si>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</si>
  <si>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</si>
  <si>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</si>
  <si>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</si>
  <si>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</si>
  <si>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9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</si>
  <si>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</si>
  <si>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</si>
  <si>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</si>
  <si>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</si>
  <si>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</si>
  <si>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SCO member months for the reporting period.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</si>
  <si>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 D,F,H,J</t>
  </si>
  <si>
    <t>Medicaid Only Enrollments</t>
  </si>
  <si>
    <t>Medicaid Only Member Months during the reporting period, by rating category. A member month is equivalent to one person for whom your plan has recognized a MassHealth SCO capitation payment for a month during the reporting period.</t>
  </si>
  <si>
    <t>Column E,G,I,K</t>
  </si>
  <si>
    <t>Dual Enrollments</t>
  </si>
  <si>
    <t>Dual Eligible Member Months during the reporting period, by rating category. A member month is equivalent to one person for whom your plan has recognized a MassHealth SCO capitation payment for a month during the reporting period.</t>
  </si>
  <si>
    <t>Column L</t>
  </si>
  <si>
    <t>Total Member Months for Period</t>
  </si>
  <si>
    <t>Total member months relevant to region categories (Boston/Non Boston). A member month is equivalent to one person for whom the plan has recognized a MassHealth SCO capitation payment for a month during the reporting period (the sum of Column D through Column K).</t>
  </si>
  <si>
    <t>Boston</t>
  </si>
  <si>
    <t>Provide quarterly Member Months for the Massachusetts SCO population by rating category and dual status for Boston membership.</t>
  </si>
  <si>
    <t>Non-Boston</t>
  </si>
  <si>
    <t>Provide quarterly Member Months for the Massachusetts SCO population by rating category and dual status for non-Boston membership.</t>
  </si>
  <si>
    <t>Total</t>
  </si>
  <si>
    <t>Provide quarterly Member Months for the Massachusetts SCO population by rating category and dual status for all region membership.</t>
  </si>
  <si>
    <t>Schedule 2: Balance Sheet (Reported Basis)</t>
  </si>
  <si>
    <t>Provide quarterly data related to assets, liabilities and net worth for the Massachusetts SCO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</si>
  <si>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</si>
  <si>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</si>
  <si>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</si>
  <si>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</si>
  <si>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</si>
  <si>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</si>
  <si>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</si>
  <si>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</si>
  <si>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</si>
  <si>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</si>
  <si>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</si>
  <si>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</si>
  <si>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</si>
  <si>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</si>
  <si>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</si>
  <si>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</si>
  <si>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</si>
  <si>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</si>
  <si>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</si>
  <si>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</si>
  <si>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</si>
  <si>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</si>
  <si>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</si>
  <si>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</si>
  <si>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</si>
  <si>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</si>
  <si>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</si>
  <si>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</si>
  <si>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</si>
  <si>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</si>
  <si>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</si>
  <si>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</si>
  <si>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</si>
  <si>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</si>
  <si>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</si>
  <si>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</si>
  <si>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</si>
  <si>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</si>
  <si>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</si>
  <si>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</si>
  <si>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</si>
  <si>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</si>
  <si>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</si>
  <si>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</si>
  <si>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</si>
  <si>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</si>
  <si>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</si>
  <si>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</si>
  <si>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</si>
  <si>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</si>
  <si>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</si>
  <si>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</si>
  <si>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</si>
  <si>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</si>
  <si>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</si>
  <si>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</si>
  <si>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</si>
  <si>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</si>
  <si>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</si>
  <si>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</si>
  <si>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</si>
  <si>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</si>
  <si>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</si>
  <si>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</si>
  <si>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</si>
  <si>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</si>
  <si>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</si>
  <si>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</si>
  <si>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</si>
  <si>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</si>
  <si>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</si>
  <si>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</si>
  <si>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</si>
  <si>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</si>
  <si>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</si>
  <si>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</si>
  <si>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</si>
  <si>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</si>
  <si>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</si>
  <si>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</si>
  <si>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</si>
  <si>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</si>
  <si>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</si>
  <si>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</si>
  <si>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</si>
  <si>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</si>
  <si>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</si>
  <si>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</si>
  <si>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</si>
  <si>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SCO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</si>
  <si>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</si>
  <si>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</si>
  <si>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</si>
  <si>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</si>
  <si>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</si>
  <si>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</si>
  <si>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</si>
  <si>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</si>
  <si>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</si>
  <si>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</si>
  <si>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</si>
  <si>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</si>
  <si>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including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</si>
  <si>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</si>
  <si>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</si>
  <si>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</si>
  <si>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</si>
  <si>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</si>
  <si>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</si>
  <si>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3A_Income Statement, Schedule 3B_Income_Boston (CINBN); Schedule 3C: Income_Non_Boston (COTBN or Other)
(Restated Basis)</t>
  </si>
  <si>
    <t>Provide quarterly data related to cost for the Massachusetts SCO population by rating category, region, and dual status split between Medicaid and Medicare.</t>
  </si>
  <si>
    <t>Revenue</t>
  </si>
  <si>
    <t xml:space="preserve">Line items should exclude patient contribution to care except for line 0006. </t>
  </si>
  <si>
    <t>Total Medicaid Premiums</t>
  </si>
  <si>
    <t>Medicaid only and Medicaid dual revenue received from (EOHHS) to cover community and institutional services for SCO enrollees.</t>
  </si>
  <si>
    <t>Total Medicare Premiums</t>
  </si>
  <si>
    <t>Revenue from the Medicare (CMS) program to cover Medicare Part A, Part B and Part D services for SCO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</si>
  <si>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</si>
  <si>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SCO in addition to capitation for covered services that is not included in Line 0001.</t>
  </si>
  <si>
    <t>Other Revenue - Medicare</t>
  </si>
  <si>
    <t>Other Medicare revenue paid by CMS to the SCO in addition to capitation for covered services that is not included in Line 0002.</t>
  </si>
  <si>
    <t>Total Premium Revenue</t>
  </si>
  <si>
    <t>All premium revenue paid to the SCO reported on lines 0001, 0002, 0003 and 0004.</t>
  </si>
  <si>
    <t>Patient Contribution to Care</t>
  </si>
  <si>
    <t>Revenue recognized during the reporting period for Patient Contributions to Care received from the SCO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</si>
  <si>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</si>
  <si>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</si>
  <si>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</si>
  <si>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</si>
  <si>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</si>
  <si>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</si>
  <si>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t>
  </si>
  <si>
    <t>Revenue from sources not covered in the previous revenue accounts.</t>
  </si>
  <si>
    <t>Total Other Revenue</t>
  </si>
  <si>
    <t>All other revenue reported in lines 0006, 0007, 0008, 0009 and 0010.</t>
  </si>
  <si>
    <t>Total Revenue</t>
  </si>
  <si>
    <t>Total revenue (the sum of lines 0005 and 0011).</t>
  </si>
  <si>
    <t>Medical Expenses (inclusive of IBNR)</t>
  </si>
  <si>
    <t xml:space="preserve">Line items should exclude patient contribution to care except for line 0038. </t>
  </si>
  <si>
    <t>Hospital Inpatient</t>
  </si>
  <si>
    <t>Refer to Medical Services Definitions Tab.</t>
  </si>
  <si>
    <t>Behavioral Health (BH) Hospital Inpatient</t>
  </si>
  <si>
    <t>Hospital Outpatient</t>
  </si>
  <si>
    <t>Behavioral Health (BH) Hospital Outpatient</t>
  </si>
  <si>
    <t>Professional</t>
  </si>
  <si>
    <t>Vision</t>
  </si>
  <si>
    <t>Dental</t>
  </si>
  <si>
    <t>Therapy</t>
  </si>
  <si>
    <t>Pharmacy/Drugs (LICS \ Reinsurance)</t>
  </si>
  <si>
    <t>Pharmacy/Drugs (Part D) GROSS</t>
  </si>
  <si>
    <t xml:space="preserve">Refer to Medical Services Definitions Tab. Do not deduct pharmacy rebates. </t>
  </si>
  <si>
    <t>Pharmacy/Drugs (Part D) NET</t>
  </si>
  <si>
    <t>Refer to Medical Services Definitions Tab. Deduct pharmacy rebates.</t>
  </si>
  <si>
    <t>Pharmacy/Drugs (non-Part D) GROSS</t>
  </si>
  <si>
    <t>Pharmacy/Drugs (non-Part D) NET</t>
  </si>
  <si>
    <t>Laboratory, Radiology, Testing</t>
  </si>
  <si>
    <t>Institutional Long Term Care</t>
  </si>
  <si>
    <t>Personal Care Attendant (PCA)</t>
  </si>
  <si>
    <t>Home Health</t>
  </si>
  <si>
    <t>Adult Foster Care (Including GAFC)</t>
  </si>
  <si>
    <t>Adult Day Health</t>
  </si>
  <si>
    <t>Day Habilitation</t>
  </si>
  <si>
    <t>Frail Elder Waiver (FEW) Services</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</si>
  <si>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</si>
  <si>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</si>
  <si>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</si>
  <si>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</si>
  <si>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</si>
  <si>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</si>
  <si>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</si>
  <si>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</si>
  <si>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</si>
  <si>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</si>
  <si>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</si>
  <si>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SCO enrollees.</t>
  </si>
  <si>
    <t>Total Medical Expenses</t>
  </si>
  <si>
    <t>Total Medical Expenses (the sum of lines 0013 through 0042, excluding line 0022 and 0024).</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</si>
  <si>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</si>
  <si>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</si>
  <si>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</si>
  <si>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</si>
  <si>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0040) or fraud reduction expenses (line 0055),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</si>
  <si>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</si>
  <si>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</si>
  <si>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0044 through 0046).</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</si>
  <si>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</si>
  <si>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</si>
  <si>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</si>
  <si>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</si>
  <si>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</si>
  <si>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</si>
  <si>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</si>
  <si>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</si>
  <si>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SCO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</si>
  <si>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</si>
  <si>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</si>
  <si>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</si>
  <si>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</si>
  <si>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</si>
  <si>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line Total Expenses (line 0060),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</si>
  <si>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</si>
  <si>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</si>
  <si>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</si>
  <si>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</si>
  <si>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</si>
  <si>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</si>
  <si>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</si>
  <si>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0048 to 0057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</si>
  <si>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</si>
  <si>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0048 through 0058).</t>
  </si>
  <si>
    <t>Total Expenses</t>
  </si>
  <si>
    <t>The sum of Total Medical Expenses (line 0043), Total Administration Expenses (line 0059) and Total MLR Calculation Allowable Expenses (line 0047) less the Lesser of Fraud Reduction Recoveries or Expense (line 0045).</t>
  </si>
  <si>
    <t>Net Income</t>
  </si>
  <si>
    <t>Total Revenue minus Total Expenses (line 0012 minus line 0060).</t>
  </si>
  <si>
    <t>Profit Margin</t>
  </si>
  <si>
    <t>Net Income divided by Total Revenue excluding Investment Income (Line 0061 divided by (Line 0012 minus line 0009)).</t>
  </si>
  <si>
    <t>Medical Loss Ratio</t>
  </si>
  <si>
    <t>Ratio of Total Medical Expenses and Total MLR Calculation Allowable Expenses to Total Revenue excluding Patient Contribution to Care and Investment Income, net of premium taxes ((Line 0043 minus line 0042 plus Line 0047) divided by (Line 0012 minus lines 0006 and 0009)).</t>
  </si>
  <si>
    <t>MLR Allowable Expense Ratio</t>
  </si>
  <si>
    <t>Ratio of Total MLR Calculation Allowable Expenses to Total Revenue excluding Investment Income ((Line 0047 divided by (Line 0012 minus line 0009)).</t>
  </si>
  <si>
    <t>Administrative Expense Ratio</t>
  </si>
  <si>
    <t>Ratio of Total Administrative Expenses to Total Revenues excluding Investment Income (Line 0059 divided by (Line 0012 minus line 0009)).</t>
  </si>
  <si>
    <t>Schedule 4: Footnotes</t>
  </si>
  <si>
    <t>For the original submission of the SCO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</si>
  <si>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</si>
  <si>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</si>
  <si>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SCO.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</si>
  <si>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</si>
  <si>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</si>
  <si>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</si>
  <si>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</si>
  <si>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</si>
  <si>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0039.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</si>
  <si>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</si>
  <si>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</si>
  <si>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</si>
  <si>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</si>
  <si>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</si>
  <si>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SCO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</si>
  <si>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</si>
  <si>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</si>
  <si>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</si>
  <si>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</si>
  <si>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</si>
  <si>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</si>
  <si>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</si>
  <si>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</si>
  <si>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</si>
  <si>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</si>
  <si>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</si>
  <si>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</si>
  <si>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</si>
  <si>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</si>
  <si>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</si>
  <si>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</si>
  <si>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</si>
  <si>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</si>
  <si>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</si>
  <si>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</si>
  <si>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</si>
  <si>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</si>
  <si>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</si>
  <si>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</si>
  <si>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</si>
  <si>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</si>
  <si>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SCOs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</si>
  <si>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</si>
  <si>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</si>
  <si>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</si>
  <si>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</si>
  <si>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</si>
  <si>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0042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</si>
  <si>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</si>
  <si>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</si>
  <si>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</si>
  <si>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</si>
  <si>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</si>
  <si>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</si>
  <si>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</si>
  <si>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</si>
  <si>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</si>
  <si>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</si>
  <si>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</si>
  <si>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</si>
  <si>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</si>
  <si>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</si>
  <si>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</si>
  <si>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</si>
  <si>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</si>
  <si>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</si>
  <si>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</si>
  <si>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</si>
  <si>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</si>
  <si>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</si>
  <si>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</si>
  <si>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</si>
  <si>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</si>
  <si>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</si>
  <si>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</si>
  <si>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</si>
  <si>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SCO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</si>
  <si>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</si>
  <si>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</si>
  <si>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</si>
  <si>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</si>
  <si>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</si>
  <si>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SCO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</si>
  <si>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</si>
  <si>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</si>
  <si>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</si>
  <si>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0010a</t>
  </si>
  <si>
    <t>0010b</t>
  </si>
  <si>
    <t>0011a</t>
  </si>
  <si>
    <t>0011b</t>
  </si>
  <si>
    <t>ASAPs</t>
  </si>
  <si>
    <t>Total Medical Expenses (the sum of lines 0001 through 0025, excluding lines 0010b and 0011b).</t>
  </si>
  <si>
    <t>Claims with Claim Category code 3 = Dental.</t>
  </si>
  <si>
    <t>Inpatient</t>
  </si>
  <si>
    <t>Claims with Claim Category code 1 = (Facility except LTC) and Type of Bill values 11x and 41x are defined as "Inpatient" (Claim Type I).</t>
  </si>
  <si>
    <t>Long Term</t>
  </si>
  <si>
    <t>Claims with Claim Category code 6 = LTC (Nursing Home, Chronic Care and Rehab).</t>
  </si>
  <si>
    <t>Medical</t>
  </si>
  <si>
    <t>Claims with Claim Category code 2 = Professional &amp; 4 = Vision. Also includes transportation claims.</t>
  </si>
  <si>
    <t>Outpatient</t>
  </si>
  <si>
    <t>All other claims with Claim Category code 1 are defined as “Outpatient” (Claim Type O).</t>
  </si>
  <si>
    <t>Pharmacy</t>
  </si>
  <si>
    <t xml:space="preserve">Claims with Claim Category code 5 = Prescription Drug. Do not deduct pharmacy rebates. </t>
  </si>
  <si>
    <t>Schedule 7: Utilization (Restated Basis)</t>
  </si>
  <si>
    <t>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</si>
  <si>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 (Reported Basis)</t>
  </si>
  <si>
    <t>SCO product line financial indicators are calculated in this schedule as defined in Appendix D of the SCO Contract.</t>
  </si>
  <si>
    <t>Schedule 9: Financial Solvency Requirements (Reported Basis)</t>
  </si>
  <si>
    <t>SCO product line financial requirements are calculated in this schedule as defined in Appendix D of the SCO Contract.</t>
  </si>
  <si>
    <t>Schedule 10: APMs (Restated Basis)</t>
  </si>
  <si>
    <t>This report tracks the details of Alternative Payment Methodology (APM) expenses by the MCP. In the appropriate columns, enter the provider name, choose the applicable region from the drop down menus, and enter the applicable expense line item number and the amount of alternative payment by rate cell.</t>
  </si>
  <si>
    <t>Schedule 11A: Lag Report - Physician, Schedule 11B: Lag Report - Inpatient, Schedule 11C: Lag Report - Outpatient, Schedule 11D: Lag Report - Pharmacy, Schedule 11E: Lag Report - Other 
(These Statements are on Both a Reported and Restated Basis)</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</si>
  <si>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</si>
  <si>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</si>
  <si>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</si>
  <si>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</si>
  <si>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</si>
  <si>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</si>
  <si>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</si>
  <si>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</si>
  <si>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Dual Status</t>
  </si>
  <si>
    <t>Description</t>
  </si>
  <si>
    <t>Community Other</t>
  </si>
  <si>
    <t>TBD</t>
  </si>
  <si>
    <t>Dual Eligible</t>
  </si>
  <si>
    <t>All enrollees residing in the community who do not meet nursing home certifiable (NHC) criteria and do not have a diagnosis of Behvioral Health/Substance Use Disorder (BH/SUD).</t>
  </si>
  <si>
    <t>Medicaid Only</t>
  </si>
  <si>
    <t>Community BH</t>
  </si>
  <si>
    <t xml:space="preserve">All enrollees residing in the community who do not meet NHC criteria and have a diagnosis of BH/SUD. The identification of BH/SUD diagnoses are based on observed International Classification of Diseases, Tenth Revision diagnosis codes from all Medicaid and Medicare Medicaid crossover claim types. </t>
  </si>
  <si>
    <t>Community NHC</t>
  </si>
  <si>
    <t>CND</t>
  </si>
  <si>
    <t>All enrollees residing in the community who are limited in two or more activities of daily living (ADLs) and have a skilled nursing need three or more times per week, as recorded through the minimum data set/home care (MDS/HC) form and approved by EOHHS.</t>
  </si>
  <si>
    <t>TND</t>
  </si>
  <si>
    <t>CNM</t>
  </si>
  <si>
    <t>This RC also includes individuals who are in the first three months of a nursing facility (NF), skilled nursing facility and/or institutionalized hospice setting.</t>
  </si>
  <si>
    <t>TNM</t>
  </si>
  <si>
    <t>Institutional — Tier 1</t>
  </si>
  <si>
    <t>I1D</t>
  </si>
  <si>
    <t>All enrollees with more than a three month consecutive stay in an institutional long-term care (LTC) setting who continue to reside in a NF and are classified into Management Minute Categories (MMC) level H, J, or K.</t>
  </si>
  <si>
    <t>TCD</t>
  </si>
  <si>
    <t>I1M</t>
  </si>
  <si>
    <t>This RC also includes individuals who are in their first three months in a community setting following a discharge from a NF after a stay lasting more than three months.</t>
  </si>
  <si>
    <t>TCM</t>
  </si>
  <si>
    <t>Institutional — Tier 2</t>
  </si>
  <si>
    <t>I2D</t>
  </si>
  <si>
    <t>All enrollees with more than a three month consecutive stay in an institutional LTC setting who continue to reside in a NF and are classified into MMC level L, M, N, P, R, or S.</t>
  </si>
  <si>
    <t>I2M</t>
  </si>
  <si>
    <t>This RC also includes individuals who have resided in a NF for more than three months and who have elected hospice.</t>
  </si>
  <si>
    <t>Institutional — Tier 3</t>
  </si>
  <si>
    <t>I3D</t>
  </si>
  <si>
    <t>All enrollees with more than a three month consecutive stay in an institutional LTC setting who continue to reside in a NF and are classified into MMC level T.</t>
  </si>
  <si>
    <t>I3M</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</si>
  <si>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</si>
  <si>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</si>
  <si>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</si>
  <si>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</si>
  <si>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</si>
  <si>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</si>
  <si>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</si>
  <si>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</si>
  <si>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</si>
  <si>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</si>
  <si>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</si>
  <si>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</si>
  <si>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</si>
  <si>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</si>
  <si>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</si>
  <si>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</si>
  <si>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</si>
  <si>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</si>
  <si>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</si>
  <si>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</si>
  <si>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</si>
  <si>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</si>
  <si>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</si>
  <si>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</si>
  <si>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(SCO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</si>
  <si>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</si>
  <si>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</si>
  <si>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</si>
  <si>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</si>
  <si>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</si>
  <si>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</si>
  <si>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</si>
  <si>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SCO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</si>
  <si>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</si>
  <si>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</si>
  <si>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</si>
  <si>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</si>
  <si>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</si>
  <si>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</si>
  <si>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</si>
  <si>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</si>
  <si>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</si>
  <si>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3A-3C,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</si>
  <si>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</si>
  <si>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</si>
  <si>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</si>
  <si>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</si>
  <si>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</si>
  <si>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</si>
  <si>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</si>
  <si>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</si>
  <si>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</si>
  <si>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</si>
  <si>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</si>
  <si>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</si>
  <si>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</si>
  <si>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</si>
  <si>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</si>
  <si>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</si>
  <si>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</si>
  <si>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</si>
  <si>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</si>
  <si>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</si>
  <si>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</si>
  <si>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</si>
  <si>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</si>
  <si>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</si>
  <si>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</si>
  <si>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</si>
  <si>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</si>
  <si>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</si>
  <si>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</si>
  <si>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</si>
  <si>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</si>
  <si>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</si>
  <si>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</si>
  <si>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</si>
  <si>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</si>
  <si>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</si>
  <si>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</si>
  <si>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</si>
  <si>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</si>
  <si>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</si>
  <si>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</si>
  <si>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</si>
  <si>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</si>
  <si>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</si>
  <si>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</si>
  <si>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</si>
  <si>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</si>
  <si>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</si>
  <si>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</si>
  <si>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</si>
  <si>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</si>
  <si>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</si>
  <si>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</si>
  <si>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</si>
  <si>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</si>
  <si>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</si>
  <si>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</si>
  <si>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</si>
  <si>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</si>
  <si>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</si>
  <si>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</si>
  <si>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</si>
  <si>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</si>
  <si>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</si>
  <si>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</si>
  <si>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</si>
  <si>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</si>
  <si>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</si>
  <si>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</si>
  <si>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</si>
  <si>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</si>
  <si>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</si>
  <si>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</si>
  <si>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</si>
  <si>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</si>
  <si>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</si>
  <si>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</si>
  <si>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</si>
  <si>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</si>
  <si>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</si>
  <si>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</si>
  <si>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</si>
  <si>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</si>
  <si>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</si>
  <si>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</si>
  <si>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</si>
  <si>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</si>
  <si>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</si>
  <si>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</si>
  <si>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</si>
  <si>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</si>
  <si>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</si>
  <si>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</si>
  <si>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</si>
  <si>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</si>
  <si>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</si>
  <si>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</si>
  <si>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</si>
  <si>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</si>
  <si>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</si>
  <si>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</si>
  <si>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</si>
  <si>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</si>
  <si>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SCO FEW waiver services</t>
  </si>
  <si>
    <t>Add: E0700, G0156, G0300, H0038, H0045, H2021, S0250, S5102, S5160, T2029, T5999
Remove: T1021</t>
  </si>
  <si>
    <r>
      <t xml:space="preserve">S5111, S5120, S5135, S5165, S5121, T2028 I / S5161 M, S5170, A9901, </t>
    </r>
    <r>
      <rPr>
        <strike/>
        <sz val="10"/>
        <color rgb="FFFF0000"/>
        <rFont val="Arial"/>
        <family val="2"/>
      </rPr>
      <t>T1021</t>
    </r>
    <r>
      <rPr>
        <sz val="10"/>
        <rFont val="Arial"/>
        <family val="2"/>
      </rPr>
      <t xml:space="preserve">, S5130, S5175, </t>
    </r>
    <r>
      <rPr>
        <strike/>
        <sz val="10"/>
        <rFont val="Arial"/>
        <family val="2"/>
      </rPr>
      <t>/</t>
    </r>
    <r>
      <rPr>
        <sz val="10"/>
        <rFont val="Arial"/>
        <family val="2"/>
      </rPr>
      <t xml:space="preserve"> A9279 M, S9129, T1019, T2025, G0299, S5101, S5125, T2038, T2003 OT / A0425 PM, </t>
    </r>
    <r>
      <rPr>
        <sz val="10"/>
        <color rgb="FF7030A0"/>
        <rFont val="Arial"/>
        <family val="2"/>
      </rPr>
      <t>E0700, G0156, G0300, H0038, H0045, H2021, S0250, S5102, S5160, T2029, T5999</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</si>
  <si>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</si>
  <si>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</si>
  <si>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</si>
  <si>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</si>
  <si>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</si>
  <si>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</si>
  <si>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</si>
  <si>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</si>
  <si>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</si>
  <si>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</si>
  <si>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</si>
  <si>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</si>
  <si>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</si>
  <si>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</si>
  <si>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</si>
  <si>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</si>
  <si>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</si>
  <si>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</si>
  <si>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</si>
  <si>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</si>
  <si>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</si>
  <si>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</si>
  <si>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</si>
  <si>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</si>
  <si>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</si>
  <si>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</si>
  <si>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</si>
  <si>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</si>
  <si>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</si>
  <si>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</si>
  <si>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</si>
  <si>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</si>
  <si>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</si>
  <si>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</si>
  <si>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</si>
  <si>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</si>
  <si>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</si>
  <si>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</si>
  <si>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</si>
  <si>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</si>
  <si>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</si>
  <si>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</si>
  <si>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</si>
  <si>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</si>
  <si>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</si>
  <si>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</si>
  <si>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</si>
  <si>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</si>
  <si>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</si>
  <si>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</si>
  <si>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</si>
  <si>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</si>
  <si>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</si>
  <si>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</si>
  <si>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</si>
  <si>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</si>
  <si>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</si>
  <si>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</si>
  <si>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</si>
  <si>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</si>
  <si>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</si>
  <si>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</si>
  <si>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</si>
  <si>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</si>
  <si>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</si>
  <si>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</si>
  <si>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</si>
  <si>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</si>
  <si>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</si>
  <si>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</si>
  <si>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</si>
  <si>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</si>
  <si>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</si>
  <si>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</si>
  <si>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</si>
  <si>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</si>
  <si>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</si>
  <si>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</si>
  <si>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</si>
  <si>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</si>
  <si>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</si>
  <si>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</si>
  <si>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</si>
  <si>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</si>
  <si>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</si>
  <si>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</si>
  <si>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</si>
  <si>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</si>
  <si>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</si>
  <si>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</si>
  <si>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</si>
  <si>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</si>
  <si>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</si>
  <si>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</si>
  <si>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</si>
  <si>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</si>
  <si>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</si>
  <si>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</si>
  <si>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</si>
  <si>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</si>
  <si>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</si>
  <si>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</si>
  <si>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</si>
  <si>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</si>
  <si>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</si>
  <si>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</si>
  <si>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</si>
  <si>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</si>
  <si>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</si>
  <si>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</si>
  <si>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</si>
  <si>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</si>
  <si>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</si>
  <si>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TERM_DT</t>
  </si>
  <si>
    <t>Needle-free injection device, each</t>
  </si>
  <si>
    <t>A4210</t>
  </si>
  <si>
    <t>M</t>
  </si>
  <si>
    <t>Syringe with needle for external insulin pump, sterile, 3cc</t>
  </si>
  <si>
    <t>A4232</t>
  </si>
  <si>
    <t>I</t>
  </si>
  <si>
    <t>Urine test or reagent strips or tablets (100 tablets or strips)</t>
  </si>
  <si>
    <t>A4250</t>
  </si>
  <si>
    <t>Blood ketone test or reagent strip, each</t>
  </si>
  <si>
    <t>A4252</t>
  </si>
  <si>
    <t>S</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</si>
  <si>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</si>
  <si>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</si>
  <si>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</si>
  <si>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</si>
  <si>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</si>
  <si>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</si>
  <si>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</si>
  <si>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</si>
  <si>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</si>
  <si>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</si>
  <si>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</si>
  <si>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</si>
  <si>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</si>
  <si>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</si>
  <si>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</si>
  <si>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</si>
  <si>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</si>
  <si>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</si>
  <si>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</si>
  <si>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</si>
  <si>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</si>
  <si>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</si>
  <si>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</si>
  <si>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</si>
  <si>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</si>
  <si>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</si>
  <si>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</si>
  <si>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</si>
  <si>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</si>
  <si>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</si>
  <si>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</si>
  <si>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</si>
  <si>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</si>
  <si>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</si>
  <si>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</si>
  <si>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</si>
  <si>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</si>
  <si>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</si>
  <si>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</si>
  <si>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</si>
  <si>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</si>
  <si>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</si>
  <si>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</si>
  <si>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</si>
  <si>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</si>
  <si>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</si>
  <si>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</si>
  <si>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</si>
  <si>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</si>
  <si>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</si>
  <si>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</si>
  <si>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</si>
  <si>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</si>
  <si>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</si>
  <si>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</si>
  <si>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</si>
  <si>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</si>
  <si>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</si>
  <si>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</si>
  <si>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</si>
  <si>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</si>
  <si>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</si>
  <si>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</si>
  <si>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</si>
  <si>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</si>
  <si>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</si>
  <si>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</si>
  <si>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</si>
  <si>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</si>
  <si>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</si>
  <si>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</si>
  <si>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</si>
  <si>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</si>
  <si>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</si>
  <si>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</si>
  <si>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</si>
  <si>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</si>
  <si>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</si>
  <si>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</si>
  <si>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</si>
  <si>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</si>
  <si>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</si>
  <si>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</si>
  <si>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</si>
  <si>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</si>
  <si>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</si>
  <si>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</si>
  <si>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</si>
  <si>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</si>
  <si>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</si>
  <si>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</si>
  <si>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</si>
  <si>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</si>
  <si>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</si>
  <si>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</si>
  <si>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</si>
  <si>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</si>
  <si>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</si>
  <si>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</si>
  <si>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</si>
  <si>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</si>
  <si>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</si>
  <si>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</si>
  <si>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</si>
  <si>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</si>
  <si>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</si>
  <si>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</si>
  <si>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</si>
  <si>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</si>
  <si>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</si>
  <si>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</si>
  <si>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</si>
  <si>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</si>
  <si>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</si>
  <si>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</si>
  <si>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</si>
  <si>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</si>
  <si>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</si>
  <si>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</si>
  <si>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</si>
  <si>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</si>
  <si>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</si>
  <si>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</si>
  <si>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</si>
  <si>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</si>
  <si>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</si>
  <si>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</si>
  <si>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</si>
  <si>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</si>
  <si>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</si>
  <si>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</si>
  <si>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</si>
  <si>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</si>
  <si>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</si>
  <si>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</si>
  <si>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</si>
  <si>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</si>
  <si>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</si>
  <si>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</si>
  <si>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</si>
  <si>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</si>
  <si>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</si>
  <si>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</si>
  <si>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</si>
  <si>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</si>
  <si>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</si>
  <si>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</si>
  <si>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</si>
  <si>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</si>
  <si>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</si>
  <si>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</si>
  <si>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</si>
  <si>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</si>
  <si>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</si>
  <si>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</si>
  <si>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</si>
  <si>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</si>
  <si>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</si>
  <si>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</si>
  <si>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</si>
  <si>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</si>
  <si>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</si>
  <si>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</si>
  <si>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</si>
  <si>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</si>
  <si>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</si>
  <si>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</si>
  <si>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</si>
  <si>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</si>
  <si>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</si>
  <si>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</si>
  <si>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</si>
  <si>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</si>
  <si>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</si>
  <si>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</si>
  <si>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</si>
  <si>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</si>
  <si>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</si>
  <si>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</si>
  <si>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</si>
  <si>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</si>
  <si>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</si>
  <si>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</si>
  <si>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</si>
  <si>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</si>
  <si>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</si>
  <si>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</si>
  <si>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</si>
  <si>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</si>
  <si>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</si>
  <si>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</si>
  <si>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</si>
  <si>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</si>
  <si>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</si>
  <si>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</si>
  <si>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</si>
  <si>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</si>
  <si>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</si>
  <si>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</si>
  <si>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</si>
  <si>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</si>
  <si>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</si>
  <si>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</si>
  <si>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</si>
  <si>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</si>
  <si>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</si>
  <si>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</si>
  <si>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</si>
  <si>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</si>
  <si>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</si>
  <si>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</si>
  <si>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</si>
  <si>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</si>
  <si>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</si>
  <si>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</si>
  <si>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</si>
  <si>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</si>
  <si>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</si>
  <si>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</si>
  <si>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</si>
  <si>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</si>
  <si>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</si>
  <si>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</si>
  <si>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</si>
  <si>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</si>
  <si>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</si>
  <si>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</si>
  <si>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</si>
  <si>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</si>
  <si>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</si>
  <si>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</si>
  <si>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</si>
  <si>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</si>
  <si>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</si>
  <si>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</si>
  <si>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</si>
  <si>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</si>
  <si>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</si>
  <si>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</si>
  <si>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</si>
  <si>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</si>
  <si>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</si>
  <si>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</si>
  <si>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</si>
  <si>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</si>
  <si>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</si>
  <si>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</si>
  <si>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</si>
  <si>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</si>
  <si>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</si>
  <si>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</si>
  <si>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</si>
  <si>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</si>
  <si>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</si>
  <si>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</si>
  <si>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</si>
  <si>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</si>
  <si>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</si>
  <si>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</si>
  <si>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</si>
  <si>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</si>
  <si>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</si>
  <si>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</si>
  <si>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</si>
  <si>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</si>
  <si>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</si>
  <si>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</si>
  <si>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</si>
  <si>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</si>
  <si>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</si>
  <si>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</si>
  <si>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</si>
  <si>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</si>
  <si>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</si>
  <si>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</si>
  <si>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</si>
  <si>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</si>
  <si>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</si>
  <si>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</si>
  <si>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</si>
  <si>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</si>
  <si>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</si>
  <si>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</si>
  <si>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</si>
  <si>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</si>
  <si>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</si>
  <si>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</si>
  <si>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</si>
  <si>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</si>
  <si>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</si>
  <si>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</si>
  <si>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</si>
  <si>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</si>
  <si>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</si>
  <si>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</si>
  <si>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</si>
  <si>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</si>
  <si>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</si>
  <si>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</si>
  <si>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</si>
  <si>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</si>
  <si>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</si>
  <si>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</si>
  <si>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</si>
  <si>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</si>
  <si>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</si>
  <si>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</si>
  <si>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</si>
  <si>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</si>
  <si>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</si>
  <si>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</si>
  <si>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</si>
  <si>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</si>
  <si>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</si>
  <si>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</si>
  <si>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</si>
  <si>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</si>
  <si>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</si>
  <si>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</si>
  <si>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</si>
  <si>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</si>
  <si>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</si>
  <si>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</si>
  <si>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</si>
  <si>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</si>
  <si>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</si>
  <si>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</si>
  <si>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</si>
  <si>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</si>
  <si>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</si>
  <si>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</si>
  <si>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</si>
  <si>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</si>
  <si>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</si>
  <si>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</si>
  <si>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</si>
  <si>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</si>
  <si>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</si>
  <si>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</si>
  <si>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</si>
  <si>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</si>
  <si>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</si>
  <si>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</si>
  <si>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</si>
  <si>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</si>
  <si>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</si>
  <si>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</si>
  <si>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</si>
  <si>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</si>
  <si>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</si>
  <si>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</si>
  <si>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</si>
  <si>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</si>
  <si>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</si>
  <si>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</si>
  <si>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</si>
  <si>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</si>
  <si>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</si>
  <si>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</si>
  <si>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</si>
  <si>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</si>
  <si>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</si>
  <si>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</si>
  <si>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</si>
  <si>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</si>
  <si>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</si>
  <si>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</si>
  <si>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</si>
  <si>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</si>
  <si>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</si>
  <si>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</si>
  <si>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</si>
  <si>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</si>
  <si>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</si>
  <si>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</si>
  <si>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</si>
  <si>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</si>
  <si>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</si>
  <si>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</si>
  <si>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</si>
  <si>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</si>
  <si>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</si>
  <si>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</si>
  <si>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</si>
  <si>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</si>
  <si>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</si>
  <si>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</si>
  <si>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</si>
  <si>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</si>
  <si>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</si>
  <si>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</si>
  <si>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</si>
  <si>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</si>
  <si>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</si>
  <si>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</si>
  <si>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</si>
  <si>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</si>
  <si>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</si>
  <si>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</si>
  <si>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</si>
  <si>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</si>
  <si>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</si>
  <si>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</si>
  <si>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</si>
  <si>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</si>
  <si>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</si>
  <si>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</si>
  <si>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</si>
  <si>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</si>
  <si>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</si>
  <si>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</si>
  <si>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</si>
  <si>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</si>
  <si>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</si>
  <si>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</si>
  <si>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</si>
  <si>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</si>
  <si>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</si>
  <si>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</si>
  <si>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</si>
  <si>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</si>
  <si>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</si>
  <si>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</si>
  <si>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</si>
  <si>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</si>
  <si>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</si>
  <si>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</si>
  <si>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</si>
  <si>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</si>
  <si>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</si>
  <si>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</si>
  <si>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</si>
  <si>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</si>
  <si>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</si>
  <si>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</si>
  <si>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</si>
  <si>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</si>
  <si>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</si>
  <si>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</si>
  <si>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</si>
  <si>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</si>
  <si>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</si>
  <si>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</si>
  <si>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</si>
  <si>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</si>
  <si>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</si>
  <si>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</si>
  <si>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</si>
  <si>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</si>
  <si>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</si>
  <si>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</si>
  <si>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</si>
  <si>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</si>
  <si>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</si>
  <si>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</si>
  <si>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</si>
  <si>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</si>
  <si>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</si>
  <si>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</si>
  <si>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</si>
  <si>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</si>
  <si>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</si>
  <si>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</si>
  <si>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r>
      <t>·</t>
    </r>
    <r>
      <rPr>
        <sz val="7"/>
        <color rgb="FF000000"/>
        <rFont val="Times New Roman"/>
        <family val="1"/>
      </rPr>
      <t xml:space="preserve">         </t>
    </r>
    <r>
      <rPr>
        <sz val="10"/>
        <color rgb="FF000000"/>
        <rFont val="Arial"/>
        <family val="2"/>
      </rPr>
      <t>ACUTE INPATIENT HOSPITAL (70)</t>
    </r>
  </si>
  <si>
    <t>IP-BH (11*)</t>
  </si>
  <si>
    <t>ICD 9: 290–31999</t>
  </si>
  <si>
    <t xml:space="preserve">Behavioral Health (BH) Hospital Inpatient </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</si>
  <si>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</si>
  <si>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</si>
  <si>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</si>
  <si>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</si>
  <si>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</si>
  <si>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</si>
  <si>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</si>
  <si>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</si>
  <si>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</si>
  <si>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</si>
  <si>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</si>
  <si>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</si>
  <si>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</si>
  <si>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</si>
  <si>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</si>
  <si>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</si>
  <si>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</si>
  <si>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</si>
  <si>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</si>
  <si>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</si>
  <si>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</si>
  <si>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</si>
  <si>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</si>
  <si>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</si>
  <si>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</si>
  <si>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</si>
  <si>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</si>
  <si>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</si>
  <si>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</si>
  <si>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</si>
  <si>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</si>
  <si>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</si>
  <si>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</si>
  <si>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</si>
  <si>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</si>
  <si>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</si>
  <si>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</si>
  <si>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</si>
  <si>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</si>
  <si>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</si>
  <si>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</si>
  <si>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</si>
  <si>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</si>
  <si>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</si>
  <si>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</si>
  <si>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</si>
  <si>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</si>
  <si>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</si>
  <si>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</si>
  <si>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</si>
  <si>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</si>
  <si>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</si>
  <si>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</si>
  <si>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</si>
  <si>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</si>
  <si>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</si>
  <si>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</si>
  <si>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</si>
  <si>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</si>
  <si>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</si>
  <si>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</si>
  <si>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21-25</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</si>
  <si>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</si>
  <si>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</si>
  <si>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</si>
  <si>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</si>
  <si>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</si>
  <si>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</si>
  <si>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</si>
  <si>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</si>
  <si>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</si>
  <si>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</si>
  <si>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</si>
  <si>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</si>
  <si>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</si>
  <si>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</si>
  <si>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</si>
  <si>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</si>
  <si>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</si>
  <si>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</si>
  <si>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</si>
  <si>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</si>
  <si>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</si>
  <si>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</si>
  <si>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</si>
  <si>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</si>
  <si>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</si>
  <si>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</si>
  <si>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</si>
  <si>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</si>
  <si>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</si>
  <si>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</si>
  <si>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</si>
  <si>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</si>
  <si>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</si>
  <si>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</si>
  <si>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Frail Elder Waiver (FEW) Services</t>
  </si>
  <si>
    <t>14-19</t>
  </si>
  <si>
    <t>28-33</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</si>
  <si>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</si>
  <si>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</si>
  <si>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</si>
  <si>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</si>
  <si>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</si>
  <si>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</si>
  <si>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</si>
  <si>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</si>
  <si>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</si>
  <si>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</si>
  <si>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</si>
  <si>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</si>
  <si>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</si>
  <si>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</si>
  <si>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</si>
  <si>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</si>
  <si>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</si>
  <si>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</si>
  <si>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Institutional (All Tiers)</t>
  </si>
  <si>
    <t>Enrollment</t>
  </si>
  <si>
    <t>Eastern</t>
  </si>
  <si>
    <t>Western</t>
  </si>
  <si>
    <t>The Cape</t>
  </si>
  <si>
    <t xml:space="preserve">Total </t>
  </si>
  <si>
    <t>Q2</t>
  </si>
  <si>
    <t>Q3</t>
  </si>
  <si>
    <t>Q4</t>
  </si>
  <si>
    <t>YTD</t>
  </si>
  <si>
    <t>Schedule 2: Balance Sheet</t>
  </si>
  <si>
    <t>Provider Name:</t>
  </si>
  <si>
    <t>Tufts Associated Health Plans, Inc. (TAHMO)</t>
  </si>
  <si>
    <t>01/01/2024 - 12/31/2024</t>
  </si>
  <si>
    <t>Statement As Of:</t>
  </si>
  <si>
    <t>Prepared By:</t>
  </si>
  <si>
    <t>Roshni Parikh</t>
  </si>
  <si>
    <t>This Report is on a Reported Basis</t>
  </si>
  <si>
    <t>Current Assets</t>
  </si>
  <si>
    <t>Rebates Receivable</t>
  </si>
  <si>
    <t>Cash from TAHMO</t>
  </si>
  <si>
    <t>Gov't Settlements (Risk Corridor)</t>
  </si>
  <si>
    <t>Other Misc Receivables</t>
  </si>
  <si>
    <t>-</t>
  </si>
  <si>
    <t>Other Assets</t>
  </si>
  <si>
    <r>
      <t>Aggregate Write-Ins for Other Assets</t>
    </r>
    <r>
      <rPr>
        <sz val="10"/>
        <rFont val="Arial"/>
        <family val="2"/>
      </rPr>
      <t xml:space="preserve"> </t>
    </r>
  </si>
  <si>
    <t xml:space="preserve">            -</t>
  </si>
  <si>
    <t>Property and Equipment</t>
  </si>
  <si>
    <t>=</t>
  </si>
  <si>
    <t>Current Liabilities</t>
  </si>
  <si>
    <t>Aggregate Write-ins for Current Liabilities</t>
  </si>
  <si>
    <t>Other Liabilities</t>
  </si>
  <si>
    <t>Aggregate Write-Ins For Other Net Worth items</t>
  </si>
  <si>
    <t>Schedule 3: Income Statement</t>
  </si>
  <si>
    <t>Line #</t>
  </si>
  <si>
    <t>Institutional (All: Tier 1, Tier 2 and Tier 3)</t>
  </si>
  <si>
    <t>Grand Total $'s</t>
  </si>
  <si>
    <t>Payor</t>
  </si>
  <si>
    <t>Medicaid</t>
  </si>
  <si>
    <t>Medicare</t>
  </si>
  <si>
    <t>TOTAL $ YTD</t>
  </si>
  <si>
    <t>Combined</t>
  </si>
  <si>
    <t>Reporting Period</t>
  </si>
  <si>
    <t>Medicaid YTD Total</t>
  </si>
  <si>
    <t>Medicare YTD Total</t>
  </si>
  <si>
    <t>Medicare Part A (Hospital)/Part B (Medical)</t>
  </si>
  <si>
    <t>Medicare Part D (Prescription Drug)</t>
  </si>
  <si>
    <t>Medicare Part D (LICS &amp; Reinsurance)</t>
  </si>
  <si>
    <t>Other Revenue</t>
  </si>
  <si>
    <t/>
  </si>
  <si>
    <t>Care Management (Internal/Administrative)</t>
  </si>
  <si>
    <t>Quarterly financial footnote disclosures</t>
  </si>
  <si>
    <t>Mark as N/A if no changes have occurred</t>
  </si>
  <si>
    <t>Footnote disclosures</t>
  </si>
  <si>
    <t>The SCO contract is written on Tufts Associated Health Maintenance Organization, Inc. (TAHMO).  TAHMO is a not-for-profit Massachusetts corporation established for the purpose of arranging for the delivery of comprehensive health care services, on a prepaid basis, to subscribing individuals and groups. TAHMO is contracted by the Massachusetts Executive Office of Health and Human Services (EOHHS) and the Centers for Medicare and Medicaid Services (CMS) to provide health care coverage for the state’s Medicare, Medicaid and State Children’s Health Insurance Programs (CHIP) populations, as well as, the Commonwealth Health Insurance Connector Authority (the Massachusetts state run exchange) for the Qualified Health Care, Commonwealth Care and Medical Security Program populations.
The Company’s Commercial and Medicaid contracts with state agencies generally are multi-year contracts subject to annual renewal provisions, while the Company’s Medicare contracts with CMS renew annually.
The headquater of the company is located at 1 Wellness Way, Canton, MA 02021</t>
  </si>
  <si>
    <r>
      <t>* Cash, cash equivalents, and short-term investments represent cash balances and investments with initial maturities of one year or less.</t>
    </r>
    <r>
      <rPr>
        <b/>
        <sz val="10"/>
        <rFont val="Arial"/>
        <family val="2"/>
      </rPr>
      <t xml:space="preserve"> </t>
    </r>
    <r>
      <rPr>
        <sz val="10"/>
        <rFont val="Arial"/>
        <family val="2"/>
      </rPr>
      <t xml:space="preserve">
* TAHMO uses estimates for determining its claims incurred but not yet reported, which are based on historical claim payment patterns, healthcare trends and membership and includes a provision for adverse changes in claim frequency and severity. Amounts incurred related to prior years vary from previously estimated liabilities as the claims are ultimately settled. Liabilities at any year end are continually reviewed and re-estimated as information regarding actual claims payments become known. This information is compared to the originally established year end liability. 
* Revenue is recorded upon receipt.  Patient liabiilty amounts are accrued to revenue and recorded as receivables.
* Medical and adminstrative expenses are recorded as paid amounts and estimated reserves and accruals.
* Premiums receivable are reported net of an allowance for uncollectible accounts based on historical collection trends and management’s judgment on the collectability of these accounts.
These collection trends, as well as prevailing and anticipated economic conditions, are routinely monitored by management, and any adjustments required are reflected in current operations.
The Company’s provider agreements include pharmacy rebates as a component of the risk incentive arrangements, which are included in the balance sheets in pharmaceutical rebates receivable. Rebates are included in the provider settlements on a cash basis through the settlement date. Health care receivables admitted related to rebates include an estimated amount for the most recent quarter and amounts billed and expected to be collected within 60 days of year end. All other amounts are considered to be nonadmitted assets and charged to unassigned surplus.
</t>
    </r>
  </si>
  <si>
    <t>TAHMO has written 2 promissory notes totaling $1.4 million in connection with its contract to provide services for MassHealth SCO program.
TAHMO promises to pay MA EOHHS $1.4 million in the event of impending or actual insolvency of TAHMO to guarantee covered services.</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</si>
  <si>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</si>
  <si>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 xml:space="preserve">There was not a significant change to Medical Claims Payable </t>
  </si>
  <si>
    <t>* SCO business is written on TAHMO. All Admistrative costs are incurred on TAHMO and allocated to SCO products.
* There was not a significant change to the Due to/from Affliates amount.</t>
  </si>
  <si>
    <t>Tufts Associated Health Plans, Inc. (TAHP) provides management services to TAHMO and its subsidiaries for many of their administrative needs. The management fee is determined primarily as TAHP’s cost plus markup percentage, which is negotiated annually. The total management fee for the SCO product was $40,648,024 as of December 31, 2024.</t>
  </si>
  <si>
    <t>There were no significant fluctuations in Lag Reports.</t>
  </si>
  <si>
    <t xml:space="preserve">Most of Revenue and Medical Expenses is actual data based on members and rate cells.                                                                                                                          Line 0004 (Other Revenue-Medicare) consists of Rebate Buy-Down, LIS $s recv'd from CMS, CMS fees and our estimate of the Part D Risk Settlement. These items are allocated based on Part A/B &amp; D Revenue from CMS.
 Line 006 (Patient Contribution to Care) is allocated based on Medicaid revenue for Institutional members.
Line 0010 (All Other Revenue) consists of an accrual for the RiskScore Adjustment by CMS (to be received in July 2023) and Medicare MLR estimate if any.  These $s are allocated based on CMS Part A/B &amp; D Revenue.
Lines 0038 - 0053 (with the exception of Line 0040) are all allocated based on Medicaid &amp; Medicare revenue.
Line 0040 (ASAPs) is allocated based on Medicaid revenue.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</si>
  <si>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</si>
  <si>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</si>
  <si>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</si>
  <si>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</si>
  <si>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</si>
  <si>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</si>
  <si>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</si>
  <si>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</si>
  <si>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</si>
  <si>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</si>
  <si>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</si>
  <si>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</si>
  <si>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</si>
  <si>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</si>
  <si>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</si>
  <si>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</si>
  <si>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</si>
  <si>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</si>
  <si>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</si>
  <si>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</si>
  <si>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</si>
  <si>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</si>
  <si>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</si>
  <si>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</si>
  <si>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</si>
  <si>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</si>
  <si>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</si>
  <si>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</si>
  <si>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</si>
  <si>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</si>
  <si>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Exclude</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</si>
  <si>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</si>
  <si>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</si>
  <si>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</si>
  <si>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SCO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</si>
  <si>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</si>
  <si>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</si>
  <si>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</si>
  <si>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</si>
  <si>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</si>
  <si>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</si>
  <si>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</si>
  <si>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</si>
  <si>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</si>
  <si>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</si>
  <si>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</si>
  <si>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</si>
  <si>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</si>
  <si>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</si>
  <si>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</si>
  <si>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</si>
  <si>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</si>
  <si>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</si>
  <si>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</si>
  <si>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Schedule 8: Financial Indicators</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</si>
  <si>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</si>
  <si>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</si>
  <si>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</si>
  <si>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</si>
  <si>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</si>
  <si>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</si>
  <si>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</si>
  <si>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</si>
  <si>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</si>
  <si>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</si>
  <si>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</si>
  <si>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</si>
  <si>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</si>
  <si>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</si>
  <si>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</si>
  <si>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</si>
  <si>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</si>
  <si>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</si>
  <si>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</si>
  <si>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</si>
  <si>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</si>
  <si>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</si>
  <si>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</si>
  <si>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</si>
  <si>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</si>
  <si>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</si>
  <si>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</si>
  <si>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</si>
  <si>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</si>
  <si>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</si>
  <si>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Schedule 9: Financial Solvency Requirements</t>
  </si>
  <si>
    <t xml:space="preserve">2.11 (A)(1) Minimum Net Worth </t>
  </si>
  <si>
    <t>Actual Balance Sheet</t>
  </si>
  <si>
    <t>Balance Sheet (projected)</t>
  </si>
  <si>
    <t>Cash</t>
  </si>
  <si>
    <t>Total Allowed Assets *</t>
  </si>
  <si>
    <t>Requirement Amount</t>
  </si>
  <si>
    <t>Difference</t>
  </si>
  <si>
    <t>Meets contractual requirement?</t>
  </si>
  <si>
    <t>Cash Requirement Met?</t>
  </si>
  <si>
    <t>*If at least $800,000 of the minimum net worth requirement is met by cash, then the GAAP value of intangible assets up 20% of the minimum net worth will be allowed, if less than $1,200,000 of the minimum net worth requirement is met by cash, then the GAAP value of intangible assets up to 10% of the minimum net worth required will be allowed.</t>
  </si>
  <si>
    <t xml:space="preserve">2.11 (A)(2) Working Capital  </t>
  </si>
  <si>
    <t>Actual Financial Ratios</t>
  </si>
  <si>
    <t>Financial Ratios (Projected)</t>
  </si>
  <si>
    <t>Quick Ratio</t>
  </si>
  <si>
    <t>Working Capital</t>
  </si>
  <si>
    <t>greater than zero</t>
  </si>
  <si>
    <t xml:space="preserve">2.11(B)(2) Insolvency Reserve </t>
  </si>
  <si>
    <t>a.  Calculation of the Requirement</t>
  </si>
  <si>
    <t>b.  Satisfaction of the Requirement</t>
  </si>
  <si>
    <t>Quarterly Medical Expenses</t>
  </si>
  <si>
    <r>
      <t>Insolvency Reserve Requirement</t>
    </r>
    <r>
      <rPr>
        <sz val="10"/>
        <rFont val="Arial"/>
        <family val="2"/>
      </rPr>
      <t xml:space="preserve"> (Based on 45 Days of Medical Expenses)</t>
    </r>
  </si>
  <si>
    <t>2.11(B)(3) Additional Security  (Promissory Note or Performance Bond)</t>
  </si>
  <si>
    <t>2.11(B)(3)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</si>
  <si>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</si>
  <si>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</si>
  <si>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</si>
  <si>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</si>
  <si>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Calendar Year - Quarter 1 </t>
  </si>
  <si>
    <t>Y</t>
  </si>
  <si>
    <t>Calendar Year - Quarter 2</t>
  </si>
  <si>
    <t>Calendar Year - Quarter 3</t>
  </si>
  <si>
    <t>Calendar Year - Quarter 4</t>
  </si>
  <si>
    <t>Method Used to Meet Insolvency Reserve Requirement</t>
  </si>
  <si>
    <t>[Yes or No?]</t>
  </si>
  <si>
    <t>Amount Used</t>
  </si>
  <si>
    <t>Calendar Year Key</t>
  </si>
  <si>
    <t>January - March</t>
  </si>
  <si>
    <t>Covered Services Performance Bond</t>
  </si>
  <si>
    <t>April - June</t>
  </si>
  <si>
    <t xml:space="preserve">Insolvency Reserve Restricted Cash </t>
  </si>
  <si>
    <t>July - September</t>
  </si>
  <si>
    <r>
      <t xml:space="preserve">Total </t>
    </r>
    <r>
      <rPr>
        <sz val="10"/>
        <rFont val="Arial"/>
        <family val="2"/>
      </rPr>
      <t>(Meets Requirement)</t>
    </r>
  </si>
  <si>
    <t>October - December</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</si>
  <si>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</si>
  <si>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</si>
  <si>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</si>
  <si>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</si>
  <si>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</si>
  <si>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Region</t>
  </si>
  <si>
    <t>Expense Category</t>
  </si>
  <si>
    <t>Community AD/CMI</t>
  </si>
  <si>
    <t>Grand Total</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</si>
  <si>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</si>
  <si>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</si>
  <si>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</si>
  <si>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</si>
  <si>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</si>
  <si>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</si>
  <si>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</si>
  <si>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</si>
  <si>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</si>
  <si>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</si>
  <si>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</si>
  <si>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</si>
  <si>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</si>
  <si>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</si>
  <si>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</si>
  <si>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</si>
  <si>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</si>
  <si>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</si>
  <si>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Massachusetts SCO Program</t>
  </si>
  <si>
    <t>Certification (to be Completed by Health Plan CFO)</t>
  </si>
  <si>
    <t>Plan Name</t>
  </si>
  <si>
    <t xml:space="preserve">For the reporting period </t>
  </si>
  <si>
    <r>
      <t>I hereby attest and certify the accuracy and completeness of the information submitted herein and all services reported herein were rendered by the Massachusetts SCO Program "</t>
    </r>
    <r>
      <rPr>
        <b/>
        <i/>
        <u/>
        <sz val="10"/>
        <rFont val="Arial"/>
        <family val="2"/>
      </rPr>
      <t>Insert Plan Name</t>
    </r>
    <r>
      <rPr>
        <sz val="10"/>
        <rFont val="Arial"/>
        <family val="2"/>
      </rPr>
      <t>".</t>
    </r>
  </si>
  <si>
    <t>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non-acceptance of the attached reports.</t>
  </si>
  <si>
    <t>By: CFO</t>
  </si>
  <si>
    <t>Mark Porter, Senior Vice President, CAO &amp; Treasurer</t>
  </si>
  <si>
    <t>Print name</t>
  </si>
  <si>
    <t>Date</t>
  </si>
  <si>
    <t>/s/ Mark Porter</t>
  </si>
  <si>
    <t>860-519-8133</t>
  </si>
  <si>
    <t>Signature &amp; Title</t>
  </si>
  <si>
    <t>Phone number</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</si>
  <si>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</si>
  <si>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</si>
  <si>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</si>
  <si>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</si>
  <si>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</si>
  <si>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</si>
  <si>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The balance sheet was a established to show rolling (life to date) balance when the SeniorCare Options(SCO) product began per the initial Reporting Template.  The subsequent templates now require the income statement to show data for "current year" only and on a restated basis as IBNR runs off.  To facilitate this "product" sub balance sheet of the full reporting entity (TAHMO) balancing adjustments are made to the cash balance, which essentially contemplates the SCO share of Cash, MM and Short Term investments of TAHMO.  This methodology results in a non-GAAP, non-Statutory, quasi-cash balance sheet for the product.  Donations, if any reflect the conceptual reallocation of the enitities networth and cash attributable to SCO.
For this reporting period a donation of $3,000,000 is reflected in the SCO balance sheet representing, a higher allocation of cash and net worth to maintain adequate solvency requirements.</t>
  </si>
  <si>
    <t>Schedule 3</t>
  </si>
  <si>
    <t>1. Row 19 shows LICS &amp; Reinsurance Rx Claims. Pharmacy Claims in Line 0022 are shown gross of Rx Rebates and net of LICS &amp; Reinsurance   Pharmacy Claims in Line 0023 are shown net of Rebates and net of LICS &amp; Reinsurance.  Pharmacy Claims in Line 0025 is shown as Net of Rebates.</t>
  </si>
  <si>
    <t>Schedule 4</t>
  </si>
  <si>
    <t>Schedule 5</t>
  </si>
  <si>
    <t>Schedule 6</t>
  </si>
  <si>
    <t>The calculation of Total Pharmacy in line 32 is incorrect due to the wrong Pharmacy lines being excluded in the top section.  Lines 10a &amp; 11a should be "Exclude"  not 10b &amp; 11b.</t>
  </si>
  <si>
    <t>Schedule 7</t>
  </si>
  <si>
    <t>Schedule 8</t>
  </si>
  <si>
    <t>Schedule 9</t>
  </si>
  <si>
    <t>Schedule 10</t>
  </si>
  <si>
    <t>Schedule 11</t>
  </si>
  <si>
    <t>Template Change Log</t>
  </si>
  <si>
    <t xml:space="preserve">Release Version </t>
  </si>
  <si>
    <t>Release Date</t>
  </si>
  <si>
    <t>Schedule</t>
  </si>
  <si>
    <t>Changes</t>
  </si>
  <si>
    <t>General</t>
  </si>
  <si>
    <t>Updated submission dates for SFY22.
Updated instructions, definitions, and line references to align with other updates.</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</si>
  <si>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</si>
  <si>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Community LTC has been split into PCA, HH, AFC, ADH, and Day Hab.
Home and Community Based Waiver has been renamed to FEW Services.
Medicaid and Medicare quarterly subtotals have been added.
A member months line has been included; this populates automatically off of Schedule 1.</t>
  </si>
  <si>
    <t>Line item changes mirror those made in Schedule 3.
A YTD table has been added.
Service rollups have been added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</si>
  <si>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</si>
  <si>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</si>
  <si>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131; Line # 0064).
Updated Rating Categories for SFY23 "Community Other" and "Community BH".
Updated Medical Services Definitions (Therapy to Professional category).
Updated coding changes for Frail Elder Waiver (FEW) Services.</t>
  </si>
  <si>
    <t>Updated Rate Cells to reflect Eastern, Western, The Cape</t>
  </si>
  <si>
    <t>Added additional tab and renamed Schedule 3B_Income_Eastern; 3C_Income_Western; 3D_Income_The Cape.
Incorportated Line #0064 MLR Allowable Expense Ratio.
Updated formulas on 3A_Income_Statement to incorporate Eastern, Western, The Cape tabs.</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</si>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</sst>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d/yyyy;@"/>
    <numFmt numFmtId="202" formatCode="[$-409]mmmm\ d\,\ yyyy;@"/>
  </numFmts>
  <fonts count="128">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z val="9"/>
      <color indexed="10"/>
      <name val="Arial"/>
      <family val="2"/>
    </font>
    <font>
      <b/>
      <sz val="20"/>
      <color indexed="10"/>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b/>
      <i/>
      <u/>
      <sz val="10"/>
      <name val="Arial"/>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z val="10"/>
      <color rgb="FF0070C0"/>
      <name val="Times New Roman"/>
      <family val="1"/>
    </font>
    <font>
      <strike/>
      <sz val="10"/>
      <color rgb="FFFF0000"/>
      <name val="Arial"/>
      <family val="2"/>
    </font>
    <font>
      <b/>
      <sz val="10"/>
      <color theme="7" tint="-0.499984740745262"/>
      <name val="Arial"/>
      <family val="2"/>
    </font>
    <font>
      <sz val="10"/>
      <color rgb="FF7030A0"/>
      <name val="Arial"/>
      <family val="2"/>
    </font>
    <font>
      <b/>
      <strike/>
      <sz val="10"/>
      <color rgb="FFFF0000"/>
      <name val="Arial"/>
      <family val="2"/>
    </font>
    <font>
      <b/>
      <sz val="10"/>
      <color rgb="FF7030A0"/>
      <name val="Arial"/>
      <family val="2"/>
    </font>
    <font>
      <sz val="9"/>
      <color indexed="81"/>
      <name val="Tahoma"/>
      <family val="2"/>
    </font>
    <font>
      <b/>
      <sz val="9"/>
      <color indexed="81"/>
      <name val="Tahoma"/>
      <family val="2"/>
    </font>
    <font>
      <b/>
      <sz val="12"/>
      <color rgb="FF0070C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thin">
        <color auto="1"/>
      </right>
      <top style="medium">
        <color auto="1"/>
      </top>
      <bottom style="medium">
        <color auto="1"/>
      </bottom>
      <diagonal/>
    </border>
    <border>
      <left style="thin">
        <color auto="1"/>
      </left>
      <right style="thin">
        <color indexed="64"/>
      </right>
      <top style="medium">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right style="thin">
        <color auto="1"/>
      </right>
      <top style="medium">
        <color indexed="64"/>
      </top>
      <bottom style="medium">
        <color indexed="64"/>
      </bottom>
      <diagonal/>
    </border>
    <border>
      <left style="medium">
        <color auto="1"/>
      </left>
      <right/>
      <top style="medium">
        <color auto="1"/>
      </top>
      <bottom style="medium">
        <color auto="1"/>
      </bottom>
      <diagonal/>
    </border>
    <border>
      <left/>
      <right style="hair">
        <color auto="1"/>
      </right>
      <top style="medium">
        <color auto="1"/>
      </top>
      <bottom style="medium">
        <color auto="1"/>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auto="1"/>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64"/>
      </top>
      <bottom style="thin">
        <color indexed="64"/>
      </bottom>
      <diagonal/>
    </border>
    <border>
      <left/>
      <right/>
      <top style="medium">
        <color indexed="45"/>
      </top>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auto="1"/>
      </left>
      <right style="medium">
        <color auto="1"/>
      </right>
      <top style="medium">
        <color auto="1"/>
      </top>
      <bottom/>
      <diagonal/>
    </border>
  </borders>
  <cellStyleXfs count="657">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7"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3" fillId="0" borderId="0"/>
    <xf numFmtId="0" fontId="7" fillId="0" borderId="0"/>
    <xf numFmtId="43" fontId="7" fillId="0" borderId="0" applyFont="0" applyFill="0" applyBorder="0" applyAlignment="0" applyProtection="0"/>
    <xf numFmtId="0" fontId="19" fillId="0" borderId="86"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5"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9" fillId="0" borderId="95" applyNumberFormat="0"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80" fillId="46" borderId="1" applyNumberFormat="0" applyAlignment="0" applyProtection="0"/>
    <xf numFmtId="0" fontId="80" fillId="46" borderId="1" applyNumberFormat="0" applyAlignment="0" applyProtection="0"/>
    <xf numFmtId="0" fontId="13" fillId="22" borderId="1" applyNumberFormat="0" applyAlignment="0" applyProtection="0"/>
    <xf numFmtId="0" fontId="14" fillId="23" borderId="2" applyNumberFormat="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82" fillId="0" borderId="0" applyFont="0" applyFill="0" applyBorder="0" applyAlignment="0" applyProtection="0"/>
    <xf numFmtId="188" fontId="7" fillId="0" borderId="0" applyFont="0" applyFill="0" applyBorder="0" applyAlignment="0" applyProtection="0"/>
    <xf numFmtId="170" fontId="82" fillId="0" borderId="0" applyFont="0" applyFill="0" applyBorder="0" applyAlignment="0" applyProtection="0"/>
    <xf numFmtId="188" fontId="7" fillId="0" borderId="0" applyFont="0" applyFill="0" applyBorder="0" applyAlignment="0" applyProtection="0"/>
    <xf numFmtId="170" fontId="8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4" fillId="0" borderId="0"/>
    <xf numFmtId="0" fontId="84"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5" fillId="32" borderId="0" applyFont="0" applyFill="0" applyBorder="0" applyAlignment="0" applyProtection="0">
      <alignment vertical="center"/>
    </xf>
    <xf numFmtId="190" fontId="85" fillId="32" borderId="0" applyFont="0" applyFill="0" applyBorder="0" applyAlignment="0" applyProtection="0">
      <alignment vertical="center"/>
    </xf>
    <xf numFmtId="39" fontId="85" fillId="38" borderId="0" applyFont="0" applyFill="0" applyBorder="0" applyAlignment="0" applyProtection="0">
      <alignment vertical="center"/>
    </xf>
    <xf numFmtId="0" fontId="15" fillId="0" borderId="0" applyNumberFormat="0" applyFill="0" applyBorder="0" applyAlignment="0" applyProtection="0"/>
    <xf numFmtId="0" fontId="86" fillId="0" borderId="0">
      <protection locked="0"/>
    </xf>
    <xf numFmtId="0" fontId="86" fillId="0" borderId="0">
      <protection locked="0"/>
    </xf>
    <xf numFmtId="0" fontId="87" fillId="0" borderId="0">
      <protection locked="0"/>
    </xf>
    <xf numFmtId="0" fontId="86" fillId="0" borderId="0">
      <protection locked="0"/>
    </xf>
    <xf numFmtId="0" fontId="86" fillId="0" borderId="0">
      <protection locked="0"/>
    </xf>
    <xf numFmtId="0" fontId="86" fillId="0" borderId="0">
      <protection locked="0"/>
    </xf>
    <xf numFmtId="0" fontId="87" fillId="0" borderId="0">
      <protection locked="0"/>
    </xf>
    <xf numFmtId="0" fontId="84" fillId="0" borderId="0"/>
    <xf numFmtId="0" fontId="84" fillId="0" borderId="0"/>
    <xf numFmtId="191" fontId="88" fillId="0" borderId="0"/>
    <xf numFmtId="191" fontId="88" fillId="0" borderId="0"/>
    <xf numFmtId="191" fontId="88" fillId="0" borderId="0"/>
    <xf numFmtId="192" fontId="88" fillId="0" borderId="0"/>
    <xf numFmtId="192" fontId="88" fillId="0" borderId="0"/>
    <xf numFmtId="192" fontId="88" fillId="0" borderId="0"/>
    <xf numFmtId="192" fontId="88" fillId="0" borderId="0"/>
    <xf numFmtId="193" fontId="88" fillId="0" borderId="0"/>
    <xf numFmtId="194" fontId="88" fillId="0" borderId="0"/>
    <xf numFmtId="194" fontId="88" fillId="0" borderId="0"/>
    <xf numFmtId="194" fontId="88" fillId="0" borderId="0"/>
    <xf numFmtId="194" fontId="88" fillId="0" borderId="0"/>
    <xf numFmtId="193" fontId="88" fillId="0" borderId="0"/>
    <xf numFmtId="195" fontId="88" fillId="0" borderId="0"/>
    <xf numFmtId="195" fontId="88" fillId="0" borderId="0"/>
    <xf numFmtId="195" fontId="88" fillId="0" borderId="0"/>
    <xf numFmtId="195" fontId="88" fillId="0" borderId="0"/>
    <xf numFmtId="195" fontId="88"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9" fillId="0" borderId="0" applyNumberFormat="0" applyBorder="0" applyAlignment="0">
      <alignment horizontal="center"/>
    </xf>
    <xf numFmtId="0" fontId="17" fillId="0" borderId="5" applyNumberFormat="0" applyFill="0" applyAlignment="0" applyProtection="0"/>
    <xf numFmtId="0" fontId="90"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91" fillId="0" borderId="106" applyNumberFormat="0" applyFill="0" applyAlignment="0" applyProtection="0"/>
    <xf numFmtId="0" fontId="19" fillId="0" borderId="0" applyNumberFormat="0" applyFill="0" applyBorder="0" applyAlignment="0" applyProtection="0"/>
    <xf numFmtId="0" fontId="91" fillId="0" borderId="0" applyNumberFormat="0" applyFill="0" applyBorder="0" applyAlignment="0" applyProtection="0"/>
    <xf numFmtId="0" fontId="71"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107" applyNumberFormat="0" applyFill="0" applyAlignment="0" applyProtection="0"/>
    <xf numFmtId="0" fontId="22" fillId="26" borderId="0" applyNumberFormat="0" applyBorder="0" applyAlignment="0" applyProtection="0"/>
    <xf numFmtId="0" fontId="92" fillId="26" borderId="0" applyNumberFormat="0" applyBorder="0" applyAlignment="0" applyProtection="0"/>
    <xf numFmtId="0" fontId="79" fillId="0" borderId="0" applyNumberFormat="0" applyFill="0" applyAlignment="0" applyProtection="0"/>
    <xf numFmtId="0" fontId="93"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7" fillId="0" borderId="0"/>
    <xf numFmtId="0" fontId="95" fillId="0" borderId="0"/>
    <xf numFmtId="0" fontId="88" fillId="0" borderId="0"/>
    <xf numFmtId="0" fontId="88" fillId="0" borderId="0"/>
    <xf numFmtId="0" fontId="88" fillId="0" borderId="0"/>
    <xf numFmtId="0" fontId="96" fillId="0" borderId="0" applyAlignment="0"/>
    <xf numFmtId="0" fontId="83" fillId="0" borderId="0"/>
    <xf numFmtId="0" fontId="4" fillId="0" borderId="0"/>
    <xf numFmtId="0" fontId="4" fillId="0" borderId="0"/>
    <xf numFmtId="0" fontId="96"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6"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8" fillId="0" borderId="0"/>
    <xf numFmtId="0" fontId="10" fillId="0" borderId="0"/>
    <xf numFmtId="0" fontId="7" fillId="0" borderId="0"/>
    <xf numFmtId="0" fontId="4" fillId="0" borderId="0"/>
    <xf numFmtId="0" fontId="4" fillId="0" borderId="0"/>
    <xf numFmtId="0" fontId="65"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108"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9"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7" fillId="38" borderId="0">
      <alignment horizontal="right"/>
    </xf>
    <xf numFmtId="0" fontId="98" fillId="0" borderId="109"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110" applyNumberFormat="0" applyAlignment="0" applyProtection="0"/>
    <xf numFmtId="0" fontId="29" fillId="0" borderId="110" applyNumberFormat="0" applyAlignment="0" applyProtection="0"/>
    <xf numFmtId="0" fontId="29" fillId="0" borderId="110" applyNumberFormat="0" applyAlignment="0" applyProtection="0"/>
    <xf numFmtId="0" fontId="29" fillId="0" borderId="110" applyNumberFormat="0" applyAlignment="0" applyProtection="0"/>
    <xf numFmtId="0" fontId="29" fillId="0" borderId="110"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29" fillId="0" borderId="111" applyNumberFormat="0" applyAlignment="0" applyProtection="0"/>
    <xf numFmtId="0" fontId="98" fillId="0" borderId="112" applyNumberFormat="0" applyAlignment="0" applyProtection="0"/>
    <xf numFmtId="0" fontId="84"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82"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0" fontId="100" fillId="0" borderId="26">
      <alignment horizontal="center"/>
    </xf>
    <xf numFmtId="3" fontId="99" fillId="0" borderId="0" applyFont="0" applyFill="0" applyBorder="0" applyAlignment="0" applyProtection="0"/>
    <xf numFmtId="0" fontId="99" fillId="51" borderId="0" applyNumberFormat="0" applyFont="0" applyBorder="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88"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8" fillId="0" borderId="0"/>
    <xf numFmtId="0" fontId="88" fillId="0" borderId="0"/>
    <xf numFmtId="0" fontId="101" fillId="15" borderId="0" applyNumberFormat="0" applyBorder="0" applyAlignment="0"/>
    <xf numFmtId="0" fontId="101" fillId="3" borderId="0" applyNumberFormat="0" applyBorder="0" applyAlignment="0"/>
    <xf numFmtId="0" fontId="101" fillId="15" borderId="0" applyNumberFormat="0" applyBorder="0" applyAlignment="0"/>
    <xf numFmtId="0" fontId="102" fillId="0" borderId="0"/>
    <xf numFmtId="0" fontId="61" fillId="0" borderId="0" applyNumberFormat="0" applyBorder="0" applyAlignment="0"/>
    <xf numFmtId="0" fontId="88" fillId="0" borderId="0"/>
    <xf numFmtId="0" fontId="61" fillId="0" borderId="0" applyNumberFormat="0" applyBorder="0" applyAlignment="0"/>
    <xf numFmtId="0" fontId="88" fillId="0" borderId="0"/>
    <xf numFmtId="0" fontId="88" fillId="0" borderId="0"/>
    <xf numFmtId="0" fontId="102" fillId="0" borderId="0"/>
    <xf numFmtId="0" fontId="103" fillId="0" borderId="0"/>
    <xf numFmtId="0" fontId="104" fillId="22" borderId="0" applyNumberFormat="0" applyBorder="0" applyAlignment="0"/>
    <xf numFmtId="0" fontId="103" fillId="0" borderId="0"/>
    <xf numFmtId="0" fontId="102" fillId="0" borderId="0"/>
    <xf numFmtId="0" fontId="104" fillId="22" borderId="0" applyNumberFormat="0" applyBorder="0" applyAlignment="0"/>
    <xf numFmtId="0" fontId="102" fillId="0" borderId="0"/>
    <xf numFmtId="0" fontId="105" fillId="0" borderId="0"/>
    <xf numFmtId="0" fontId="40" fillId="0" borderId="0" applyNumberFormat="0" applyBorder="0" applyAlignment="0"/>
    <xf numFmtId="0" fontId="40" fillId="0" borderId="0" applyNumberFormat="0" applyBorder="0" applyAlignment="0"/>
    <xf numFmtId="0" fontId="105" fillId="0" borderId="0"/>
    <xf numFmtId="0" fontId="106" fillId="0" borderId="0"/>
    <xf numFmtId="0" fontId="101" fillId="6" borderId="0" applyNumberFormat="0" applyBorder="0" applyAlignment="0"/>
    <xf numFmtId="0" fontId="106" fillId="0" borderId="0"/>
    <xf numFmtId="0" fontId="101" fillId="52" borderId="0" applyNumberFormat="0" applyBorder="0" applyAlignment="0"/>
    <xf numFmtId="0" fontId="101" fillId="3" borderId="0" applyNumberFormat="0" applyBorder="0" applyAlignment="0"/>
    <xf numFmtId="0" fontId="101"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7"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113"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20" applyNumberFormat="0" applyAlignment="0" applyProtection="0"/>
    <xf numFmtId="0" fontId="29" fillId="0" borderId="120" applyNumberFormat="0" applyAlignment="0" applyProtection="0"/>
    <xf numFmtId="0" fontId="29" fillId="0" borderId="119" applyNumberFormat="0" applyAlignment="0" applyProtection="0"/>
    <xf numFmtId="0" fontId="7" fillId="0" borderId="0"/>
    <xf numFmtId="0" fontId="31" fillId="0" borderId="117"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19"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108" applyNumberFormat="0" applyFont="0" applyAlignment="0" applyProtection="0"/>
    <xf numFmtId="0" fontId="7" fillId="0" borderId="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0" fontId="29" fillId="0" borderId="11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17" applyNumberFormat="0" applyAlignment="0" applyProtection="0">
      <alignment horizontal="left" vertical="center"/>
    </xf>
    <xf numFmtId="0" fontId="29" fillId="0" borderId="119" applyNumberFormat="0" applyAlignment="0" applyProtection="0"/>
    <xf numFmtId="0" fontId="29" fillId="0" borderId="119" applyNumberFormat="0" applyAlignment="0" applyProtection="0"/>
    <xf numFmtId="0" fontId="29" fillId="0" borderId="119" applyNumberFormat="0" applyAlignment="0" applyProtection="0"/>
    <xf numFmtId="0" fontId="7" fillId="0" borderId="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29" fillId="0" borderId="120" applyNumberFormat="0" applyAlignment="0" applyProtection="0"/>
    <xf numFmtId="0" fontId="7" fillId="0" borderId="0"/>
    <xf numFmtId="0" fontId="111"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cellStyleXfs>
  <cellXfs count="974">
    <xf numFmtId="0" fontId="0" fillId="0" borderId="0" xfId="0"/>
    <xf numFmtId="0" fontId="9" fillId="32" borderId="12" xfId="0" applyFont="1" applyFill="1" applyBorder="1"/>
    <xf numFmtId="0" fontId="0" fillId="32" borderId="0" xfId="0" applyFill="1"/>
    <xf numFmtId="168" fontId="7" fillId="0" borderId="0" xfId="90" applyNumberFormat="1" applyFont="1"/>
    <xf numFmtId="0" fontId="9" fillId="32" borderId="0" xfId="0" applyFont="1" applyFill="1"/>
    <xf numFmtId="168" fontId="7" fillId="32" borderId="0" xfId="90"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90" applyNumberFormat="1" applyFont="1" applyBorder="1"/>
    <xf numFmtId="168" fontId="7" fillId="0" borderId="0" xfId="90" applyNumberFormat="1" applyFont="1" applyBorder="1"/>
    <xf numFmtId="168" fontId="29" fillId="0" borderId="0" xfId="0" applyNumberFormat="1" applyFont="1"/>
    <xf numFmtId="0" fontId="29" fillId="32" borderId="0" xfId="0" applyFont="1" applyFill="1"/>
    <xf numFmtId="168" fontId="9" fillId="32" borderId="13" xfId="90" applyNumberFormat="1" applyFont="1" applyFill="1" applyBorder="1"/>
    <xf numFmtId="0" fontId="9" fillId="0" borderId="0" xfId="0" applyFont="1"/>
    <xf numFmtId="0" fontId="31" fillId="0" borderId="0" xfId="83"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90" applyFont="1" applyBorder="1"/>
    <xf numFmtId="9" fontId="7" fillId="0" borderId="16" xfId="90" applyFont="1" applyBorder="1"/>
    <xf numFmtId="9" fontId="7" fillId="0" borderId="17" xfId="90" applyFont="1" applyBorder="1"/>
    <xf numFmtId="9" fontId="7" fillId="0" borderId="0" xfId="90"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51" fillId="0" borderId="0" xfId="0" applyFont="1"/>
    <xf numFmtId="0" fontId="52" fillId="0" borderId="0" xfId="0" applyFont="1"/>
    <xf numFmtId="0" fontId="7" fillId="0" borderId="0" xfId="81"/>
    <xf numFmtId="0" fontId="34" fillId="0" borderId="0" xfId="0" applyFont="1"/>
    <xf numFmtId="0" fontId="0" fillId="0" borderId="0" xfId="0" applyProtection="1">
      <protection locked="0"/>
    </xf>
    <xf numFmtId="0" fontId="53" fillId="0" borderId="0" xfId="0" applyFont="1"/>
    <xf numFmtId="0" fontId="0" fillId="0" borderId="0" xfId="0" applyAlignment="1">
      <alignment horizontal="center"/>
    </xf>
    <xf numFmtId="0" fontId="0" fillId="32" borderId="0" xfId="0" applyFill="1" applyAlignment="1">
      <alignment horizontal="center"/>
    </xf>
    <xf numFmtId="0" fontId="54" fillId="0" borderId="28" xfId="0" applyFont="1" applyBorder="1" applyAlignment="1">
      <alignment vertical="center" wrapText="1"/>
    </xf>
    <xf numFmtId="0" fontId="54" fillId="0" borderId="31" xfId="0" applyFont="1" applyBorder="1" applyAlignment="1">
      <alignment vertical="center" wrapText="1"/>
    </xf>
    <xf numFmtId="0" fontId="36" fillId="0" borderId="0" xfId="0" applyFont="1"/>
    <xf numFmtId="165" fontId="7" fillId="24" borderId="12" xfId="90" applyNumberFormat="1" applyFont="1" applyFill="1" applyBorder="1"/>
    <xf numFmtId="43" fontId="7" fillId="24" borderId="12" xfId="37" applyNumberFormat="1" applyFont="1" applyFill="1" applyBorder="1"/>
    <xf numFmtId="9" fontId="7" fillId="24" borderId="39" xfId="90" applyFont="1" applyFill="1" applyBorder="1"/>
    <xf numFmtId="9" fontId="7" fillId="24" borderId="21" xfId="90" applyFont="1" applyFill="1" applyBorder="1"/>
    <xf numFmtId="9" fontId="7" fillId="24" borderId="40" xfId="90"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90" applyFont="1" applyFill="1" applyBorder="1"/>
    <xf numFmtId="167" fontId="7" fillId="24" borderId="12" xfId="45" applyNumberFormat="1" applyFont="1" applyFill="1" applyBorder="1"/>
    <xf numFmtId="165" fontId="7" fillId="24" borderId="42" xfId="90" applyNumberFormat="1" applyFont="1" applyFill="1" applyBorder="1"/>
    <xf numFmtId="165" fontId="7" fillId="24" borderId="41" xfId="90"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90" applyFont="1" applyFill="1" applyBorder="1"/>
    <xf numFmtId="9" fontId="7" fillId="24" borderId="42" xfId="90"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90" applyFont="1" applyFill="1" applyBorder="1"/>
    <xf numFmtId="9" fontId="7" fillId="24" borderId="44" xfId="90" applyFont="1" applyFill="1" applyBorder="1"/>
    <xf numFmtId="9" fontId="7" fillId="24" borderId="45" xfId="90"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70" xfId="0" applyFont="1" applyFill="1" applyBorder="1" applyAlignment="1">
      <alignment horizontal="center"/>
    </xf>
    <xf numFmtId="0" fontId="31" fillId="34" borderId="72" xfId="0" applyFont="1" applyFill="1" applyBorder="1" applyAlignment="1">
      <alignment horizontal="center"/>
    </xf>
    <xf numFmtId="0" fontId="58" fillId="34" borderId="77" xfId="0" applyFont="1" applyFill="1" applyBorder="1" applyAlignment="1">
      <alignment horizontal="left"/>
    </xf>
    <xf numFmtId="0" fontId="58" fillId="34" borderId="4" xfId="0" applyFont="1" applyFill="1" applyBorder="1" applyAlignment="1">
      <alignment horizontal="center"/>
    </xf>
    <xf numFmtId="0" fontId="58" fillId="34" borderId="79" xfId="0" applyFont="1" applyFill="1" applyBorder="1" applyAlignment="1">
      <alignment horizontal="center"/>
    </xf>
    <xf numFmtId="0" fontId="7" fillId="0" borderId="0" xfId="0" applyFont="1" applyAlignment="1">
      <alignment horizontal="left" indent="2"/>
    </xf>
    <xf numFmtId="0" fontId="57" fillId="0" borderId="0" xfId="0" applyFont="1"/>
    <xf numFmtId="0" fontId="56" fillId="0" borderId="0" xfId="0" applyFont="1"/>
    <xf numFmtId="0" fontId="57" fillId="0" borderId="0" xfId="0" applyFont="1" applyAlignment="1">
      <alignment vertical="center"/>
    </xf>
    <xf numFmtId="0" fontId="60" fillId="0" borderId="80" xfId="0" applyFont="1" applyBorder="1"/>
    <xf numFmtId="0" fontId="60" fillId="0" borderId="81" xfId="0" applyFont="1" applyBorder="1" applyAlignment="1">
      <alignment horizontal="center"/>
    </xf>
    <xf numFmtId="0" fontId="60" fillId="0" borderId="82" xfId="0" applyFont="1" applyBorder="1" applyAlignment="1">
      <alignment horizontal="center"/>
    </xf>
    <xf numFmtId="0" fontId="40" fillId="0" borderId="0" xfId="0" applyFont="1"/>
    <xf numFmtId="0" fontId="7" fillId="0" borderId="12" xfId="115" quotePrefix="1" applyFont="1" applyBorder="1" applyAlignment="1">
      <alignment horizontal="left"/>
    </xf>
    <xf numFmtId="0" fontId="9" fillId="0" borderId="12" xfId="0" applyFont="1" applyBorder="1" applyAlignment="1">
      <alignment horizontal="center"/>
    </xf>
    <xf numFmtId="0" fontId="9" fillId="36" borderId="12" xfId="0" applyFont="1" applyFill="1" applyBorder="1" applyAlignment="1">
      <alignment horizontal="center"/>
    </xf>
    <xf numFmtId="0" fontId="40" fillId="0" borderId="12" xfId="0" applyFont="1" applyBorder="1"/>
    <xf numFmtId="0" fontId="7" fillId="0" borderId="12" xfId="115" applyFont="1" applyBorder="1" applyAlignment="1">
      <alignment horizontal="left"/>
    </xf>
    <xf numFmtId="0" fontId="51" fillId="34" borderId="0" xfId="0" applyFont="1" applyFill="1"/>
    <xf numFmtId="0" fontId="0" fillId="34" borderId="0" xfId="0" applyFill="1"/>
    <xf numFmtId="0" fontId="9" fillId="0" borderId="0" xfId="0" applyFont="1" applyAlignment="1">
      <alignment horizontal="center"/>
    </xf>
    <xf numFmtId="44" fontId="7" fillId="0" borderId="0" xfId="0" applyNumberFormat="1" applyFont="1"/>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69" xfId="78" applyNumberFormat="1" applyFont="1" applyFill="1" applyBorder="1" applyAlignment="1">
      <alignment horizontal="center" vertical="center" wrapText="1"/>
    </xf>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2" fillId="0" borderId="85" xfId="0" applyFont="1" applyBorder="1"/>
    <xf numFmtId="0" fontId="61" fillId="0" borderId="51" xfId="0" applyFont="1" applyBorder="1"/>
    <xf numFmtId="0" fontId="40" fillId="0" borderId="21" xfId="0" applyFont="1" applyBorder="1" applyAlignment="1">
      <alignment horizontal="center"/>
    </xf>
    <xf numFmtId="0" fontId="40" fillId="0" borderId="21" xfId="118" applyFont="1" applyBorder="1" applyAlignment="1">
      <alignment horizontal="left"/>
    </xf>
    <xf numFmtId="0" fontId="40" fillId="0" borderId="12" xfId="0" applyFont="1" applyBorder="1" applyAlignment="1">
      <alignment horizontal="center"/>
    </xf>
    <xf numFmtId="0" fontId="40" fillId="0" borderId="12" xfId="118"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7" applyFont="1" applyFill="1" applyBorder="1" applyAlignment="1">
      <alignment horizontal="center" vertical="center"/>
    </xf>
    <xf numFmtId="0" fontId="61" fillId="34" borderId="16" xfId="0" applyFont="1" applyFill="1" applyBorder="1" applyAlignment="1">
      <alignment vertical="center"/>
    </xf>
    <xf numFmtId="0" fontId="9" fillId="34" borderId="27" xfId="117" applyFont="1" applyFill="1" applyBorder="1" applyAlignment="1">
      <alignment horizontal="center" vertical="center"/>
    </xf>
    <xf numFmtId="0" fontId="61" fillId="34" borderId="21" xfId="0" applyFont="1" applyFill="1" applyBorder="1"/>
    <xf numFmtId="0" fontId="40" fillId="0" borderId="12" xfId="0" applyFont="1" applyBorder="1" applyAlignment="1">
      <alignment wrapText="1"/>
    </xf>
    <xf numFmtId="0" fontId="61" fillId="34" borderId="16" xfId="0" applyFont="1" applyFill="1" applyBorder="1" applyAlignment="1">
      <alignment vertical="center" wrapText="1"/>
    </xf>
    <xf numFmtId="0" fontId="40" fillId="34" borderId="21" xfId="0" applyFont="1" applyFill="1" applyBorder="1" applyAlignment="1">
      <alignment wrapText="1"/>
    </xf>
    <xf numFmtId="0" fontId="58" fillId="37" borderId="41" xfId="0" applyFont="1" applyFill="1" applyBorder="1"/>
    <xf numFmtId="0" fontId="58" fillId="37" borderId="41" xfId="0" applyFont="1" applyFill="1" applyBorder="1" applyAlignment="1">
      <alignment horizontal="left" vertical="center"/>
    </xf>
    <xf numFmtId="0" fontId="58"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3"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2" applyFont="1"/>
    <xf numFmtId="0" fontId="40" fillId="34" borderId="25" xfId="122" applyFont="1" applyFill="1" applyBorder="1"/>
    <xf numFmtId="0" fontId="61" fillId="34" borderId="36" xfId="122" applyFont="1" applyFill="1" applyBorder="1" applyAlignment="1">
      <alignment horizontal="centerContinuous" vertical="center"/>
    </xf>
    <xf numFmtId="0" fontId="61" fillId="34" borderId="48" xfId="122" applyFont="1" applyFill="1" applyBorder="1" applyAlignment="1">
      <alignment horizontal="centerContinuous" vertical="center"/>
    </xf>
    <xf numFmtId="0" fontId="61" fillId="34" borderId="87" xfId="122" applyFont="1" applyFill="1" applyBorder="1" applyAlignment="1">
      <alignment horizontal="centerContinuous" vertical="center"/>
    </xf>
    <xf numFmtId="0" fontId="61" fillId="34" borderId="16" xfId="122" applyFont="1" applyFill="1" applyBorder="1" applyAlignment="1">
      <alignment vertical="center"/>
    </xf>
    <xf numFmtId="0" fontId="61" fillId="34" borderId="24" xfId="122" applyFont="1" applyFill="1" applyBorder="1" applyAlignment="1">
      <alignment horizontal="centerContinuous" vertical="center"/>
    </xf>
    <xf numFmtId="0" fontId="61" fillId="34" borderId="4" xfId="122" applyFont="1" applyFill="1" applyBorder="1" applyAlignment="1">
      <alignment horizontal="centerContinuous" vertical="center"/>
    </xf>
    <xf numFmtId="0" fontId="40" fillId="0" borderId="0" xfId="122" applyFont="1" applyAlignment="1">
      <alignment horizontal="center" vertical="center" wrapText="1"/>
    </xf>
    <xf numFmtId="0" fontId="61" fillId="34" borderId="21" xfId="122" applyFont="1" applyFill="1" applyBorder="1"/>
    <xf numFmtId="0" fontId="40" fillId="0" borderId="0" xfId="122" applyFont="1" applyAlignment="1">
      <alignment wrapText="1"/>
    </xf>
    <xf numFmtId="0" fontId="40" fillId="0" borderId="14" xfId="122" applyFont="1" applyBorder="1" applyAlignment="1">
      <alignment horizontal="center"/>
    </xf>
    <xf numFmtId="0" fontId="62" fillId="0" borderId="85" xfId="122" applyFont="1" applyBorder="1"/>
    <xf numFmtId="0" fontId="40" fillId="38" borderId="14" xfId="122" applyFont="1" applyFill="1" applyBorder="1"/>
    <xf numFmtId="0" fontId="40" fillId="38" borderId="25" xfId="122" applyFont="1" applyFill="1" applyBorder="1"/>
    <xf numFmtId="0" fontId="40" fillId="38" borderId="0" xfId="122" applyFont="1" applyFill="1"/>
    <xf numFmtId="0" fontId="40" fillId="0" borderId="27" xfId="122" applyFont="1" applyBorder="1" applyAlignment="1">
      <alignment horizontal="center"/>
    </xf>
    <xf numFmtId="0" fontId="61" fillId="0" borderId="51" xfId="122" applyFont="1" applyBorder="1"/>
    <xf numFmtId="0" fontId="40" fillId="38" borderId="27" xfId="122" applyFont="1" applyFill="1" applyBorder="1"/>
    <xf numFmtId="0" fontId="40" fillId="38" borderId="21" xfId="122" applyFont="1" applyFill="1" applyBorder="1"/>
    <xf numFmtId="0" fontId="40" fillId="38" borderId="33" xfId="122" applyFont="1" applyFill="1" applyBorder="1"/>
    <xf numFmtId="0" fontId="40" fillId="0" borderId="21" xfId="122" applyFont="1" applyBorder="1" applyAlignment="1">
      <alignment horizontal="center"/>
    </xf>
    <xf numFmtId="0" fontId="40" fillId="0" borderId="12" xfId="122" applyFont="1" applyBorder="1" applyAlignment="1">
      <alignment horizontal="center"/>
    </xf>
    <xf numFmtId="0" fontId="40" fillId="0" borderId="0" xfId="122" applyFont="1" applyAlignment="1">
      <alignment horizontal="center"/>
    </xf>
    <xf numFmtId="0" fontId="62" fillId="0" borderId="0" xfId="122" applyFont="1"/>
    <xf numFmtId="0" fontId="40" fillId="0" borderId="14" xfId="0" applyFont="1" applyBorder="1" applyAlignment="1">
      <alignment horizontal="center"/>
    </xf>
    <xf numFmtId="0" fontId="40" fillId="0" borderId="27" xfId="0" applyFont="1" applyBorder="1" applyAlignment="1">
      <alignment horizontal="center"/>
    </xf>
    <xf numFmtId="0" fontId="60" fillId="34" borderId="84" xfId="0" applyFont="1" applyFill="1" applyBorder="1" applyAlignment="1">
      <alignment horizontal="centerContinuous"/>
    </xf>
    <xf numFmtId="0" fontId="58" fillId="37" borderId="69" xfId="0" applyFont="1" applyFill="1" applyBorder="1" applyAlignment="1">
      <alignment horizontal="center" vertical="center"/>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41" fontId="9" fillId="37" borderId="66" xfId="34" applyNumberFormat="1" applyFont="1" applyFill="1" applyBorder="1" applyAlignment="1">
      <alignment horizontal="centerContinuous"/>
    </xf>
    <xf numFmtId="41" fontId="9" fillId="37" borderId="4" xfId="34" applyNumberFormat="1" applyFont="1" applyFill="1" applyBorder="1" applyAlignment="1">
      <alignment horizontal="centerContinuous"/>
    </xf>
    <xf numFmtId="167" fontId="7" fillId="0" borderId="0" xfId="0" applyNumberFormat="1" applyFont="1"/>
    <xf numFmtId="0" fontId="9" fillId="0" borderId="0" xfId="83" applyFont="1" applyAlignment="1">
      <alignment vertical="center"/>
    </xf>
    <xf numFmtId="0" fontId="9" fillId="0" borderId="0" xfId="83" applyFont="1" applyAlignment="1" applyProtection="1">
      <alignment vertical="center"/>
      <protection locked="0"/>
    </xf>
    <xf numFmtId="0" fontId="9" fillId="0" borderId="0" xfId="83"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40"/>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2" applyFont="1"/>
    <xf numFmtId="167" fontId="7" fillId="0" borderId="0" xfId="45" applyNumberFormat="1" applyFont="1" applyBorder="1"/>
    <xf numFmtId="9" fontId="7" fillId="24" borderId="20" xfId="90" applyFont="1" applyFill="1" applyBorder="1" applyAlignment="1">
      <alignment horizontal="center"/>
    </xf>
    <xf numFmtId="9" fontId="7" fillId="24" borderId="46" xfId="90" applyFont="1" applyFill="1" applyBorder="1" applyAlignment="1">
      <alignment horizontal="center"/>
    </xf>
    <xf numFmtId="9" fontId="7" fillId="0" borderId="22" xfId="90" applyFont="1" applyFill="1" applyBorder="1" applyAlignment="1">
      <alignment horizontal="center"/>
    </xf>
    <xf numFmtId="9" fontId="7" fillId="0" borderId="20" xfId="90" applyFont="1" applyFill="1" applyBorder="1" applyAlignment="1">
      <alignment horizontal="center"/>
    </xf>
    <xf numFmtId="9" fontId="7" fillId="0" borderId="13" xfId="90" applyFont="1" applyFill="1" applyBorder="1" applyAlignment="1">
      <alignment horizontal="center"/>
    </xf>
    <xf numFmtId="0" fontId="9" fillId="36" borderId="24" xfId="0" applyFont="1" applyFill="1" applyBorder="1" applyAlignment="1">
      <alignment horizontal="centerContinuous"/>
    </xf>
    <xf numFmtId="0" fontId="9" fillId="36" borderId="19" xfId="0" applyFont="1" applyFill="1" applyBorder="1" applyAlignment="1">
      <alignment horizontal="centerContinuous"/>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6"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2" applyNumberFormat="1" applyFont="1"/>
    <xf numFmtId="167" fontId="40" fillId="37" borderId="12" xfId="122" applyNumberFormat="1" applyFont="1" applyFill="1" applyBorder="1"/>
    <xf numFmtId="43" fontId="7" fillId="24" borderId="41" xfId="34" applyFont="1" applyFill="1" applyBorder="1"/>
    <xf numFmtId="0" fontId="66" fillId="0" borderId="0" xfId="0" applyFont="1"/>
    <xf numFmtId="0" fontId="9" fillId="34" borderId="36" xfId="117" applyFont="1" applyFill="1" applyBorder="1" applyAlignment="1">
      <alignment horizontal="center" vertical="center"/>
    </xf>
    <xf numFmtId="0" fontId="9" fillId="34" borderId="91" xfId="0" applyFont="1" applyFill="1" applyBorder="1" applyAlignment="1">
      <alignment horizontal="center"/>
    </xf>
    <xf numFmtId="0" fontId="7" fillId="0" borderId="0" xfId="115" quotePrefix="1" applyFont="1" applyAlignment="1">
      <alignment horizontal="left" wrapText="1"/>
    </xf>
    <xf numFmtId="0" fontId="9" fillId="0" borderId="0" xfId="83"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2" applyAlignment="1">
      <alignment vertical="center"/>
    </xf>
    <xf numFmtId="0" fontId="61" fillId="0" borderId="0" xfId="122" applyFont="1" applyAlignment="1">
      <alignment horizontal="left"/>
    </xf>
    <xf numFmtId="0" fontId="61" fillId="0" borderId="0" xfId="122" applyFont="1"/>
    <xf numFmtId="0" fontId="66" fillId="0" borderId="0" xfId="122" applyFont="1"/>
    <xf numFmtId="0" fontId="66" fillId="0" borderId="0" xfId="122" applyFont="1" applyAlignment="1">
      <alignment horizontal="left"/>
    </xf>
    <xf numFmtId="0" fontId="67" fillId="0" borderId="0" xfId="122"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5" quotePrefix="1" applyNumberFormat="1" applyFont="1" applyBorder="1" applyAlignment="1">
      <alignment horizontal="center"/>
    </xf>
    <xf numFmtId="164" fontId="7" fillId="0" borderId="12" xfId="116" quotePrefix="1" applyNumberFormat="1" applyFont="1" applyBorder="1" applyAlignment="1">
      <alignment horizontal="center"/>
    </xf>
    <xf numFmtId="164" fontId="7" fillId="34" borderId="49" xfId="0" applyNumberFormat="1" applyFont="1" applyFill="1" applyBorder="1" applyAlignment="1">
      <alignment horizontal="center"/>
    </xf>
    <xf numFmtId="164" fontId="7" fillId="34" borderId="66" xfId="0" applyNumberFormat="1" applyFont="1" applyFill="1" applyBorder="1" applyAlignment="1">
      <alignment horizontal="center"/>
    </xf>
    <xf numFmtId="0" fontId="75" fillId="35" borderId="75" xfId="0" applyFont="1" applyFill="1" applyBorder="1" applyAlignment="1">
      <alignment horizontal="left" wrapText="1"/>
    </xf>
    <xf numFmtId="0" fontId="75" fillId="35" borderId="68" xfId="0" applyFont="1" applyFill="1" applyBorder="1" applyAlignment="1">
      <alignment wrapText="1"/>
    </xf>
    <xf numFmtId="0" fontId="75" fillId="35" borderId="74" xfId="0" applyFont="1" applyFill="1" applyBorder="1" applyAlignment="1">
      <alignment horizontal="center" wrapText="1"/>
    </xf>
    <xf numFmtId="0" fontId="5" fillId="0" borderId="0" xfId="0" applyFont="1" applyAlignment="1">
      <alignment horizontal="center"/>
    </xf>
    <xf numFmtId="0" fontId="69" fillId="34" borderId="76" xfId="0" applyFont="1" applyFill="1" applyBorder="1" applyAlignment="1">
      <alignment vertical="center"/>
    </xf>
    <xf numFmtId="0" fontId="58" fillId="34" borderId="74" xfId="0" applyFont="1" applyFill="1" applyBorder="1" applyAlignment="1">
      <alignment wrapText="1"/>
    </xf>
    <xf numFmtId="0" fontId="5" fillId="0" borderId="0" xfId="0" applyFont="1"/>
    <xf numFmtId="0" fontId="69" fillId="34" borderId="78" xfId="0" applyFont="1" applyFill="1" applyBorder="1" applyAlignment="1">
      <alignment vertical="center" wrapText="1"/>
    </xf>
    <xf numFmtId="0" fontId="58"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0" fontId="9" fillId="34" borderId="49" xfId="78" applyFont="1" applyFill="1" applyBorder="1" applyAlignment="1">
      <alignment wrapText="1"/>
    </xf>
    <xf numFmtId="0" fontId="62" fillId="38" borderId="98" xfId="78" applyFont="1" applyFill="1" applyBorder="1"/>
    <xf numFmtId="49" fontId="40" fillId="38" borderId="98" xfId="78" applyNumberFormat="1" applyFont="1" applyFill="1" applyBorder="1"/>
    <xf numFmtId="49" fontId="40" fillId="38" borderId="84" xfId="78" applyNumberFormat="1" applyFont="1" applyFill="1" applyBorder="1"/>
    <xf numFmtId="41" fontId="7" fillId="37" borderId="93" xfId="78" applyNumberFormat="1" applyFont="1" applyFill="1" applyBorder="1"/>
    <xf numFmtId="42" fontId="7" fillId="37" borderId="93" xfId="41" applyNumberFormat="1" applyFont="1" applyFill="1" applyBorder="1" applyAlignment="1" applyProtection="1"/>
    <xf numFmtId="41" fontId="40" fillId="37" borderId="93" xfId="78" applyNumberFormat="1" applyFont="1" applyFill="1" applyBorder="1"/>
    <xf numFmtId="41" fontId="40" fillId="37" borderId="93" xfId="35" applyNumberFormat="1" applyFont="1" applyFill="1" applyBorder="1" applyAlignment="1" applyProtection="1"/>
    <xf numFmtId="44" fontId="40" fillId="37" borderId="93" xfId="41" applyFont="1" applyFill="1" applyBorder="1" applyAlignment="1" applyProtection="1"/>
    <xf numFmtId="44" fontId="40" fillId="37" borderId="102" xfId="41" applyFont="1" applyFill="1" applyBorder="1" applyAlignment="1" applyProtection="1"/>
    <xf numFmtId="44" fontId="40" fillId="37" borderId="94" xfId="41" applyFont="1" applyFill="1" applyBorder="1" applyAlignment="1" applyProtection="1"/>
    <xf numFmtId="41" fontId="40" fillId="43" borderId="16" xfId="78" applyNumberFormat="1" applyFont="1" applyFill="1" applyBorder="1"/>
    <xf numFmtId="41" fontId="40" fillId="43" borderId="93" xfId="78" applyNumberFormat="1" applyFont="1" applyFill="1" applyBorder="1"/>
    <xf numFmtId="3" fontId="7" fillId="43" borderId="16" xfId="78" applyNumberFormat="1" applyFont="1" applyFill="1" applyBorder="1"/>
    <xf numFmtId="3" fontId="7" fillId="43" borderId="93" xfId="78" applyNumberFormat="1" applyFont="1" applyFill="1" applyBorder="1"/>
    <xf numFmtId="3" fontId="62" fillId="0" borderId="16" xfId="78" applyNumberFormat="1" applyFont="1" applyBorder="1"/>
    <xf numFmtId="42" fontId="62" fillId="0" borderId="16" xfId="78" applyNumberFormat="1" applyFont="1" applyBorder="1"/>
    <xf numFmtId="4" fontId="62" fillId="0" borderId="16" xfId="78" applyNumberFormat="1" applyFont="1" applyBorder="1"/>
    <xf numFmtId="44" fontId="62" fillId="0" borderId="14" xfId="41" applyFont="1" applyFill="1" applyBorder="1" applyAlignment="1" applyProtection="1"/>
    <xf numFmtId="44" fontId="62" fillId="0" borderId="25" xfId="41" applyFont="1" applyFill="1" applyBorder="1" applyAlignment="1" applyProtection="1"/>
    <xf numFmtId="44" fontId="62" fillId="0" borderId="36" xfId="41" applyFont="1" applyFill="1" applyBorder="1" applyAlignment="1" applyProtection="1"/>
    <xf numFmtId="44" fontId="62" fillId="0" borderId="38" xfId="41" applyFont="1" applyFill="1" applyBorder="1" applyAlignment="1" applyProtection="1"/>
    <xf numFmtId="0" fontId="9" fillId="0" borderId="0" xfId="140" applyFont="1" applyAlignment="1">
      <alignment horizontal="left"/>
    </xf>
    <xf numFmtId="0" fontId="7" fillId="0" borderId="0" xfId="140" applyAlignment="1">
      <alignment horizontal="left" indent="1"/>
    </xf>
    <xf numFmtId="164" fontId="7" fillId="0" borderId="12" xfId="0" applyNumberFormat="1" applyFont="1" applyBorder="1" applyAlignment="1">
      <alignment horizontal="center"/>
    </xf>
    <xf numFmtId="0" fontId="32" fillId="0" borderId="0" xfId="140" applyFont="1" applyAlignment="1">
      <alignment horizontal="left" indent="1"/>
    </xf>
    <xf numFmtId="0" fontId="7" fillId="0" borderId="0" xfId="140" applyAlignment="1">
      <alignment horizontal="left"/>
    </xf>
    <xf numFmtId="173" fontId="7" fillId="0" borderId="12" xfId="0" applyNumberFormat="1" applyFont="1" applyBorder="1" applyAlignment="1">
      <alignment horizontal="fill"/>
    </xf>
    <xf numFmtId="0" fontId="9" fillId="0" borderId="0" xfId="140"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19" xfId="34" applyNumberFormat="1" applyFont="1" applyFill="1" applyBorder="1" applyAlignment="1" applyProtection="1">
      <alignment horizontal="centerContinuous"/>
    </xf>
    <xf numFmtId="41" fontId="9" fillId="37" borderId="66"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7" fillId="0" borderId="0" xfId="140" applyProtection="1">
      <protection locked="0"/>
    </xf>
    <xf numFmtId="0" fontId="7" fillId="0" borderId="0" xfId="140" applyAlignment="1" applyProtection="1">
      <alignment horizontal="left"/>
      <protection locked="0"/>
    </xf>
    <xf numFmtId="171" fontId="7" fillId="0" borderId="0" xfId="140" applyNumberFormat="1" applyProtection="1">
      <protection locked="0"/>
    </xf>
    <xf numFmtId="167" fontId="7" fillId="0" borderId="0" xfId="140" applyNumberFormat="1" applyProtection="1">
      <protection locked="0"/>
    </xf>
    <xf numFmtId="166" fontId="7" fillId="0" borderId="0" xfId="34" applyNumberFormat="1" applyFont="1" applyProtection="1">
      <protection locked="0"/>
    </xf>
    <xf numFmtId="43" fontId="7" fillId="0" borderId="0" xfId="140" applyNumberFormat="1" applyProtection="1">
      <protection locked="0"/>
    </xf>
    <xf numFmtId="0" fontId="7" fillId="0" borderId="0" xfId="0" applyFont="1" applyAlignment="1" applyProtection="1">
      <alignment vertical="center"/>
      <protection locked="0"/>
    </xf>
    <xf numFmtId="0" fontId="7" fillId="0" borderId="0" xfId="122" applyProtection="1">
      <protection locked="0"/>
    </xf>
    <xf numFmtId="0" fontId="40" fillId="0" borderId="0" xfId="122" applyFont="1" applyProtection="1">
      <protection locked="0"/>
    </xf>
    <xf numFmtId="0" fontId="61" fillId="0" borderId="0" xfId="122" applyFont="1" applyProtection="1">
      <protection locked="0"/>
    </xf>
    <xf numFmtId="0" fontId="61" fillId="0" borderId="0" xfId="122" applyFont="1" applyAlignment="1" applyProtection="1">
      <alignment horizontal="left"/>
      <protection locked="0"/>
    </xf>
    <xf numFmtId="0" fontId="40" fillId="0" borderId="0" xfId="122" applyFont="1" applyAlignment="1" applyProtection="1">
      <alignment horizontal="center" vertical="center" wrapText="1"/>
      <protection locked="0"/>
    </xf>
    <xf numFmtId="0" fontId="40" fillId="0" borderId="0" xfId="122"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3"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93"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83" xfId="78" applyFont="1" applyFill="1" applyBorder="1" applyAlignment="1">
      <alignment horizontal="left"/>
    </xf>
    <xf numFmtId="0" fontId="9" fillId="34" borderId="75" xfId="78" applyFont="1" applyFill="1" applyBorder="1" applyAlignment="1">
      <alignment wrapText="1"/>
    </xf>
    <xf numFmtId="3" fontId="9" fillId="34" borderId="76" xfId="78" applyNumberFormat="1" applyFont="1" applyFill="1" applyBorder="1" applyAlignment="1">
      <alignment horizontal="centerContinuous" vertical="center" wrapText="1"/>
    </xf>
    <xf numFmtId="3" fontId="9" fillId="34" borderId="103" xfId="78" applyNumberFormat="1" applyFont="1" applyFill="1" applyBorder="1" applyAlignment="1">
      <alignment horizontal="centerContinuous" vertical="center" wrapText="1"/>
    </xf>
    <xf numFmtId="42" fontId="9" fillId="34" borderId="103" xfId="78" applyNumberFormat="1" applyFont="1" applyFill="1" applyBorder="1" applyAlignment="1">
      <alignment horizontal="centerContinuous" vertical="center" wrapText="1"/>
    </xf>
    <xf numFmtId="42" fontId="9" fillId="34" borderId="76" xfId="78" applyNumberFormat="1" applyFont="1" applyFill="1" applyBorder="1" applyAlignment="1">
      <alignment horizontal="centerContinuous" vertical="center" wrapText="1"/>
    </xf>
    <xf numFmtId="4" fontId="9" fillId="34" borderId="103" xfId="78" applyNumberFormat="1" applyFont="1" applyFill="1" applyBorder="1" applyAlignment="1">
      <alignment horizontal="centerContinuous" vertical="center" wrapText="1"/>
    </xf>
    <xf numFmtId="4" fontId="9" fillId="34" borderId="76" xfId="78" applyNumberFormat="1" applyFont="1" applyFill="1" applyBorder="1" applyAlignment="1">
      <alignment horizontal="centerContinuous" vertical="center" wrapText="1"/>
    </xf>
    <xf numFmtId="44" fontId="9" fillId="34" borderId="103" xfId="78" applyNumberFormat="1" applyFont="1" applyFill="1" applyBorder="1" applyAlignment="1">
      <alignment horizontal="centerContinuous" vertical="center" wrapText="1"/>
    </xf>
    <xf numFmtId="44" fontId="9" fillId="34" borderId="101" xfId="78" applyNumberFormat="1" applyFont="1" applyFill="1" applyBorder="1" applyAlignment="1">
      <alignment horizontal="centerContinuous" vertical="center" wrapText="1"/>
    </xf>
    <xf numFmtId="44" fontId="9" fillId="34" borderId="77" xfId="78" applyNumberFormat="1" applyFont="1" applyFill="1" applyBorder="1" applyAlignment="1">
      <alignment horizontal="centerContinuous" vertical="center"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34" borderId="24" xfId="40" applyFont="1" applyFill="1" applyBorder="1" applyProtection="1"/>
    <xf numFmtId="0" fontId="7" fillId="0" borderId="0" xfId="0" applyFont="1" applyAlignment="1" applyProtection="1">
      <alignment wrapText="1"/>
      <protection locked="0"/>
    </xf>
    <xf numFmtId="44" fontId="7" fillId="0" borderId="88" xfId="0" applyNumberFormat="1" applyFont="1" applyBorder="1"/>
    <xf numFmtId="44" fontId="7" fillId="0" borderId="98"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8" xfId="0" applyNumberFormat="1" applyFont="1" applyBorder="1"/>
    <xf numFmtId="167" fontId="7" fillId="0" borderId="98"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90"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6"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3" applyFont="1" applyFill="1" applyBorder="1" applyAlignment="1">
      <alignment horizontal="centerContinuous" vertical="center"/>
    </xf>
    <xf numFmtId="0" fontId="9" fillId="37" borderId="4" xfId="83" applyFont="1" applyFill="1" applyBorder="1" applyAlignment="1">
      <alignment horizontal="centerContinuous" vertical="center"/>
    </xf>
    <xf numFmtId="0" fontId="9" fillId="37" borderId="19" xfId="83" applyFont="1" applyFill="1" applyBorder="1" applyAlignment="1">
      <alignment horizontal="centerContinuous" vertical="center"/>
    </xf>
    <xf numFmtId="0" fontId="9" fillId="0" borderId="14" xfId="83" applyFont="1" applyBorder="1" applyAlignment="1">
      <alignment horizontal="center" vertical="center"/>
    </xf>
    <xf numFmtId="14" fontId="9" fillId="37" borderId="24" xfId="83" applyNumberFormat="1" applyFont="1" applyFill="1" applyBorder="1" applyAlignment="1">
      <alignment horizontal="centerContinuous" vertical="center"/>
    </xf>
    <xf numFmtId="0" fontId="76" fillId="0" borderId="0" xfId="83" applyFont="1" applyAlignment="1">
      <alignment vertical="center"/>
    </xf>
    <xf numFmtId="0" fontId="76" fillId="0" borderId="0" xfId="83" applyFont="1" applyAlignment="1" applyProtection="1">
      <alignment vertical="center"/>
      <protection locked="0"/>
    </xf>
    <xf numFmtId="0" fontId="9" fillId="0" borderId="12" xfId="83" applyFont="1" applyBorder="1" applyAlignment="1">
      <alignment horizontal="left" vertical="center" wrapText="1"/>
    </xf>
    <xf numFmtId="0" fontId="9" fillId="0" borderId="24" xfId="83" applyFont="1" applyBorder="1" applyAlignment="1">
      <alignment horizontal="centerContinuous" vertical="center"/>
    </xf>
    <xf numFmtId="0" fontId="9" fillId="0" borderId="4" xfId="83" applyFont="1" applyBorder="1" applyAlignment="1">
      <alignment horizontal="centerContinuous" vertical="center"/>
    </xf>
    <xf numFmtId="0" fontId="9" fillId="0" borderId="19" xfId="83" applyFont="1" applyBorder="1" applyAlignment="1">
      <alignment horizontal="centerContinuous" vertical="center"/>
    </xf>
    <xf numFmtId="0" fontId="9" fillId="0" borderId="67" xfId="83" applyFont="1" applyBorder="1" applyAlignment="1">
      <alignment horizontal="centerContinuous" vertical="center"/>
    </xf>
    <xf numFmtId="0" fontId="9" fillId="0" borderId="66" xfId="83" applyFont="1" applyBorder="1" applyAlignment="1">
      <alignment horizontal="centerContinuous" vertical="center"/>
    </xf>
    <xf numFmtId="0" fontId="37" fillId="0" borderId="12" xfId="0" applyFont="1" applyBorder="1" applyAlignment="1">
      <alignment wrapText="1"/>
    </xf>
    <xf numFmtId="44" fontId="7" fillId="34" borderId="24" xfId="40" applyFont="1" applyFill="1" applyBorder="1"/>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6" xfId="0" applyNumberFormat="1" applyFont="1" applyBorder="1" applyAlignment="1">
      <alignment horizontal="fill"/>
    </xf>
    <xf numFmtId="10" fontId="7" fillId="34" borderId="12" xfId="90" applyNumberFormat="1" applyFont="1" applyFill="1" applyBorder="1"/>
    <xf numFmtId="164" fontId="7" fillId="0" borderId="0" xfId="0" applyNumberFormat="1" applyFont="1" applyAlignment="1" applyProtection="1">
      <alignment horizontal="center"/>
      <protection locked="0"/>
    </xf>
    <xf numFmtId="0" fontId="9" fillId="0" borderId="14" xfId="83" applyFont="1" applyBorder="1" applyAlignment="1" applyProtection="1">
      <alignment horizontal="center" vertical="center"/>
      <protection locked="0"/>
    </xf>
    <xf numFmtId="0" fontId="77" fillId="0" borderId="0" xfId="0" applyFont="1"/>
    <xf numFmtId="0" fontId="31" fillId="0" borderId="0" xfId="139" applyFont="1" applyAlignment="1" applyProtection="1">
      <alignment horizontal="left" vertical="top"/>
    </xf>
    <xf numFmtId="0" fontId="9" fillId="0" borderId="0" xfId="139" applyFont="1" applyAlignment="1" applyProtection="1"/>
    <xf numFmtId="38" fontId="7" fillId="0" borderId="0" xfId="141" applyNumberFormat="1" applyFont="1"/>
    <xf numFmtId="38" fontId="78" fillId="0" borderId="0" xfId="141" applyNumberFormat="1" applyFont="1"/>
    <xf numFmtId="0" fontId="7" fillId="0" borderId="0" xfId="139" applyAlignment="1" applyProtection="1"/>
    <xf numFmtId="0" fontId="7" fillId="0" borderId="0" xfId="139" applyAlignment="1" applyProtection="1">
      <protection locked="0"/>
    </xf>
    <xf numFmtId="14" fontId="31" fillId="38" borderId="0" xfId="139" applyNumberFormat="1" applyFont="1" applyFill="1" applyAlignment="1" applyProtection="1"/>
    <xf numFmtId="0" fontId="7" fillId="0" borderId="91" xfId="139" applyBorder="1" applyAlignment="1" applyProtection="1">
      <alignment horizontal="center"/>
    </xf>
    <xf numFmtId="0" fontId="7" fillId="0" borderId="41" xfId="139" applyBorder="1" applyAlignment="1" applyProtection="1">
      <alignment horizontal="center"/>
    </xf>
    <xf numFmtId="0" fontId="7" fillId="0" borderId="43" xfId="139" applyBorder="1" applyAlignment="1" applyProtection="1">
      <alignment horizontal="center"/>
    </xf>
    <xf numFmtId="44" fontId="38" fillId="0" borderId="0" xfId="133" applyNumberFormat="1" applyFont="1" applyBorder="1" applyProtection="1"/>
    <xf numFmtId="0" fontId="31" fillId="0" borderId="0" xfId="83" applyFont="1" applyAlignment="1">
      <alignment vertical="center"/>
    </xf>
    <xf numFmtId="44" fontId="7" fillId="37" borderId="25" xfId="139" applyNumberFormat="1" applyFill="1" applyBorder="1" applyAlignment="1" applyProtection="1"/>
    <xf numFmtId="44" fontId="40" fillId="37" borderId="44" xfId="133" applyNumberFormat="1" applyFont="1" applyFill="1" applyBorder="1" applyProtection="1"/>
    <xf numFmtId="0" fontId="7" fillId="36" borderId="69" xfId="139" applyFill="1" applyBorder="1" applyAlignment="1" applyProtection="1">
      <protection locked="0"/>
    </xf>
    <xf numFmtId="0" fontId="7" fillId="36" borderId="19" xfId="139" applyFill="1" applyBorder="1" applyAlignment="1" applyProtection="1">
      <alignment horizontal="center"/>
      <protection locked="0"/>
    </xf>
    <xf numFmtId="0" fontId="7" fillId="36" borderId="19" xfId="139" applyFill="1" applyBorder="1" applyAlignment="1" applyProtection="1">
      <protection locked="0"/>
    </xf>
    <xf numFmtId="0" fontId="7" fillId="36" borderId="12" xfId="139" applyFill="1" applyBorder="1" applyAlignment="1" applyProtection="1">
      <protection locked="0"/>
    </xf>
    <xf numFmtId="0" fontId="7" fillId="36" borderId="104" xfId="139" applyFill="1" applyBorder="1" applyAlignment="1" applyProtection="1">
      <alignment horizontal="center"/>
      <protection locked="0"/>
    </xf>
    <xf numFmtId="0" fontId="7" fillId="36" borderId="104" xfId="139" applyFill="1" applyBorder="1" applyAlignment="1" applyProtection="1">
      <protection locked="0"/>
    </xf>
    <xf numFmtId="0" fontId="7" fillId="36" borderId="44" xfId="139" applyFill="1" applyBorder="1" applyAlignment="1" applyProtection="1">
      <protection locked="0"/>
    </xf>
    <xf numFmtId="44" fontId="7" fillId="36" borderId="69" xfId="133" applyNumberFormat="1" applyFont="1" applyFill="1" applyBorder="1" applyProtection="1">
      <protection locked="0"/>
    </xf>
    <xf numFmtId="44" fontId="7" fillId="36" borderId="12" xfId="133" applyNumberFormat="1" applyFont="1" applyFill="1" applyBorder="1" applyProtection="1">
      <protection locked="0"/>
    </xf>
    <xf numFmtId="44" fontId="7" fillId="36" borderId="44" xfId="133" applyNumberFormat="1" applyFont="1" applyFill="1" applyBorder="1" applyProtection="1">
      <protection locked="0"/>
    </xf>
    <xf numFmtId="44" fontId="7" fillId="37" borderId="105" xfId="139" applyNumberFormat="1" applyFill="1" applyBorder="1" applyAlignment="1" applyProtection="1"/>
    <xf numFmtId="0" fontId="9" fillId="34" borderId="105" xfId="139" applyFont="1" applyFill="1" applyBorder="1" applyAlignment="1" applyProtection="1"/>
    <xf numFmtId="0" fontId="31" fillId="0" borderId="0" xfId="139" applyFont="1" applyAlignment="1" applyProtection="1"/>
    <xf numFmtId="38" fontId="0" fillId="0" borderId="0" xfId="141" applyNumberFormat="1" applyFont="1"/>
    <xf numFmtId="38" fontId="0" fillId="0" borderId="0" xfId="141" applyNumberFormat="1" applyFont="1" applyProtection="1">
      <protection locked="0"/>
    </xf>
    <xf numFmtId="0" fontId="7" fillId="0" borderId="0" xfId="139" applyProtection="1">
      <alignment horizontal="centerContinuous" vertical="top"/>
      <protection locked="0"/>
    </xf>
    <xf numFmtId="0" fontId="7" fillId="38" borderId="0" xfId="139" applyFill="1" applyProtection="1">
      <alignment horizontal="centerContinuous" vertical="top"/>
      <protection locked="0"/>
    </xf>
    <xf numFmtId="0" fontId="7" fillId="32" borderId="0" xfId="139" applyFill="1" applyProtection="1">
      <alignment horizontal="centerContinuous" vertical="top"/>
      <protection locked="0"/>
    </xf>
    <xf numFmtId="0" fontId="7" fillId="38" borderId="0" xfId="141" applyFont="1" applyFill="1" applyAlignment="1" applyProtection="1">
      <alignment vertical="center"/>
      <protection locked="0"/>
    </xf>
    <xf numFmtId="0" fontId="9" fillId="0" borderId="0" xfId="141" applyFont="1" applyAlignment="1" applyProtection="1">
      <alignment horizontal="center" vertical="center" wrapText="1"/>
      <protection locked="0"/>
    </xf>
    <xf numFmtId="167" fontId="7" fillId="53" borderId="19" xfId="133" applyNumberFormat="1" applyFont="1" applyFill="1" applyBorder="1" applyAlignment="1" applyProtection="1">
      <alignment vertical="center"/>
      <protection locked="0"/>
    </xf>
    <xf numFmtId="167" fontId="7" fillId="53" borderId="12" xfId="133" applyNumberFormat="1" applyFont="1" applyFill="1" applyBorder="1" applyAlignment="1" applyProtection="1">
      <alignment vertical="center"/>
      <protection locked="0"/>
    </xf>
    <xf numFmtId="167" fontId="7" fillId="53" borderId="24" xfId="133" applyNumberFormat="1" applyFont="1" applyFill="1" applyBorder="1" applyAlignment="1" applyProtection="1">
      <alignment vertical="center"/>
      <protection locked="0"/>
    </xf>
    <xf numFmtId="167" fontId="7" fillId="54" borderId="42" xfId="133" applyNumberFormat="1" applyFont="1" applyFill="1" applyBorder="1" applyAlignment="1" applyProtection="1">
      <alignment vertical="center"/>
    </xf>
    <xf numFmtId="0" fontId="0" fillId="0" borderId="0" xfId="141" applyFont="1" applyProtection="1">
      <protection locked="0"/>
    </xf>
    <xf numFmtId="0" fontId="58" fillId="34" borderId="77" xfId="122" applyFont="1" applyFill="1" applyBorder="1" applyAlignment="1">
      <alignment horizontal="left"/>
    </xf>
    <xf numFmtId="0" fontId="69" fillId="34" borderId="76" xfId="122" applyFont="1" applyFill="1" applyBorder="1" applyAlignment="1">
      <alignment vertical="center"/>
    </xf>
    <xf numFmtId="0" fontId="69" fillId="34" borderId="76" xfId="122" applyFont="1" applyFill="1" applyBorder="1" applyAlignment="1">
      <alignment vertical="center" wrapText="1"/>
    </xf>
    <xf numFmtId="0" fontId="9" fillId="34" borderId="74" xfId="122" applyFont="1" applyFill="1" applyBorder="1" applyAlignment="1">
      <alignment wrapText="1"/>
    </xf>
    <xf numFmtId="0" fontId="9" fillId="34" borderId="74" xfId="122" applyFont="1" applyFill="1" applyBorder="1" applyAlignment="1">
      <alignment horizontal="left" vertical="center" wrapText="1"/>
    </xf>
    <xf numFmtId="167" fontId="7" fillId="36" borderId="12" xfId="133" applyNumberFormat="1" applyFont="1" applyFill="1" applyBorder="1" applyAlignment="1" applyProtection="1">
      <alignment vertical="center"/>
      <protection locked="0"/>
    </xf>
    <xf numFmtId="167" fontId="7" fillId="36" borderId="24" xfId="133" applyNumberFormat="1" applyFont="1" applyFill="1" applyBorder="1" applyAlignment="1" applyProtection="1">
      <alignment vertical="center"/>
      <protection locked="0"/>
    </xf>
    <xf numFmtId="167" fontId="7" fillId="36" borderId="66" xfId="133" applyNumberFormat="1" applyFont="1" applyFill="1" applyBorder="1" applyAlignment="1" applyProtection="1">
      <alignment vertical="center"/>
      <protection locked="0"/>
    </xf>
    <xf numFmtId="167" fontId="7" fillId="36" borderId="19" xfId="133" applyNumberFormat="1" applyFont="1" applyFill="1" applyBorder="1" applyAlignment="1" applyProtection="1">
      <alignment vertical="center"/>
      <protection locked="0"/>
    </xf>
    <xf numFmtId="167" fontId="7" fillId="37" borderId="24" xfId="133" applyNumberFormat="1" applyFont="1" applyFill="1" applyBorder="1" applyAlignment="1" applyProtection="1">
      <alignment vertical="center"/>
    </xf>
    <xf numFmtId="167" fontId="7" fillId="37" borderId="12" xfId="133" applyNumberFormat="1" applyFont="1" applyFill="1" applyBorder="1" applyAlignment="1" applyProtection="1">
      <alignment vertical="center"/>
    </xf>
    <xf numFmtId="167" fontId="7" fillId="37" borderId="42" xfId="133" applyNumberFormat="1" applyFont="1" applyFill="1" applyBorder="1" applyAlignment="1" applyProtection="1">
      <alignment vertical="center"/>
    </xf>
    <xf numFmtId="167" fontId="7" fillId="37" borderId="19" xfId="133" applyNumberFormat="1" applyFont="1" applyFill="1" applyBorder="1" applyAlignment="1" applyProtection="1">
      <alignment vertical="center"/>
    </xf>
    <xf numFmtId="167" fontId="7" fillId="37" borderId="44" xfId="133" applyNumberFormat="1" applyFont="1" applyFill="1" applyBorder="1" applyAlignment="1" applyProtection="1">
      <alignment vertical="center"/>
    </xf>
    <xf numFmtId="167" fontId="7" fillId="37" borderId="45" xfId="133" applyNumberFormat="1" applyFont="1" applyFill="1" applyBorder="1" applyAlignment="1" applyProtection="1">
      <alignment vertical="center"/>
    </xf>
    <xf numFmtId="167" fontId="7" fillId="37" borderId="40" xfId="133" applyNumberFormat="1" applyFont="1" applyFill="1" applyBorder="1" applyAlignment="1" applyProtection="1">
      <alignment vertical="center"/>
    </xf>
    <xf numFmtId="0" fontId="7" fillId="0" borderId="41" xfId="141" applyFont="1" applyBorder="1" applyAlignment="1">
      <alignment horizontal="center" vertical="center"/>
    </xf>
    <xf numFmtId="200" fontId="7" fillId="0" borderId="42" xfId="141" applyNumberFormat="1" applyFont="1" applyBorder="1" applyAlignment="1">
      <alignment horizontal="left" vertical="center" wrapText="1"/>
    </xf>
    <xf numFmtId="0" fontId="7" fillId="0" borderId="91" xfId="141" applyFont="1" applyBorder="1" applyAlignment="1">
      <alignment horizontal="center" vertical="center"/>
    </xf>
    <xf numFmtId="0" fontId="7" fillId="0" borderId="39" xfId="141" applyFont="1" applyBorder="1" applyAlignment="1">
      <alignment horizontal="center" vertical="center"/>
    </xf>
    <xf numFmtId="0" fontId="7" fillId="0" borderId="42" xfId="141" applyFont="1" applyBorder="1" applyAlignment="1">
      <alignment horizontal="left" vertical="center" wrapText="1"/>
    </xf>
    <xf numFmtId="0" fontId="7" fillId="0" borderId="42" xfId="141" applyFont="1" applyBorder="1" applyAlignment="1">
      <alignment vertical="center" wrapText="1"/>
    </xf>
    <xf numFmtId="0" fontId="7" fillId="0" borderId="42" xfId="141" quotePrefix="1" applyFont="1" applyBorder="1" applyAlignment="1">
      <alignment horizontal="left" vertical="center" wrapText="1"/>
    </xf>
    <xf numFmtId="0" fontId="7" fillId="0" borderId="43" xfId="141" applyFont="1" applyBorder="1" applyAlignment="1">
      <alignment horizontal="center" vertical="center"/>
    </xf>
    <xf numFmtId="0" fontId="7" fillId="0" borderId="45" xfId="141" applyFont="1" applyBorder="1" applyAlignment="1">
      <alignment vertical="center" wrapText="1"/>
    </xf>
    <xf numFmtId="0" fontId="9" fillId="34" borderId="75" xfId="141" applyFont="1" applyFill="1" applyBorder="1" applyAlignment="1">
      <alignment horizontal="center" vertical="center" wrapText="1"/>
    </xf>
    <xf numFmtId="199" fontId="9" fillId="34" borderId="76" xfId="141" applyNumberFormat="1" applyFont="1" applyFill="1" applyBorder="1" applyAlignment="1">
      <alignment horizontal="center" vertical="center" wrapText="1"/>
    </xf>
    <xf numFmtId="199" fontId="9" fillId="34" borderId="68" xfId="141" applyNumberFormat="1" applyFont="1" applyFill="1" applyBorder="1" applyAlignment="1">
      <alignment horizontal="center" vertical="center" wrapText="1"/>
    </xf>
    <xf numFmtId="199" fontId="9" fillId="34" borderId="103" xfId="141" applyNumberFormat="1" applyFont="1" applyFill="1" applyBorder="1" applyAlignment="1">
      <alignment horizontal="center" vertical="center" wrapText="1"/>
    </xf>
    <xf numFmtId="0" fontId="9" fillId="34" borderId="74" xfId="141" applyFont="1" applyFill="1" applyBorder="1" applyAlignment="1">
      <alignment horizontal="center" vertical="center" wrapText="1"/>
    </xf>
    <xf numFmtId="167" fontId="55" fillId="55" borderId="12" xfId="133" applyNumberFormat="1" applyFont="1" applyFill="1" applyBorder="1" applyAlignment="1" applyProtection="1">
      <alignment vertical="center"/>
      <protection locked="0"/>
    </xf>
    <xf numFmtId="167" fontId="55" fillId="55" borderId="24" xfId="133" applyNumberFormat="1" applyFont="1" applyFill="1" applyBorder="1" applyAlignment="1" applyProtection="1">
      <alignment vertical="center"/>
      <protection locked="0"/>
    </xf>
    <xf numFmtId="167" fontId="55" fillId="55" borderId="19" xfId="133" applyNumberFormat="1" applyFont="1" applyFill="1" applyBorder="1" applyAlignment="1" applyProtection="1">
      <alignment vertical="center"/>
      <protection locked="0"/>
    </xf>
    <xf numFmtId="167" fontId="55" fillId="55" borderId="12" xfId="133" quotePrefix="1" applyNumberFormat="1" applyFont="1" applyFill="1" applyBorder="1" applyAlignment="1" applyProtection="1">
      <alignment horizontal="left" vertical="center"/>
      <protection locked="0"/>
    </xf>
    <xf numFmtId="0" fontId="9" fillId="0" borderId="75" xfId="141" applyFont="1" applyBorder="1" applyAlignment="1">
      <alignment horizontal="center" vertical="center" wrapText="1"/>
    </xf>
    <xf numFmtId="0" fontId="9" fillId="0" borderId="74" xfId="141" applyFont="1" applyBorder="1" applyAlignment="1">
      <alignment horizontal="left" vertical="center" wrapText="1"/>
    </xf>
    <xf numFmtId="0" fontId="108" fillId="56" borderId="77" xfId="141" applyFont="1" applyFill="1" applyBorder="1" applyAlignment="1">
      <alignment horizontal="left" vertical="center"/>
    </xf>
    <xf numFmtId="0" fontId="109" fillId="56" borderId="76" xfId="141" applyFont="1" applyFill="1" applyBorder="1" applyAlignment="1">
      <alignment horizontal="centerContinuous" vertical="center"/>
    </xf>
    <xf numFmtId="0" fontId="110" fillId="56" borderId="76" xfId="141" quotePrefix="1" applyFont="1" applyFill="1" applyBorder="1" applyAlignment="1">
      <alignment horizontal="centerContinuous" vertical="center"/>
    </xf>
    <xf numFmtId="0" fontId="109" fillId="56" borderId="101" xfId="141" applyFont="1" applyFill="1" applyBorder="1" applyAlignment="1">
      <alignment vertical="center"/>
    </xf>
    <xf numFmtId="167" fontId="7" fillId="36" borderId="42" xfId="133" applyNumberFormat="1" applyFont="1" applyFill="1" applyBorder="1" applyAlignment="1" applyProtection="1">
      <alignment vertical="center"/>
      <protection locked="0"/>
    </xf>
    <xf numFmtId="167" fontId="7" fillId="37" borderId="104" xfId="133" applyNumberFormat="1" applyFont="1" applyFill="1" applyBorder="1" applyAlignment="1" applyProtection="1">
      <alignment vertical="center"/>
    </xf>
    <xf numFmtId="167" fontId="55" fillId="36" borderId="33" xfId="133" applyNumberFormat="1" applyFont="1" applyFill="1" applyBorder="1" applyAlignment="1" applyProtection="1">
      <alignment vertical="center"/>
      <protection locked="0"/>
    </xf>
    <xf numFmtId="167" fontId="55" fillId="36" borderId="19" xfId="133" applyNumberFormat="1" applyFont="1" applyFill="1" applyBorder="1" applyAlignment="1" applyProtection="1">
      <alignment vertical="center"/>
      <protection locked="0"/>
    </xf>
    <xf numFmtId="167" fontId="55" fillId="36" borderId="51" xfId="133" applyNumberFormat="1" applyFont="1" applyFill="1" applyBorder="1" applyAlignment="1" applyProtection="1">
      <alignment vertical="center"/>
      <protection locked="0"/>
    </xf>
    <xf numFmtId="167" fontId="7" fillId="57" borderId="24" xfId="133" applyNumberFormat="1" applyFont="1" applyFill="1" applyBorder="1" applyAlignment="1" applyProtection="1">
      <alignment vertical="center"/>
      <protection locked="0"/>
    </xf>
    <xf numFmtId="167" fontId="55" fillId="36" borderId="118" xfId="133" applyNumberFormat="1" applyFont="1" applyFill="1" applyBorder="1" applyAlignment="1" applyProtection="1">
      <alignment vertical="center"/>
      <protection locked="0"/>
    </xf>
    <xf numFmtId="167" fontId="7" fillId="36" borderId="116" xfId="133" applyNumberFormat="1" applyFont="1" applyFill="1" applyBorder="1" applyAlignment="1" applyProtection="1">
      <alignment vertical="center"/>
      <protection locked="0"/>
    </xf>
    <xf numFmtId="167" fontId="7" fillId="36" borderId="40" xfId="133" applyNumberFormat="1" applyFont="1" applyFill="1" applyBorder="1" applyAlignment="1" applyProtection="1">
      <alignment vertical="center"/>
      <protection locked="0"/>
    </xf>
    <xf numFmtId="167" fontId="55" fillId="36" borderId="41" xfId="133" applyNumberFormat="1" applyFont="1" applyFill="1" applyBorder="1" applyAlignment="1" applyProtection="1">
      <alignment vertical="center"/>
      <protection locked="0"/>
    </xf>
    <xf numFmtId="0" fontId="7" fillId="0" borderId="0" xfId="141" applyFont="1" applyAlignment="1" applyProtection="1">
      <alignment vertical="center"/>
      <protection locked="0"/>
    </xf>
    <xf numFmtId="167" fontId="55" fillId="55" borderId="51" xfId="133" applyNumberFormat="1" applyFont="1" applyFill="1" applyBorder="1" applyAlignment="1" applyProtection="1">
      <alignment vertical="center"/>
      <protection locked="0"/>
    </xf>
    <xf numFmtId="200" fontId="7" fillId="37" borderId="42" xfId="141" applyNumberFormat="1" applyFont="1" applyFill="1" applyBorder="1" applyAlignment="1">
      <alignment horizontal="left" vertical="center" wrapText="1"/>
    </xf>
    <xf numFmtId="167" fontId="7" fillId="37" borderId="114" xfId="133" applyNumberFormat="1" applyFont="1" applyFill="1" applyBorder="1" applyAlignment="1" applyProtection="1">
      <alignment vertical="center"/>
    </xf>
    <xf numFmtId="49" fontId="9" fillId="37" borderId="24" xfId="83" applyNumberFormat="1" applyFont="1" applyFill="1" applyBorder="1" applyAlignment="1">
      <alignment horizontal="centerContinuous" vertical="center"/>
    </xf>
    <xf numFmtId="49" fontId="9" fillId="37" borderId="4" xfId="83" applyNumberFormat="1" applyFont="1" applyFill="1" applyBorder="1" applyAlignment="1">
      <alignment horizontal="centerContinuous" vertical="center"/>
    </xf>
    <xf numFmtId="49" fontId="9" fillId="37" borderId="19" xfId="83" applyNumberFormat="1" applyFont="1" applyFill="1" applyBorder="1" applyAlignment="1">
      <alignment horizontal="centerContinuous" vertical="center"/>
    </xf>
    <xf numFmtId="0" fontId="58" fillId="34" borderId="65" xfId="0" applyFont="1" applyFill="1" applyBorder="1" applyAlignment="1">
      <alignment vertical="center" wrapText="1"/>
    </xf>
    <xf numFmtId="167" fontId="7" fillId="36" borderId="51" xfId="133" applyNumberFormat="1" applyFont="1" applyFill="1" applyBorder="1" applyAlignment="1" applyProtection="1">
      <alignment vertical="center"/>
      <protection locked="0"/>
    </xf>
    <xf numFmtId="0" fontId="110" fillId="56" borderId="117" xfId="141" quotePrefix="1" applyFont="1" applyFill="1" applyBorder="1" applyAlignment="1">
      <alignment horizontal="centerContinuous" vertical="center"/>
    </xf>
    <xf numFmtId="199" fontId="9" fillId="34" borderId="117" xfId="141" applyNumberFormat="1" applyFont="1" applyFill="1" applyBorder="1" applyAlignment="1">
      <alignment horizontal="center" vertical="center" wrapText="1"/>
    </xf>
    <xf numFmtId="167" fontId="55" fillId="55" borderId="94" xfId="133" applyNumberFormat="1" applyFont="1" applyFill="1" applyBorder="1" applyAlignment="1" applyProtection="1">
      <alignment vertical="center"/>
      <protection locked="0"/>
    </xf>
    <xf numFmtId="167" fontId="7" fillId="57" borderId="19" xfId="133" applyNumberFormat="1" applyFont="1" applyFill="1" applyBorder="1" applyAlignment="1" applyProtection="1">
      <alignment vertical="center"/>
      <protection locked="0"/>
    </xf>
    <xf numFmtId="167" fontId="7" fillId="36" borderId="67" xfId="133" applyNumberFormat="1" applyFont="1" applyFill="1" applyBorder="1" applyAlignment="1" applyProtection="1">
      <alignment vertical="center"/>
      <protection locked="0"/>
    </xf>
    <xf numFmtId="167" fontId="7" fillId="57" borderId="67" xfId="133" applyNumberFormat="1" applyFont="1" applyFill="1" applyBorder="1" applyAlignment="1" applyProtection="1">
      <alignment vertical="center"/>
      <protection locked="0"/>
    </xf>
    <xf numFmtId="164" fontId="7" fillId="0" borderId="91" xfId="0" applyNumberFormat="1" applyFont="1" applyBorder="1" applyAlignment="1">
      <alignment horizontal="center" vertical="center"/>
    </xf>
    <xf numFmtId="164" fontId="7" fillId="0" borderId="41" xfId="0" applyNumberFormat="1" applyFont="1" applyBorder="1" applyAlignment="1">
      <alignment horizontal="center" vertical="center"/>
    </xf>
    <xf numFmtId="0" fontId="31" fillId="0" borderId="0" xfId="652" applyFont="1" applyAlignment="1" applyProtection="1"/>
    <xf numFmtId="0" fontId="7" fillId="38" borderId="0" xfId="652" applyFont="1" applyFill="1" applyAlignment="1" applyProtection="1">
      <alignment horizontal="center" vertical="center"/>
    </xf>
    <xf numFmtId="0" fontId="7" fillId="38" borderId="0" xfId="652" applyFont="1" applyFill="1" applyAlignment="1" applyProtection="1">
      <alignment wrapText="1"/>
    </xf>
    <xf numFmtId="0" fontId="7" fillId="0" borderId="0" xfId="652" applyFont="1" applyProtection="1">
      <alignment horizontal="centerContinuous" vertical="top"/>
      <protection locked="0"/>
    </xf>
    <xf numFmtId="0" fontId="7" fillId="38" borderId="0" xfId="652" applyFont="1" applyFill="1" applyProtection="1">
      <alignment horizontal="centerContinuous" vertical="top"/>
    </xf>
    <xf numFmtId="0" fontId="7" fillId="38" borderId="12" xfId="652" applyFont="1" applyFill="1" applyBorder="1" applyAlignment="1" applyProtection="1">
      <alignment horizontal="center" vertical="top"/>
    </xf>
    <xf numFmtId="0" fontId="7" fillId="38" borderId="12" xfId="652" applyFont="1" applyFill="1" applyBorder="1" applyAlignment="1" applyProtection="1">
      <alignment horizontal="left" vertical="top"/>
    </xf>
    <xf numFmtId="0" fontId="7" fillId="0" borderId="12" xfId="652" applyFont="1" applyBorder="1" applyAlignment="1" applyProtection="1">
      <alignment horizontal="left" vertical="top" wrapText="1"/>
    </xf>
    <xf numFmtId="0" fontId="7" fillId="38" borderId="0" xfId="652" applyFont="1" applyFill="1" applyProtection="1">
      <alignment horizontal="centerContinuous" vertical="top"/>
      <protection locked="0"/>
    </xf>
    <xf numFmtId="0" fontId="7" fillId="38" borderId="0" xfId="652" applyFont="1" applyFill="1" applyAlignment="1" applyProtection="1">
      <alignment wrapText="1"/>
      <protection locked="0"/>
    </xf>
    <xf numFmtId="0" fontId="9" fillId="38" borderId="0" xfId="652" applyFont="1" applyFill="1" applyProtection="1">
      <alignment horizontal="centerContinuous" vertical="top"/>
      <protection locked="0"/>
    </xf>
    <xf numFmtId="0" fontId="9" fillId="0" borderId="0" xfId="652" applyFont="1" applyProtection="1">
      <alignment horizontal="centerContinuous" vertical="top"/>
      <protection locked="0"/>
    </xf>
    <xf numFmtId="0" fontId="112" fillId="0" borderId="0" xfId="0" applyFont="1" applyAlignment="1">
      <alignment vertical="center"/>
    </xf>
    <xf numFmtId="0" fontId="118" fillId="0" borderId="105" xfId="0" applyFont="1" applyBorder="1" applyAlignment="1">
      <alignment vertical="center" wrapText="1"/>
    </xf>
    <xf numFmtId="0" fontId="118" fillId="0" borderId="101" xfId="0" applyFont="1" applyBorder="1" applyAlignment="1">
      <alignment vertical="center" wrapText="1"/>
    </xf>
    <xf numFmtId="0" fontId="72" fillId="0" borderId="99" xfId="0" applyFont="1" applyBorder="1" applyAlignment="1">
      <alignment horizontal="left" vertical="center" wrapText="1" indent="2"/>
    </xf>
    <xf numFmtId="0" fontId="74" fillId="0" borderId="88" xfId="0" applyFont="1" applyBorder="1" applyAlignment="1">
      <alignment horizontal="center" vertical="center" wrapText="1"/>
    </xf>
    <xf numFmtId="0" fontId="0" fillId="0" borderId="88" xfId="0" applyBorder="1" applyAlignment="1">
      <alignment vertical="top" wrapText="1"/>
    </xf>
    <xf numFmtId="0" fontId="72" fillId="0" borderId="121" xfId="0" applyFont="1" applyBorder="1" applyAlignment="1">
      <alignment horizontal="left" vertical="center" wrapText="1" indent="2"/>
    </xf>
    <xf numFmtId="0" fontId="74" fillId="0" borderId="121" xfId="0" applyFont="1" applyBorder="1" applyAlignment="1">
      <alignment vertical="center" wrapText="1"/>
    </xf>
    <xf numFmtId="0" fontId="72" fillId="0" borderId="70" xfId="0" applyFont="1" applyBorder="1" applyAlignment="1">
      <alignment horizontal="left" vertical="center" wrapText="1" indent="2"/>
    </xf>
    <xf numFmtId="0" fontId="74" fillId="0" borderId="121" xfId="0" applyFont="1" applyBorder="1" applyAlignment="1">
      <alignment horizontal="left" vertical="center" wrapText="1" indent="2"/>
    </xf>
    <xf numFmtId="0" fontId="9" fillId="34" borderId="77" xfId="0" applyFont="1" applyFill="1" applyBorder="1" applyAlignment="1">
      <alignment horizontal="center" wrapText="1"/>
    </xf>
    <xf numFmtId="0" fontId="9" fillId="34" borderId="103" xfId="0" applyFont="1" applyFill="1" applyBorder="1" applyAlignment="1">
      <alignment horizontal="center" wrapText="1"/>
    </xf>
    <xf numFmtId="0" fontId="9" fillId="34" borderId="74" xfId="0" applyFont="1" applyFill="1" applyBorder="1" applyAlignment="1">
      <alignment horizontal="center" wrapText="1"/>
    </xf>
    <xf numFmtId="0" fontId="68" fillId="0" borderId="0" xfId="0" applyFont="1" applyAlignment="1">
      <alignment vertical="center"/>
    </xf>
    <xf numFmtId="0" fontId="7" fillId="0" borderId="88" xfId="0" applyFont="1" applyBorder="1" applyAlignment="1">
      <alignment vertical="center" wrapText="1"/>
    </xf>
    <xf numFmtId="0" fontId="9" fillId="0" borderId="121" xfId="0" applyFont="1" applyBorder="1" applyAlignment="1">
      <alignment vertical="center" wrapText="1"/>
    </xf>
    <xf numFmtId="0" fontId="7" fillId="0" borderId="105" xfId="140" applyBorder="1" applyAlignment="1">
      <alignment horizontal="left" vertical="top" wrapText="1"/>
    </xf>
    <xf numFmtId="0" fontId="7" fillId="0" borderId="105" xfId="0" applyFont="1" applyBorder="1" applyAlignment="1">
      <alignment vertical="center" wrapText="1"/>
    </xf>
    <xf numFmtId="0" fontId="113" fillId="0" borderId="105" xfId="0" applyFont="1" applyBorder="1" applyAlignment="1">
      <alignment vertical="center"/>
    </xf>
    <xf numFmtId="0" fontId="113" fillId="0" borderId="101" xfId="0" applyFont="1" applyBorder="1" applyAlignment="1">
      <alignment vertical="center" wrapText="1"/>
    </xf>
    <xf numFmtId="0" fontId="113" fillId="0" borderId="101" xfId="0" applyFont="1" applyBorder="1" applyAlignment="1">
      <alignment vertical="center"/>
    </xf>
    <xf numFmtId="0" fontId="68" fillId="0" borderId="121" xfId="0" applyFont="1" applyBorder="1" applyAlignment="1">
      <alignment vertical="center"/>
    </xf>
    <xf numFmtId="0" fontId="68" fillId="0" borderId="121" xfId="0" applyFont="1" applyBorder="1" applyAlignment="1">
      <alignment horizontal="left" vertical="center"/>
    </xf>
    <xf numFmtId="0" fontId="9" fillId="43" borderId="12" xfId="0" applyFont="1" applyFill="1" applyBorder="1" applyAlignment="1">
      <alignment horizontal="centerContinuous" vertical="top"/>
    </xf>
    <xf numFmtId="0" fontId="74" fillId="0" borderId="25" xfId="0" applyFont="1" applyBorder="1" applyAlignment="1">
      <alignment horizontal="left" vertical="center"/>
    </xf>
    <xf numFmtId="0" fontId="74" fillId="0" borderId="16" xfId="0" applyFont="1" applyBorder="1" applyAlignment="1">
      <alignment horizontal="left" vertical="top" indent="2"/>
    </xf>
    <xf numFmtId="0" fontId="59" fillId="0" borderId="16" xfId="0" applyFont="1" applyBorder="1" applyAlignment="1">
      <alignment horizontal="left" vertical="top" indent="2"/>
    </xf>
    <xf numFmtId="0" fontId="74" fillId="0" borderId="21" xfId="0" applyFont="1" applyBorder="1" applyAlignment="1">
      <alignment horizontal="left" vertical="top" indent="2"/>
    </xf>
    <xf numFmtId="0" fontId="74" fillId="0" borderId="0" xfId="0" applyFont="1" applyAlignment="1">
      <alignment horizontal="left" vertical="top" indent="2"/>
    </xf>
    <xf numFmtId="0" fontId="7" fillId="0" borderId="42" xfId="122" applyBorder="1" applyAlignment="1">
      <alignment horizontal="left" wrapText="1"/>
    </xf>
    <xf numFmtId="0" fontId="118" fillId="0" borderId="101" xfId="0" applyFont="1" applyBorder="1" applyAlignment="1">
      <alignment horizontal="center" vertical="center" wrapText="1"/>
    </xf>
    <xf numFmtId="0" fontId="7" fillId="0" borderId="0" xfId="140" applyAlignment="1">
      <alignment horizontal="center"/>
    </xf>
    <xf numFmtId="0" fontId="9" fillId="34" borderId="94" xfId="0" applyFont="1" applyFill="1" applyBorder="1" applyAlignment="1">
      <alignment horizontal="center" wrapText="1"/>
    </xf>
    <xf numFmtId="0" fontId="74" fillId="0" borderId="70" xfId="0" applyFont="1" applyBorder="1" applyAlignment="1">
      <alignment vertical="center" wrapText="1"/>
    </xf>
    <xf numFmtId="0" fontId="74" fillId="0" borderId="99" xfId="0" applyFont="1" applyBorder="1" applyAlignment="1">
      <alignment vertical="center" wrapText="1"/>
    </xf>
    <xf numFmtId="0" fontId="7" fillId="33" borderId="71" xfId="0" applyFont="1" applyFill="1" applyBorder="1" applyAlignment="1">
      <alignment vertical="center" wrapText="1"/>
    </xf>
    <xf numFmtId="0" fontId="7" fillId="33" borderId="72" xfId="0" applyFont="1" applyFill="1" applyBorder="1" applyAlignment="1">
      <alignment wrapText="1"/>
    </xf>
    <xf numFmtId="0" fontId="7" fillId="33" borderId="72" xfId="0" applyFont="1" applyFill="1" applyBorder="1" applyAlignment="1">
      <alignment horizontal="justify" vertical="center"/>
    </xf>
    <xf numFmtId="0" fontId="0" fillId="33" borderId="72" xfId="0" applyFill="1" applyBorder="1" applyAlignment="1">
      <alignment wrapText="1"/>
    </xf>
    <xf numFmtId="0" fontId="7" fillId="33" borderId="73" xfId="0" applyFont="1" applyFill="1" applyBorder="1" applyAlignment="1">
      <alignment wrapText="1"/>
    </xf>
    <xf numFmtId="167" fontId="7" fillId="37" borderId="12" xfId="40" applyNumberFormat="1" applyFont="1" applyFill="1" applyBorder="1" applyProtection="1"/>
    <xf numFmtId="167" fontId="7" fillId="24" borderId="42" xfId="40" applyNumberFormat="1" applyFont="1" applyFill="1" applyBorder="1" applyProtection="1"/>
    <xf numFmtId="167" fontId="7" fillId="37" borderId="41" xfId="40" applyNumberFormat="1" applyFont="1" applyFill="1" applyBorder="1" applyProtection="1"/>
    <xf numFmtId="167" fontId="7" fillId="24" borderId="24" xfId="40" applyNumberFormat="1" applyFont="1" applyFill="1" applyBorder="1" applyProtection="1"/>
    <xf numFmtId="167" fontId="7" fillId="24" borderId="41"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3"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12" xfId="0" applyFont="1" applyBorder="1" applyAlignment="1">
      <alignment wrapText="1"/>
    </xf>
    <xf numFmtId="0" fontId="7" fillId="0" borderId="21" xfId="0" applyFont="1" applyBorder="1" applyAlignment="1">
      <alignment horizontal="center"/>
    </xf>
    <xf numFmtId="0" fontId="7" fillId="0" borderId="21" xfId="118" applyFont="1" applyBorder="1" applyAlignment="1">
      <alignment horizontal="left"/>
    </xf>
    <xf numFmtId="0" fontId="7" fillId="0" borderId="12" xfId="0" applyFont="1" applyBorder="1" applyAlignment="1">
      <alignment horizontal="center"/>
    </xf>
    <xf numFmtId="0" fontId="7" fillId="0" borderId="12" xfId="118" applyFont="1" applyBorder="1" applyAlignment="1">
      <alignment horizontal="left"/>
    </xf>
    <xf numFmtId="0" fontId="7" fillId="0" borderId="12" xfId="122" applyBorder="1" applyAlignment="1">
      <alignment horizontal="center"/>
    </xf>
    <xf numFmtId="0" fontId="7" fillId="0" borderId="0" xfId="0" applyFont="1" applyAlignment="1">
      <alignment horizontal="left" vertical="center"/>
    </xf>
    <xf numFmtId="0" fontId="7" fillId="0" borderId="0" xfId="122" applyAlignment="1">
      <alignment horizontal="center"/>
    </xf>
    <xf numFmtId="49" fontId="7" fillId="0" borderId="98"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0" fontId="9" fillId="34" borderId="42" xfId="0" applyFont="1" applyFill="1" applyBorder="1" applyAlignment="1">
      <alignment horizontal="center" vertical="center" wrapText="1"/>
    </xf>
    <xf numFmtId="0" fontId="9" fillId="34" borderId="66" xfId="0" applyFont="1" applyFill="1" applyBorder="1" applyAlignment="1">
      <alignment horizontal="center" vertical="center" wrapText="1"/>
    </xf>
    <xf numFmtId="0" fontId="9" fillId="34" borderId="4" xfId="0" applyFont="1" applyFill="1" applyBorder="1" applyAlignment="1">
      <alignment horizontal="center" vertical="center" wrapText="1"/>
    </xf>
    <xf numFmtId="0" fontId="9" fillId="34" borderId="12"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2" applyFont="1" applyFill="1" applyBorder="1" applyAlignment="1">
      <alignment horizontal="center" vertical="center" wrapText="1"/>
    </xf>
    <xf numFmtId="0" fontId="61" fillId="34" borderId="12" xfId="0" applyFont="1" applyFill="1" applyBorder="1" applyAlignment="1">
      <alignment horizontal="centerContinuous" vertical="center"/>
    </xf>
    <xf numFmtId="0" fontId="9" fillId="34" borderId="12" xfId="115"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2" applyFont="1" applyFill="1" applyBorder="1"/>
    <xf numFmtId="0" fontId="61" fillId="0" borderId="33" xfId="122" applyFont="1" applyBorder="1"/>
    <xf numFmtId="0" fontId="40" fillId="33" borderId="12" xfId="118" applyFont="1" applyFill="1" applyBorder="1" applyAlignment="1">
      <alignment horizontal="left"/>
    </xf>
    <xf numFmtId="0" fontId="61" fillId="34" borderId="19" xfId="122" applyFont="1" applyFill="1" applyBorder="1" applyAlignment="1">
      <alignment horizontal="centerContinuous" vertical="center"/>
    </xf>
    <xf numFmtId="167" fontId="40" fillId="0" borderId="0" xfId="40" applyNumberFormat="1" applyFont="1" applyFill="1" applyBorder="1" applyAlignment="1" applyProtection="1"/>
    <xf numFmtId="0" fontId="58" fillId="34" borderId="12" xfId="122" applyFont="1" applyFill="1" applyBorder="1" applyAlignment="1">
      <alignment horizontal="center" vertical="center" wrapText="1"/>
    </xf>
    <xf numFmtId="0" fontId="9" fillId="34" borderId="74" xfId="0" applyFont="1" applyFill="1" applyBorder="1" applyAlignment="1">
      <alignment wrapText="1"/>
    </xf>
    <xf numFmtId="0" fontId="55" fillId="34" borderId="100" xfId="0" applyFont="1" applyFill="1" applyBorder="1" applyAlignment="1">
      <alignment wrapText="1"/>
    </xf>
    <xf numFmtId="167" fontId="7" fillId="39" borderId="21" xfId="40" applyNumberFormat="1" applyFont="1" applyFill="1" applyBorder="1" applyAlignment="1" applyProtection="1">
      <protection locked="0"/>
    </xf>
    <xf numFmtId="0" fontId="60" fillId="0" borderId="122"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0" borderId="12" xfId="0" applyNumberFormat="1" applyFont="1" applyBorder="1" applyAlignment="1">
      <alignment horizontal="center"/>
    </xf>
    <xf numFmtId="166" fontId="7" fillId="37" borderId="12" xfId="40" applyNumberFormat="1" applyFont="1" applyFill="1" applyBorder="1" applyAlignment="1" applyProtection="1"/>
    <xf numFmtId="166" fontId="7" fillId="37" borderId="41" xfId="40" applyNumberFormat="1" applyFont="1" applyFill="1" applyBorder="1" applyAlignment="1" applyProtection="1"/>
    <xf numFmtId="166" fontId="7" fillId="24" borderId="41" xfId="40" applyNumberFormat="1" applyFont="1" applyFill="1" applyBorder="1" applyAlignment="1" applyProtection="1"/>
    <xf numFmtId="0" fontId="9" fillId="0" borderId="21" xfId="83" applyFont="1" applyBorder="1" applyAlignment="1">
      <alignment horizontal="centerContinuous" vertical="center"/>
    </xf>
    <xf numFmtId="0" fontId="9" fillId="33" borderId="24" xfId="83" applyFont="1" applyFill="1" applyBorder="1" applyAlignment="1">
      <alignment horizontal="center" vertical="center"/>
    </xf>
    <xf numFmtId="0" fontId="9" fillId="33" borderId="4" xfId="83" applyFont="1" applyFill="1" applyBorder="1" applyAlignment="1">
      <alignment horizontal="center" vertical="center"/>
    </xf>
    <xf numFmtId="0" fontId="9" fillId="33" borderId="19" xfId="83" applyFont="1" applyFill="1" applyBorder="1" applyAlignment="1">
      <alignment horizontal="center" vertical="center"/>
    </xf>
    <xf numFmtId="0" fontId="7" fillId="0" borderId="105" xfId="0" applyFont="1" applyBorder="1" applyAlignment="1">
      <alignment horizontal="center" vertical="center" wrapText="1"/>
    </xf>
    <xf numFmtId="0" fontId="40" fillId="0" borderId="12" xfId="653" applyFont="1" applyBorder="1" applyAlignment="1">
      <alignment wrapText="1"/>
    </xf>
    <xf numFmtId="0" fontId="7" fillId="0" borderId="40" xfId="0" applyFont="1" applyBorder="1" applyAlignment="1">
      <alignment horizontal="left" wrapText="1"/>
    </xf>
    <xf numFmtId="0" fontId="7" fillId="0" borderId="101" xfId="0" applyFont="1" applyBorder="1" applyAlignment="1">
      <alignment vertical="center" wrapText="1"/>
    </xf>
    <xf numFmtId="0" fontId="7" fillId="0" borderId="74" xfId="0" applyFont="1" applyBorder="1" applyAlignment="1">
      <alignment vertical="top" wrapText="1"/>
    </xf>
    <xf numFmtId="0" fontId="7" fillId="0" borderId="125" xfId="0" applyFont="1" applyBorder="1" applyAlignment="1">
      <alignment vertical="center" wrapText="1"/>
    </xf>
    <xf numFmtId="0" fontId="29" fillId="0" borderId="21" xfId="0" applyFont="1" applyBorder="1" applyAlignment="1">
      <alignment vertical="top" wrapText="1"/>
    </xf>
    <xf numFmtId="0" fontId="122" fillId="0" borderId="105" xfId="140" applyFont="1" applyBorder="1" applyAlignment="1">
      <alignment vertical="top" wrapText="1"/>
    </xf>
    <xf numFmtId="0" fontId="122" fillId="0" borderId="105" xfId="0" applyFont="1" applyBorder="1" applyAlignment="1">
      <alignment vertical="top" wrapText="1"/>
    </xf>
    <xf numFmtId="0" fontId="122" fillId="0" borderId="70" xfId="0" applyFont="1" applyBorder="1" applyAlignment="1">
      <alignment vertical="top" wrapText="1"/>
    </xf>
    <xf numFmtId="0" fontId="122" fillId="0" borderId="77" xfId="0" applyFont="1" applyBorder="1" applyAlignment="1">
      <alignment vertical="top" wrapText="1"/>
    </xf>
    <xf numFmtId="0" fontId="7" fillId="0" borderId="101" xfId="0" applyFont="1" applyBorder="1" applyAlignment="1">
      <alignment vertical="top" wrapText="1"/>
    </xf>
    <xf numFmtId="0" fontId="7" fillId="0" borderId="105" xfId="0" applyFont="1" applyBorder="1" applyAlignment="1">
      <alignment vertical="top"/>
    </xf>
    <xf numFmtId="0" fontId="122" fillId="0" borderId="105" xfId="140" applyFont="1" applyBorder="1" applyAlignment="1">
      <alignment horizontal="left" vertical="top" wrapText="1"/>
    </xf>
    <xf numFmtId="0" fontId="122" fillId="0" borderId="77" xfId="140" applyFont="1" applyBorder="1" applyAlignment="1">
      <alignment vertical="top" wrapText="1"/>
    </xf>
    <xf numFmtId="0" fontId="7" fillId="0" borderId="105" xfId="0" applyFont="1" applyBorder="1" applyAlignment="1">
      <alignment vertical="top" wrapText="1"/>
    </xf>
    <xf numFmtId="0" fontId="40" fillId="34" borderId="25" xfId="362" applyFont="1" applyFill="1" applyBorder="1"/>
    <xf numFmtId="0" fontId="9" fillId="34" borderId="14" xfId="117" applyFont="1" applyFill="1" applyBorder="1" applyAlignment="1">
      <alignment horizontal="center" vertical="center" wrapText="1"/>
    </xf>
    <xf numFmtId="0" fontId="61" fillId="34" borderId="16" xfId="362" applyFont="1" applyFill="1" applyBorder="1" applyAlignment="1">
      <alignment vertical="center" wrapText="1"/>
    </xf>
    <xf numFmtId="0" fontId="2" fillId="0" borderId="0" xfId="362" applyFont="1"/>
    <xf numFmtId="0" fontId="61" fillId="34" borderId="16" xfId="362" applyFont="1" applyFill="1" applyBorder="1"/>
    <xf numFmtId="0" fontId="40" fillId="34" borderId="16" xfId="362" applyFont="1" applyFill="1" applyBorder="1" applyAlignment="1">
      <alignment wrapText="1"/>
    </xf>
    <xf numFmtId="0" fontId="40" fillId="0" borderId="36" xfId="362" applyFont="1" applyBorder="1" applyAlignment="1">
      <alignment horizontal="center"/>
    </xf>
    <xf numFmtId="14" fontId="40" fillId="0" borderId="48" xfId="118" applyNumberFormat="1" applyFont="1" applyBorder="1" applyAlignment="1">
      <alignment horizontal="left"/>
    </xf>
    <xf numFmtId="0" fontId="40" fillId="0" borderId="25" xfId="362" applyFont="1" applyBorder="1" applyAlignment="1">
      <alignment wrapText="1"/>
    </xf>
    <xf numFmtId="0" fontId="40" fillId="0" borderId="25" xfId="118" applyFont="1" applyBorder="1" applyAlignment="1">
      <alignment horizontal="left"/>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1" xfId="118" applyFont="1" applyBorder="1" applyAlignment="1">
      <alignment horizontal="left"/>
    </xf>
    <xf numFmtId="0" fontId="7" fillId="0" borderId="125" xfId="653" applyFont="1" applyBorder="1" applyAlignment="1">
      <alignment vertical="center" wrapText="1"/>
    </xf>
    <xf numFmtId="0" fontId="40" fillId="0" borderId="105" xfId="118" applyFont="1" applyBorder="1" applyAlignment="1">
      <alignment horizontal="left" vertical="center"/>
    </xf>
    <xf numFmtId="0" fontId="1" fillId="0" borderId="21" xfId="362" applyFont="1" applyBorder="1"/>
    <xf numFmtId="0" fontId="1" fillId="0" borderId="16" xfId="362" applyFont="1" applyBorder="1"/>
    <xf numFmtId="0" fontId="1" fillId="0" borderId="25" xfId="362" applyFont="1" applyBorder="1"/>
    <xf numFmtId="0" fontId="1" fillId="0" borderId="85" xfId="362" applyFont="1" applyBorder="1"/>
    <xf numFmtId="0" fontId="1" fillId="0" borderId="51" xfId="362" applyFont="1" applyBorder="1" applyAlignment="1">
      <alignment wrapText="1"/>
    </xf>
    <xf numFmtId="0" fontId="1" fillId="0" borderId="87" xfId="362" applyFont="1" applyBorder="1" applyAlignment="1">
      <alignment wrapText="1"/>
    </xf>
    <xf numFmtId="167" fontId="9" fillId="0" borderId="0" xfId="83" applyNumberFormat="1" applyFont="1" applyAlignment="1" applyProtection="1">
      <alignment vertical="center"/>
      <protection locked="0"/>
    </xf>
    <xf numFmtId="43" fontId="7" fillId="0" borderId="0" xfId="34" applyFont="1" applyProtection="1">
      <protection locked="0"/>
    </xf>
    <xf numFmtId="6" fontId="9" fillId="0" borderId="0" xfId="0" applyNumberFormat="1" applyFont="1" applyProtection="1">
      <protection locked="0"/>
    </xf>
    <xf numFmtId="6" fontId="7" fillId="0" borderId="0" xfId="0" applyNumberFormat="1" applyFont="1" applyProtection="1">
      <protection locked="0"/>
    </xf>
    <xf numFmtId="49" fontId="7" fillId="39" borderId="12" xfId="40" applyNumberFormat="1" applyFill="1" applyBorder="1" applyAlignment="1" applyProtection="1">
      <alignment vertical="top" wrapText="1"/>
      <protection locked="0"/>
    </xf>
    <xf numFmtId="43" fontId="7" fillId="0" borderId="0" xfId="0" applyNumberFormat="1" applyFont="1" applyProtection="1">
      <protection locked="0"/>
    </xf>
    <xf numFmtId="167" fontId="9" fillId="0" borderId="0" xfId="0" applyNumberFormat="1" applyFont="1" applyProtection="1">
      <protection locked="0"/>
    </xf>
    <xf numFmtId="167" fontId="7" fillId="0" borderId="0" xfId="40" applyNumberFormat="1" applyProtection="1">
      <protection locked="0"/>
    </xf>
    <xf numFmtId="167" fontId="40" fillId="0" borderId="0" xfId="122" applyNumberFormat="1" applyFont="1" applyProtection="1">
      <protection locked="0"/>
    </xf>
    <xf numFmtId="167" fontId="7" fillId="0" borderId="0" xfId="0" applyNumberFormat="1" applyFont="1" applyAlignment="1">
      <alignment vertical="center"/>
    </xf>
    <xf numFmtId="166" fontId="7" fillId="0" borderId="0" xfId="34" applyNumberFormat="1" applyProtection="1">
      <protection locked="0"/>
    </xf>
    <xf numFmtId="166" fontId="9" fillId="0" borderId="0" xfId="34" applyNumberFormat="1" applyFont="1" applyAlignment="1" applyProtection="1">
      <alignment vertical="center"/>
      <protection locked="0"/>
    </xf>
    <xf numFmtId="202" fontId="0" fillId="37" borderId="126" xfId="0" applyNumberFormat="1" applyFill="1" applyBorder="1" applyProtection="1">
      <protection locked="0"/>
    </xf>
    <xf numFmtId="0" fontId="7" fillId="37" borderId="126" xfId="0" applyFont="1" applyFill="1" applyBorder="1" applyProtection="1">
      <protection locked="0"/>
    </xf>
    <xf numFmtId="0" fontId="58" fillId="37" borderId="21" xfId="0" applyFont="1" applyFill="1" applyBorder="1" applyAlignment="1">
      <alignment horizontal="center" vertical="center"/>
    </xf>
    <xf numFmtId="0" fontId="58" fillId="37" borderId="16" xfId="0" applyFont="1" applyFill="1" applyBorder="1" applyAlignment="1">
      <alignment horizontal="center" vertical="center"/>
    </xf>
    <xf numFmtId="0" fontId="58" fillId="37" borderId="93" xfId="0" applyFont="1" applyFill="1" applyBorder="1" applyAlignment="1">
      <alignment horizontal="center" vertical="center"/>
    </xf>
    <xf numFmtId="0" fontId="7" fillId="0" borderId="121" xfId="0" applyFont="1" applyBorder="1" applyAlignment="1">
      <alignment vertical="center" wrapText="1"/>
    </xf>
    <xf numFmtId="0" fontId="29" fillId="0" borderId="70" xfId="0" applyFont="1" applyBorder="1" applyAlignment="1">
      <alignment vertical="top" wrapText="1"/>
    </xf>
    <xf numFmtId="0" fontId="29" fillId="0" borderId="99" xfId="0" applyFont="1" applyBorder="1" applyAlignment="1">
      <alignment vertical="top" wrapText="1"/>
    </xf>
    <xf numFmtId="0" fontId="29" fillId="0" borderId="121" xfId="0" applyFont="1" applyBorder="1" applyAlignment="1">
      <alignment vertical="top" wrapText="1"/>
    </xf>
    <xf numFmtId="0" fontId="9" fillId="0" borderId="0" xfId="83" applyFont="1" applyAlignment="1">
      <alignment horizontal="center" vertical="center"/>
    </xf>
    <xf numFmtId="0" fontId="9" fillId="0" borderId="0" xfId="83" applyFont="1" applyAlignment="1" applyProtection="1">
      <alignment horizontal="center" vertical="center"/>
      <protection locked="0"/>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7" fillId="0" borderId="0" xfId="0" applyFont="1" applyAlignment="1">
      <alignment wrapText="1"/>
    </xf>
    <xf numFmtId="0" fontId="7" fillId="0" borderId="0" xfId="0" applyFont="1" applyAlignment="1">
      <alignment horizontal="center"/>
    </xf>
    <xf numFmtId="0" fontId="7" fillId="0" borderId="0" xfId="651" applyAlignment="1">
      <alignment horizontal="center" wrapText="1"/>
    </xf>
    <xf numFmtId="0" fontId="58" fillId="37" borderId="37" xfId="0" applyFont="1" applyFill="1" applyBorder="1" applyAlignment="1">
      <alignment horizontal="center" vertical="center"/>
    </xf>
    <xf numFmtId="0" fontId="58" fillId="37" borderId="15" xfId="0" applyFont="1" applyFill="1" applyBorder="1" applyAlignment="1">
      <alignment horizontal="center" vertical="center"/>
    </xf>
    <xf numFmtId="0" fontId="58" fillId="37" borderId="92" xfId="0" applyFont="1" applyFill="1" applyBorder="1" applyAlignment="1">
      <alignment horizontal="center" vertical="center"/>
    </xf>
    <xf numFmtId="0" fontId="58" fillId="37" borderId="25" xfId="0" applyFont="1" applyFill="1" applyBorder="1" applyAlignment="1">
      <alignment horizontal="center" vertical="center"/>
    </xf>
    <xf numFmtId="0" fontId="58" fillId="37" borderId="21" xfId="0" applyFont="1" applyFill="1" applyBorder="1" applyAlignment="1">
      <alignment horizontal="center" vertical="center"/>
    </xf>
    <xf numFmtId="0" fontId="7" fillId="37" borderId="90" xfId="0" applyFont="1" applyFill="1" applyBorder="1" applyAlignment="1">
      <alignment horizontal="left" vertical="center" wrapText="1"/>
    </xf>
    <xf numFmtId="0" fontId="7" fillId="37" borderId="88" xfId="0" applyFont="1" applyFill="1" applyBorder="1" applyAlignment="1">
      <alignment horizontal="left" vertical="center" wrapText="1"/>
    </xf>
    <xf numFmtId="0" fontId="7" fillId="37" borderId="125" xfId="0" applyFont="1" applyFill="1" applyBorder="1" applyAlignment="1">
      <alignment horizontal="left" vertical="center" wrapText="1"/>
    </xf>
    <xf numFmtId="0" fontId="58" fillId="37" borderId="16" xfId="0" applyFont="1" applyFill="1" applyBorder="1" applyAlignment="1">
      <alignment horizontal="center" vertical="center"/>
    </xf>
    <xf numFmtId="0" fontId="58" fillId="37" borderId="93" xfId="0" applyFont="1" applyFill="1" applyBorder="1" applyAlignment="1">
      <alignment horizontal="center" vertical="center"/>
    </xf>
    <xf numFmtId="0" fontId="58" fillId="37" borderId="83" xfId="0" applyFont="1" applyFill="1" applyBorder="1" applyAlignment="1">
      <alignment horizontal="center" vertical="center"/>
    </xf>
    <xf numFmtId="0" fontId="7" fillId="37" borderId="89" xfId="0" applyFont="1" applyFill="1" applyBorder="1" applyAlignment="1">
      <alignment horizontal="left" wrapText="1"/>
    </xf>
    <xf numFmtId="0" fontId="7" fillId="37" borderId="90" xfId="0" applyFont="1" applyFill="1" applyBorder="1" applyAlignment="1">
      <alignment horizontal="left" wrapText="1"/>
    </xf>
    <xf numFmtId="0" fontId="7" fillId="37" borderId="38" xfId="0" applyFont="1" applyFill="1" applyBorder="1" applyAlignment="1">
      <alignment horizontal="left" vertical="center" wrapText="1"/>
    </xf>
    <xf numFmtId="0" fontId="7" fillId="37" borderId="94" xfId="0" applyFont="1" applyFill="1" applyBorder="1" applyAlignment="1">
      <alignment horizontal="left" vertical="center" wrapText="1"/>
    </xf>
    <xf numFmtId="0" fontId="9" fillId="0" borderId="77" xfId="0" applyFont="1" applyBorder="1" applyAlignment="1">
      <alignment vertical="center"/>
    </xf>
    <xf numFmtId="0" fontId="9" fillId="0" borderId="117" xfId="0" applyFont="1" applyBorder="1" applyAlignment="1">
      <alignment vertical="center"/>
    </xf>
    <xf numFmtId="0" fontId="9" fillId="0" borderId="101" xfId="0" applyFont="1" applyBorder="1" applyAlignment="1">
      <alignment vertical="center"/>
    </xf>
    <xf numFmtId="0" fontId="68" fillId="0" borderId="0" xfId="0" applyFont="1" applyAlignment="1">
      <alignment horizontal="left" vertical="top" wrapText="1"/>
    </xf>
    <xf numFmtId="0" fontId="9" fillId="0" borderId="84" xfId="0" applyFont="1" applyBorder="1" applyAlignment="1">
      <alignment vertical="center" wrapText="1"/>
    </xf>
    <xf numFmtId="0" fontId="7" fillId="0" borderId="70" xfId="0" applyFont="1" applyBorder="1" applyAlignment="1">
      <alignment vertical="center" wrapText="1"/>
    </xf>
    <xf numFmtId="0" fontId="7" fillId="0" borderId="121" xfId="0" applyFont="1" applyBorder="1" applyAlignment="1">
      <alignment vertical="center" wrapText="1"/>
    </xf>
    <xf numFmtId="0" fontId="7" fillId="0" borderId="70" xfId="0" applyFont="1" applyBorder="1" applyAlignment="1">
      <alignment vertical="center"/>
    </xf>
    <xf numFmtId="0" fontId="7" fillId="0" borderId="121" xfId="0" applyFont="1" applyBorder="1" applyAlignment="1">
      <alignment vertical="center"/>
    </xf>
    <xf numFmtId="0" fontId="68" fillId="0" borderId="0" xfId="0" applyFont="1" applyAlignment="1">
      <alignment horizontal="left" vertical="center" wrapText="1"/>
    </xf>
    <xf numFmtId="0" fontId="7" fillId="0" borderId="70" xfId="0" applyFont="1" applyBorder="1" applyAlignment="1">
      <alignment horizontal="center" vertical="center" wrapText="1"/>
    </xf>
    <xf numFmtId="0" fontId="7" fillId="0" borderId="121" xfId="0" applyFont="1" applyBorder="1" applyAlignment="1">
      <alignment horizontal="center" vertical="center" wrapText="1"/>
    </xf>
    <xf numFmtId="0" fontId="74" fillId="0" borderId="70" xfId="0" applyFont="1" applyBorder="1" applyAlignment="1">
      <alignment horizontal="center" vertical="center" wrapText="1"/>
    </xf>
    <xf numFmtId="0" fontId="74" fillId="0" borderId="99" xfId="0" applyFont="1" applyBorder="1" applyAlignment="1">
      <alignment horizontal="center" vertical="center" wrapText="1"/>
    </xf>
    <xf numFmtId="0" fontId="74" fillId="0" borderId="121" xfId="0" applyFont="1" applyBorder="1" applyAlignment="1">
      <alignment horizontal="center" vertical="center" wrapText="1"/>
    </xf>
    <xf numFmtId="0" fontId="70" fillId="0" borderId="70" xfId="0" applyFont="1" applyBorder="1" applyAlignment="1">
      <alignment horizontal="center" vertical="top" wrapText="1"/>
    </xf>
    <xf numFmtId="0" fontId="119" fillId="0" borderId="99" xfId="0" applyFont="1" applyBorder="1" applyAlignment="1">
      <alignment horizontal="center" vertical="top" wrapText="1"/>
    </xf>
    <xf numFmtId="0" fontId="119" fillId="0" borderId="121" xfId="0" applyFont="1" applyBorder="1" applyAlignment="1">
      <alignment horizontal="center" vertical="top" wrapText="1"/>
    </xf>
    <xf numFmtId="0" fontId="29" fillId="0" borderId="70" xfId="0" applyFont="1" applyBorder="1" applyAlignment="1">
      <alignment vertical="top" wrapText="1"/>
    </xf>
    <xf numFmtId="0" fontId="29" fillId="0" borderId="99" xfId="0" applyFont="1" applyBorder="1" applyAlignment="1">
      <alignment vertical="top" wrapText="1"/>
    </xf>
    <xf numFmtId="0" fontId="29" fillId="0" borderId="121" xfId="0" applyFont="1" applyBorder="1" applyAlignment="1">
      <alignment vertical="top" wrapText="1"/>
    </xf>
    <xf numFmtId="0" fontId="7" fillId="0" borderId="99"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84" xfId="0" applyFont="1" applyBorder="1" applyAlignment="1">
      <alignment horizontal="center" vertical="center" wrapText="1"/>
    </xf>
    <xf numFmtId="0" fontId="9" fillId="36" borderId="24" xfId="0" applyFont="1" applyFill="1" applyBorder="1" applyAlignment="1">
      <alignment horizontal="center"/>
    </xf>
    <xf numFmtId="0" fontId="9" fillId="36" borderId="19" xfId="0" applyFont="1" applyFill="1" applyBorder="1" applyAlignment="1">
      <alignment horizontal="center"/>
    </xf>
    <xf numFmtId="0" fontId="9" fillId="0" borderId="0" xfId="83" applyFont="1" applyAlignment="1">
      <alignment horizontal="center" vertical="center"/>
    </xf>
    <xf numFmtId="0" fontId="9" fillId="0" borderId="33" xfId="83" applyFont="1" applyBorder="1" applyAlignment="1">
      <alignment horizontal="center" vertical="center"/>
    </xf>
    <xf numFmtId="49" fontId="9" fillId="42" borderId="24" xfId="83" applyNumberFormat="1" applyFont="1" applyFill="1" applyBorder="1" applyAlignment="1" applyProtection="1">
      <alignment horizontal="center" vertical="center"/>
      <protection locked="0"/>
    </xf>
    <xf numFmtId="49" fontId="9" fillId="42" borderId="4" xfId="83" applyNumberFormat="1" applyFont="1" applyFill="1" applyBorder="1" applyAlignment="1" applyProtection="1">
      <alignment horizontal="center" vertical="center"/>
      <protection locked="0"/>
    </xf>
    <xf numFmtId="49" fontId="9" fillId="42" borderId="19" xfId="83" applyNumberFormat="1" applyFont="1" applyFill="1" applyBorder="1" applyAlignment="1" applyProtection="1">
      <alignment horizontal="center" vertical="center"/>
      <protection locked="0"/>
    </xf>
    <xf numFmtId="14" fontId="9" fillId="42" borderId="24" xfId="83" applyNumberFormat="1" applyFont="1" applyFill="1" applyBorder="1" applyAlignment="1" applyProtection="1">
      <alignment horizontal="center" vertical="center"/>
      <protection locked="0"/>
    </xf>
    <xf numFmtId="14" fontId="9" fillId="42" borderId="4" xfId="83" applyNumberFormat="1" applyFont="1" applyFill="1" applyBorder="1" applyAlignment="1" applyProtection="1">
      <alignment horizontal="center" vertical="center"/>
      <protection locked="0"/>
    </xf>
    <xf numFmtId="14" fontId="9" fillId="42" borderId="19" xfId="83" applyNumberFormat="1" applyFont="1" applyFill="1" applyBorder="1" applyAlignment="1" applyProtection="1">
      <alignment horizontal="center" vertical="center"/>
      <protection locked="0"/>
    </xf>
    <xf numFmtId="0" fontId="9" fillId="42" borderId="24" xfId="83" applyFont="1" applyFill="1" applyBorder="1" applyAlignment="1" applyProtection="1">
      <alignment horizontal="center" vertical="center"/>
      <protection locked="0"/>
    </xf>
    <xf numFmtId="0" fontId="9" fillId="42" borderId="4" xfId="83" applyFont="1" applyFill="1" applyBorder="1" applyAlignment="1" applyProtection="1">
      <alignment horizontal="center" vertical="center"/>
      <protection locked="0"/>
    </xf>
    <xf numFmtId="0" fontId="9" fillId="42" borderId="19" xfId="83" applyFont="1" applyFill="1" applyBorder="1" applyAlignment="1" applyProtection="1">
      <alignment horizontal="center" vertical="center"/>
      <protection locked="0"/>
    </xf>
    <xf numFmtId="0" fontId="9" fillId="37" borderId="37" xfId="83" applyFont="1" applyFill="1" applyBorder="1" applyAlignment="1">
      <alignment horizontal="center" vertical="center" wrapText="1"/>
    </xf>
    <xf numFmtId="0" fontId="9" fillId="37" borderId="15" xfId="83" applyFont="1" applyFill="1" applyBorder="1" applyAlignment="1">
      <alignment horizontal="center" vertical="center" wrapText="1"/>
    </xf>
    <xf numFmtId="0" fontId="9" fillId="37" borderId="39" xfId="83" applyFont="1" applyFill="1" applyBorder="1" applyAlignment="1">
      <alignment horizontal="center" vertical="center" wrapText="1"/>
    </xf>
    <xf numFmtId="0" fontId="9" fillId="0" borderId="24" xfId="83" applyFont="1" applyBorder="1" applyAlignment="1">
      <alignment horizontal="center" vertical="center"/>
    </xf>
    <xf numFmtId="0" fontId="9" fillId="0" borderId="12" xfId="83" applyFont="1" applyBorder="1" applyAlignment="1">
      <alignment horizontal="center" vertical="center"/>
    </xf>
    <xf numFmtId="0" fontId="9" fillId="41" borderId="25" xfId="83" applyFont="1" applyFill="1" applyBorder="1" applyAlignment="1">
      <alignment horizontal="center" vertical="center" wrapText="1"/>
    </xf>
    <xf numFmtId="0" fontId="9" fillId="41" borderId="16" xfId="83" applyFont="1" applyFill="1" applyBorder="1" applyAlignment="1">
      <alignment horizontal="center" vertical="center" wrapText="1"/>
    </xf>
    <xf numFmtId="0" fontId="9" fillId="41" borderId="21" xfId="83" applyFont="1" applyFill="1" applyBorder="1" applyAlignment="1">
      <alignment horizontal="center" vertical="center" wrapText="1"/>
    </xf>
    <xf numFmtId="0" fontId="9" fillId="0" borderId="0" xfId="83" applyFont="1" applyAlignment="1" applyProtection="1">
      <alignment horizontal="center" vertical="center"/>
      <protection locked="0"/>
    </xf>
    <xf numFmtId="0" fontId="9" fillId="37" borderId="96" xfId="83" applyFont="1" applyFill="1" applyBorder="1" applyAlignment="1">
      <alignment horizontal="center" vertical="center" wrapText="1"/>
    </xf>
    <xf numFmtId="0" fontId="9" fillId="37" borderId="98" xfId="83" applyFont="1" applyFill="1" applyBorder="1" applyAlignment="1">
      <alignment horizontal="center" vertical="center" wrapText="1"/>
    </xf>
    <xf numFmtId="0" fontId="9" fillId="37" borderId="97" xfId="83" applyFont="1" applyFill="1" applyBorder="1" applyAlignment="1">
      <alignment horizontal="center" vertical="center" wrapText="1"/>
    </xf>
    <xf numFmtId="0" fontId="9" fillId="34" borderId="25" xfId="122" applyFont="1" applyFill="1" applyBorder="1" applyAlignment="1">
      <alignment horizontal="center" vertical="center" wrapText="1"/>
    </xf>
    <xf numFmtId="0" fontId="9" fillId="34" borderId="21" xfId="122" applyFont="1" applyFill="1" applyBorder="1" applyAlignment="1">
      <alignment horizontal="center" vertical="center" wrapText="1"/>
    </xf>
    <xf numFmtId="0" fontId="61" fillId="34" borderId="25" xfId="122" applyFont="1" applyFill="1" applyBorder="1" applyAlignment="1">
      <alignment horizontal="center" vertical="center" wrapText="1"/>
    </xf>
    <xf numFmtId="0" fontId="61" fillId="34" borderId="21" xfId="122" applyFont="1" applyFill="1" applyBorder="1" applyAlignment="1">
      <alignment horizontal="center" vertical="center" wrapText="1"/>
    </xf>
    <xf numFmtId="0" fontId="58" fillId="34" borderId="25" xfId="122" applyFont="1" applyFill="1" applyBorder="1" applyAlignment="1">
      <alignment horizontal="center" vertical="center" wrapText="1"/>
    </xf>
    <xf numFmtId="0" fontId="58" fillId="34" borderId="21" xfId="122" applyFont="1" applyFill="1" applyBorder="1" applyAlignment="1">
      <alignment horizontal="center" vertical="center" wrapText="1"/>
    </xf>
    <xf numFmtId="0" fontId="9" fillId="0" borderId="49" xfId="0" applyFont="1" applyBorder="1" applyAlignment="1">
      <alignment horizontal="center"/>
    </xf>
    <xf numFmtId="0" fontId="9" fillId="0" borderId="50" xfId="0" applyFont="1" applyBorder="1" applyAlignment="1">
      <alignment horizontal="center"/>
    </xf>
    <xf numFmtId="0" fontId="7" fillId="0" borderId="0" xfId="82" applyFont="1" applyAlignment="1">
      <alignment horizontal="left"/>
    </xf>
    <xf numFmtId="0" fontId="9" fillId="34" borderId="54" xfId="0" applyFont="1" applyFill="1" applyBorder="1" applyAlignment="1">
      <alignment horizontal="center" wrapText="1"/>
    </xf>
    <xf numFmtId="0" fontId="9" fillId="34" borderId="55" xfId="0" applyFont="1" applyFill="1" applyBorder="1" applyAlignment="1">
      <alignment horizontal="center" wrapText="1"/>
    </xf>
    <xf numFmtId="0" fontId="9" fillId="34" borderId="53" xfId="0" applyFont="1" applyFill="1" applyBorder="1" applyAlignment="1">
      <alignment horizontal="center" wrapText="1"/>
    </xf>
    <xf numFmtId="0" fontId="9" fillId="34" borderId="47" xfId="0" applyFont="1" applyFill="1" applyBorder="1" applyAlignment="1">
      <alignment horizontal="center" wrapText="1"/>
    </xf>
    <xf numFmtId="167" fontId="9" fillId="34" borderId="54" xfId="45" applyNumberFormat="1" applyFont="1" applyFill="1" applyBorder="1" applyAlignment="1">
      <alignment horizontal="center" wrapText="1"/>
    </xf>
    <xf numFmtId="167" fontId="9" fillId="34" borderId="55"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2" xfId="45" applyNumberFormat="1" applyFont="1" applyFill="1" applyBorder="1" applyAlignment="1">
      <alignment horizontal="center" wrapText="1"/>
    </xf>
    <xf numFmtId="167" fontId="7" fillId="34" borderId="53"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6" xfId="0" applyFont="1" applyFill="1" applyBorder="1" applyAlignment="1">
      <alignment horizontal="center"/>
    </xf>
    <xf numFmtId="0" fontId="9" fillId="34" borderId="19" xfId="0" applyFont="1" applyFill="1" applyBorder="1" applyAlignment="1">
      <alignment horizontal="center"/>
    </xf>
    <xf numFmtId="0" fontId="7" fillId="0" borderId="24" xfId="0" applyFont="1" applyBorder="1" applyAlignment="1">
      <alignment horizontal="left" wrapText="1"/>
    </xf>
    <xf numFmtId="0" fontId="7" fillId="0" borderId="4" xfId="0" applyFont="1" applyBorder="1" applyAlignment="1">
      <alignment horizontal="left" wrapText="1"/>
    </xf>
    <xf numFmtId="0" fontId="7" fillId="0" borderId="19" xfId="0" applyFont="1" applyBorder="1" applyAlignment="1">
      <alignment horizontal="left" wrapText="1"/>
    </xf>
    <xf numFmtId="0" fontId="7" fillId="0" borderId="0" xfId="0" applyFont="1" applyAlignment="1">
      <alignment wrapText="1"/>
    </xf>
    <xf numFmtId="0" fontId="0" fillId="0" borderId="0" xfId="0" applyAlignment="1">
      <alignment wrapText="1"/>
    </xf>
    <xf numFmtId="0" fontId="9" fillId="0" borderId="64" xfId="0" applyFont="1" applyBorder="1" applyAlignment="1">
      <alignment horizontal="left" vertical="top" wrapText="1"/>
    </xf>
    <xf numFmtId="0" fontId="9" fillId="0" borderId="54" xfId="0" applyFont="1" applyBorder="1" applyAlignment="1">
      <alignment horizontal="left" vertical="top"/>
    </xf>
    <xf numFmtId="0" fontId="9" fillId="0" borderId="55" xfId="0" applyFont="1" applyBorder="1" applyAlignment="1">
      <alignment horizontal="left" vertical="top"/>
    </xf>
    <xf numFmtId="0" fontId="7" fillId="0" borderId="36" xfId="0" applyFont="1" applyBorder="1" applyAlignment="1">
      <alignment horizontal="center"/>
    </xf>
    <xf numFmtId="0" fontId="7" fillId="0" borderId="48" xfId="0" applyFont="1" applyBorder="1" applyAlignment="1">
      <alignment horizontal="center"/>
    </xf>
    <xf numFmtId="0" fontId="7" fillId="0" borderId="62"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3"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7" fillId="0" borderId="36" xfId="0" applyFont="1" applyBorder="1" applyAlignment="1">
      <alignment horizontal="left" vertical="top" wrapText="1"/>
    </xf>
    <xf numFmtId="0" fontId="7" fillId="0" borderId="48" xfId="0" applyFont="1" applyBorder="1" applyAlignment="1">
      <alignment horizontal="left" vertical="top" wrapText="1"/>
    </xf>
    <xf numFmtId="0" fontId="7" fillId="0" borderId="62"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Alignment="1">
      <alignment horizontal="left" vertical="top" wrapText="1"/>
    </xf>
    <xf numFmtId="0" fontId="7" fillId="0" borderId="63" xfId="0" applyFont="1" applyBorder="1" applyAlignment="1">
      <alignment horizontal="left" vertical="top" wrapText="1"/>
    </xf>
    <xf numFmtId="0" fontId="7" fillId="0" borderId="27" xfId="0" applyFont="1" applyBorder="1" applyAlignment="1">
      <alignment horizontal="left" vertical="top" wrapText="1"/>
    </xf>
    <xf numFmtId="0" fontId="7" fillId="0" borderId="33" xfId="0" applyFont="1" applyBorder="1" applyAlignment="1">
      <alignment horizontal="left" vertical="top" wrapText="1"/>
    </xf>
    <xf numFmtId="0" fontId="7" fillId="0" borderId="34" xfId="0" applyFont="1" applyBorder="1" applyAlignment="1">
      <alignment horizontal="left" vertical="top" wrapText="1"/>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7" fillId="0" borderId="59" xfId="0" applyFont="1" applyBorder="1" applyAlignment="1">
      <alignment horizontal="left" wrapText="1"/>
    </xf>
    <xf numFmtId="0" fontId="7" fillId="0" borderId="60" xfId="0" applyFont="1" applyBorder="1" applyAlignment="1">
      <alignment horizontal="left" wrapText="1"/>
    </xf>
    <xf numFmtId="0" fontId="7" fillId="0" borderId="61" xfId="0" applyFont="1" applyBorder="1" applyAlignment="1">
      <alignment horizontal="left" wrapText="1"/>
    </xf>
    <xf numFmtId="0" fontId="7" fillId="0" borderId="48" xfId="0" applyFont="1" applyBorder="1" applyAlignment="1">
      <alignment horizontal="left" vertical="top"/>
    </xf>
    <xf numFmtId="0" fontId="7" fillId="0" borderId="62" xfId="0" applyFont="1" applyBorder="1" applyAlignment="1">
      <alignment horizontal="left" vertical="top"/>
    </xf>
    <xf numFmtId="0" fontId="7" fillId="0" borderId="14" xfId="0" applyFont="1" applyBorder="1" applyAlignment="1">
      <alignment horizontal="left" vertical="top"/>
    </xf>
    <xf numFmtId="0" fontId="7" fillId="0" borderId="0" xfId="0" applyFont="1" applyAlignment="1">
      <alignment horizontal="left" vertical="top"/>
    </xf>
    <xf numFmtId="0" fontId="7" fillId="0" borderId="63" xfId="0" applyFont="1" applyBorder="1" applyAlignment="1">
      <alignment horizontal="left" vertical="top"/>
    </xf>
    <xf numFmtId="0" fontId="7" fillId="0" borderId="27" xfId="0" applyFont="1" applyBorder="1" applyAlignment="1">
      <alignment horizontal="left" vertical="top"/>
    </xf>
    <xf numFmtId="0" fontId="7" fillId="0" borderId="33" xfId="0" applyFont="1" applyBorder="1" applyAlignment="1">
      <alignment horizontal="left" vertical="top"/>
    </xf>
    <xf numFmtId="0" fontId="7" fillId="0" borderId="34" xfId="0" applyFont="1" applyBorder="1" applyAlignment="1">
      <alignment horizontal="left" vertical="top"/>
    </xf>
    <xf numFmtId="0" fontId="7" fillId="0" borderId="36" xfId="656" applyBorder="1" applyAlignment="1">
      <alignment horizontal="left" vertical="top" wrapText="1"/>
    </xf>
    <xf numFmtId="0" fontId="7" fillId="0" borderId="48" xfId="656" applyBorder="1" applyAlignment="1">
      <alignment horizontal="left" vertical="top" wrapText="1"/>
    </xf>
    <xf numFmtId="0" fontId="7" fillId="0" borderId="62" xfId="656" applyBorder="1" applyAlignment="1">
      <alignment horizontal="left" vertical="top" wrapText="1"/>
    </xf>
    <xf numFmtId="0" fontId="7" fillId="0" borderId="14" xfId="656" applyBorder="1" applyAlignment="1">
      <alignment horizontal="left" vertical="top" wrapText="1"/>
    </xf>
    <xf numFmtId="0" fontId="7" fillId="0" borderId="0" xfId="656" applyAlignment="1">
      <alignment horizontal="left" vertical="top" wrapText="1"/>
    </xf>
    <xf numFmtId="0" fontId="7" fillId="0" borderId="63" xfId="656" applyBorder="1" applyAlignment="1">
      <alignment horizontal="left" vertical="top" wrapText="1"/>
    </xf>
    <xf numFmtId="0" fontId="7" fillId="0" borderId="27" xfId="656" applyBorder="1" applyAlignment="1">
      <alignment horizontal="left" vertical="top" wrapText="1"/>
    </xf>
    <xf numFmtId="0" fontId="7" fillId="0" borderId="33" xfId="656" applyBorder="1" applyAlignment="1">
      <alignment horizontal="left" vertical="top" wrapText="1"/>
    </xf>
    <xf numFmtId="0" fontId="7" fillId="0" borderId="34" xfId="656" applyBorder="1" applyAlignment="1">
      <alignment horizontal="left" vertical="top" wrapText="1"/>
    </xf>
    <xf numFmtId="0" fontId="60" fillId="34" borderId="127" xfId="0" applyFont="1" applyFill="1" applyBorder="1" applyAlignment="1">
      <alignment horizontal="centerContinuous"/>
    </xf>
    <xf numFmtId="0" fontId="60" fillId="34" borderId="128" xfId="0" applyFont="1" applyFill="1" applyBorder="1" applyAlignment="1">
      <alignment horizontal="centerContinuous"/>
    </xf>
    <xf numFmtId="0" fontId="60" fillId="34" borderId="129" xfId="0" applyFont="1" applyFill="1" applyBorder="1" applyAlignment="1">
      <alignment horizontal="centerContinuous"/>
    </xf>
    <xf numFmtId="0" fontId="60" fillId="34" borderId="126" xfId="0" applyFont="1" applyFill="1" applyBorder="1" applyAlignment="1">
      <alignment horizontal="centerContinuous"/>
    </xf>
    <xf numFmtId="0" fontId="60" fillId="34" borderId="125"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0" fontId="1" fillId="37" borderId="42"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24" xfId="0" applyNumberFormat="1" applyFont="1" applyFill="1" applyBorder="1" applyAlignment="1">
      <alignment horizontal="center" vertical="center" wrapText="1"/>
    </xf>
    <xf numFmtId="14" fontId="1" fillId="37" borderId="123"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1" fillId="0" borderId="12" xfId="0" applyFont="1" applyBorder="1"/>
    <xf numFmtId="0" fontId="58" fillId="34" borderId="114" xfId="0" applyFont="1" applyFill="1" applyBorder="1" applyAlignment="1">
      <alignment horizontal="center"/>
    </xf>
    <xf numFmtId="0" fontId="1" fillId="34" borderId="50"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7" xfId="0" applyFont="1" applyFill="1" applyBorder="1" applyAlignment="1">
      <alignment wrapText="1"/>
    </xf>
    <xf numFmtId="0" fontId="1" fillId="0" borderId="44" xfId="0" applyFont="1" applyBorder="1"/>
    <xf numFmtId="0" fontId="1" fillId="0" borderId="45" xfId="0" applyFont="1" applyBorder="1" applyAlignment="1">
      <alignment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1" fillId="0" borderId="69" xfId="0" applyFont="1" applyBorder="1" applyAlignment="1">
      <alignment wrapText="1"/>
    </xf>
    <xf numFmtId="0" fontId="1" fillId="0" borderId="116"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1" fillId="34" borderId="42" xfId="0" applyFont="1" applyFill="1" applyBorder="1" applyAlignment="1">
      <alignment wrapText="1"/>
    </xf>
    <xf numFmtId="0" fontId="1" fillId="34" borderId="100" xfId="0" applyFont="1" applyFill="1" applyBorder="1" applyAlignment="1">
      <alignment wrapText="1"/>
    </xf>
    <xf numFmtId="0" fontId="1" fillId="33" borderId="44" xfId="0" applyFont="1" applyFill="1" applyBorder="1"/>
    <xf numFmtId="0" fontId="1" fillId="0" borderId="0" xfId="0" applyFont="1"/>
    <xf numFmtId="0" fontId="1" fillId="0" borderId="0" xfId="0" applyFont="1" applyAlignment="1">
      <alignment wrapText="1"/>
    </xf>
    <xf numFmtId="0" fontId="9" fillId="34" borderId="130" xfId="0" applyFont="1" applyFill="1" applyBorder="1" applyAlignment="1">
      <alignment horizontal="center"/>
    </xf>
    <xf numFmtId="0" fontId="9" fillId="34" borderId="129" xfId="0" applyFont="1" applyFill="1" applyBorder="1" applyAlignment="1">
      <alignment horizontal="center"/>
    </xf>
    <xf numFmtId="0" fontId="58" fillId="37" borderId="130" xfId="0" applyFont="1" applyFill="1" applyBorder="1" applyAlignment="1">
      <alignment horizontal="center" vertical="center"/>
    </xf>
    <xf numFmtId="0" fontId="7" fillId="37" borderId="129" xfId="0" applyFont="1" applyFill="1" applyBorder="1" applyAlignment="1">
      <alignment horizontal="left" vertical="center" wrapText="1"/>
    </xf>
    <xf numFmtId="0" fontId="58" fillId="37" borderId="130" xfId="0" applyFont="1" applyFill="1" applyBorder="1" applyAlignment="1">
      <alignment horizontal="center" vertical="center"/>
    </xf>
    <xf numFmtId="0" fontId="7" fillId="37" borderId="129" xfId="0" applyFont="1" applyFill="1" applyBorder="1" applyAlignment="1">
      <alignment horizontal="left" wrapText="1"/>
    </xf>
    <xf numFmtId="0" fontId="7" fillId="37" borderId="125" xfId="0" applyFont="1" applyFill="1" applyBorder="1" applyAlignment="1">
      <alignment horizontal="left" wrapText="1"/>
    </xf>
    <xf numFmtId="0" fontId="1" fillId="0" borderId="21" xfId="0" applyFont="1" applyBorder="1" applyAlignment="1">
      <alignment horizontal="center"/>
    </xf>
    <xf numFmtId="0" fontId="1" fillId="0" borderId="12" xfId="0" applyFont="1" applyBorder="1" applyAlignment="1">
      <alignment wrapText="1" shrinkToFit="1"/>
    </xf>
    <xf numFmtId="0" fontId="7" fillId="0" borderId="125" xfId="0" applyFont="1" applyBorder="1" applyAlignment="1">
      <alignment vertical="center"/>
    </xf>
    <xf numFmtId="0" fontId="70" fillId="0" borderId="125" xfId="0" applyFont="1" applyBorder="1" applyAlignment="1">
      <alignment vertical="center" wrapText="1"/>
    </xf>
    <xf numFmtId="0" fontId="7" fillId="0" borderId="125" xfId="0" applyFont="1" applyBorder="1" applyAlignment="1">
      <alignment horizontal="center" vertical="center" wrapText="1"/>
    </xf>
    <xf numFmtId="0" fontId="55" fillId="0" borderId="125" xfId="0" applyFont="1" applyBorder="1" applyAlignment="1">
      <alignment vertical="center"/>
    </xf>
    <xf numFmtId="0" fontId="55" fillId="0" borderId="125" xfId="0" applyFont="1" applyBorder="1" applyAlignment="1">
      <alignment vertical="center" wrapText="1"/>
    </xf>
    <xf numFmtId="0" fontId="9" fillId="0" borderId="125" xfId="0" applyFont="1" applyBorder="1" applyAlignment="1">
      <alignment vertical="center"/>
    </xf>
    <xf numFmtId="0" fontId="9" fillId="0" borderId="125" xfId="0" applyFont="1" applyBorder="1" applyAlignment="1">
      <alignment vertical="center" wrapText="1"/>
    </xf>
    <xf numFmtId="0" fontId="9" fillId="0" borderId="125" xfId="0" applyFont="1" applyBorder="1" applyAlignment="1">
      <alignment horizontal="center" vertical="center" wrapText="1"/>
    </xf>
    <xf numFmtId="0" fontId="9" fillId="0" borderId="127" xfId="0" applyFont="1" applyBorder="1" applyAlignment="1">
      <alignment vertical="center" wrapText="1"/>
    </xf>
    <xf numFmtId="0" fontId="9" fillId="0" borderId="128" xfId="0" applyFont="1" applyBorder="1" applyAlignment="1">
      <alignment vertical="center" wrapText="1"/>
    </xf>
    <xf numFmtId="0" fontId="9" fillId="0" borderId="129" xfId="0" applyFont="1" applyBorder="1" applyAlignment="1">
      <alignment vertical="center" wrapText="1"/>
    </xf>
    <xf numFmtId="0" fontId="9" fillId="0" borderId="126" xfId="0" applyFont="1" applyBorder="1" applyAlignment="1">
      <alignment vertical="center" wrapText="1"/>
    </xf>
    <xf numFmtId="0" fontId="9" fillId="0" borderId="125" xfId="0" applyFont="1" applyBorder="1" applyAlignment="1">
      <alignment vertical="center" wrapText="1"/>
    </xf>
    <xf numFmtId="0" fontId="121" fillId="0" borderId="125" xfId="0" applyFont="1" applyBorder="1" applyAlignment="1">
      <alignment vertical="center" wrapText="1"/>
    </xf>
    <xf numFmtId="0" fontId="29" fillId="0" borderId="125" xfId="0" applyFont="1" applyBorder="1" applyAlignment="1">
      <alignment vertical="top"/>
    </xf>
    <xf numFmtId="0" fontId="68" fillId="0" borderId="125" xfId="0" applyFont="1" applyBorder="1" applyAlignment="1">
      <alignment vertical="center" wrapText="1"/>
    </xf>
    <xf numFmtId="0" fontId="113" fillId="0" borderId="125" xfId="0" applyFont="1" applyBorder="1" applyAlignment="1">
      <alignment vertical="center"/>
    </xf>
    <xf numFmtId="0" fontId="68" fillId="0" borderId="125" xfId="0" applyFont="1" applyBorder="1" applyAlignment="1">
      <alignment vertical="center"/>
    </xf>
    <xf numFmtId="0" fontId="113" fillId="0" borderId="126" xfId="0" applyFont="1" applyBorder="1" applyAlignment="1">
      <alignment horizontal="left" vertical="top" wrapText="1"/>
    </xf>
    <xf numFmtId="0" fontId="0" fillId="0" borderId="125" xfId="0" applyBorder="1" applyAlignment="1">
      <alignment vertical="top" wrapText="1"/>
    </xf>
    <xf numFmtId="0" fontId="74" fillId="0" borderId="125" xfId="0" applyFont="1" applyBorder="1" applyAlignment="1">
      <alignment horizontal="center" vertical="center" wrapText="1"/>
    </xf>
    <xf numFmtId="0" fontId="29" fillId="0" borderId="125" xfId="0" applyFont="1" applyBorder="1" applyAlignment="1">
      <alignment vertical="top" wrapText="1"/>
    </xf>
    <xf numFmtId="0" fontId="7" fillId="0" borderId="127" xfId="0" applyFont="1" applyBorder="1" applyAlignment="1">
      <alignment horizontal="center" vertical="center" wrapText="1"/>
    </xf>
    <xf numFmtId="0" fontId="74" fillId="0" borderId="129" xfId="0" applyFont="1" applyBorder="1" applyAlignment="1">
      <alignment horizontal="center" vertical="center" wrapText="1"/>
    </xf>
    <xf numFmtId="0" fontId="0" fillId="0" borderId="129" xfId="0" applyBorder="1" applyAlignment="1">
      <alignment vertical="top"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2" applyFont="1" applyFill="1" applyBorder="1"/>
    <xf numFmtId="0" fontId="1" fillId="38" borderId="21" xfId="122" applyFont="1" applyFill="1" applyBorder="1"/>
    <xf numFmtId="167" fontId="1" fillId="24" borderId="21" xfId="40" applyNumberFormat="1" applyFont="1" applyFill="1" applyBorder="1" applyAlignment="1" applyProtection="1"/>
    <xf numFmtId="0" fontId="1" fillId="0" borderId="12" xfId="118" applyFont="1" applyBorder="1" applyAlignment="1">
      <alignment horizontal="left"/>
    </xf>
    <xf numFmtId="0" fontId="1" fillId="0" borderId="12" xfId="122" applyFont="1" applyBorder="1" applyAlignment="1">
      <alignment horizontal="center"/>
    </xf>
    <xf numFmtId="0" fontId="1" fillId="0" borderId="21" xfId="122" applyFont="1" applyBorder="1" applyAlignment="1">
      <alignment horizontal="center"/>
    </xf>
    <xf numFmtId="167" fontId="1" fillId="37" borderId="12" xfId="122" applyNumberFormat="1" applyFont="1" applyFill="1" applyBorder="1"/>
    <xf numFmtId="0" fontId="1" fillId="0" borderId="0" xfId="0" applyFont="1" applyAlignment="1" applyProtection="1">
      <alignment vertical="center"/>
      <protection locked="0"/>
    </xf>
    <xf numFmtId="41" fontId="7" fillId="34" borderId="130" xfId="35" applyNumberFormat="1" applyFont="1" applyFill="1" applyBorder="1" applyAlignment="1" applyProtection="1">
      <alignment wrapText="1"/>
    </xf>
    <xf numFmtId="41" fontId="7" fillId="34" borderId="131" xfId="35" applyNumberFormat="1" applyFont="1" applyFill="1" applyBorder="1" applyAlignment="1" applyProtection="1">
      <alignment wrapText="1"/>
    </xf>
    <xf numFmtId="3" fontId="9" fillId="34" borderId="117" xfId="78" applyNumberFormat="1" applyFont="1" applyFill="1" applyBorder="1" applyAlignment="1">
      <alignment horizontal="centerContinuous" vertical="center" wrapText="1"/>
    </xf>
    <xf numFmtId="42" fontId="9" fillId="34" borderId="117" xfId="78" applyNumberFormat="1" applyFont="1" applyFill="1" applyBorder="1" applyAlignment="1">
      <alignment horizontal="centerContinuous" vertical="center" wrapText="1"/>
    </xf>
    <xf numFmtId="4" fontId="9" fillId="34" borderId="117" xfId="78" applyNumberFormat="1" applyFont="1" applyFill="1" applyBorder="1" applyAlignment="1">
      <alignment horizontal="centerContinuous" vertical="center" wrapText="1"/>
    </xf>
    <xf numFmtId="44" fontId="9" fillId="34" borderId="117" xfId="78" applyNumberFormat="1" applyFont="1" applyFill="1" applyBorder="1" applyAlignment="1">
      <alignment horizontal="centerContinuous" vertical="center" wrapText="1"/>
    </xf>
    <xf numFmtId="0" fontId="9" fillId="0" borderId="114"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51" xfId="0" applyFont="1" applyBorder="1" applyAlignment="1"/>
    <xf numFmtId="0" fontId="7" fillId="36" borderId="118" xfId="139" applyFill="1" applyBorder="1" applyAlignment="1" applyProtection="1">
      <alignment horizontal="center"/>
      <protection locked="0"/>
    </xf>
    <xf numFmtId="0" fontId="7" fillId="36" borderId="118" xfId="139" applyFill="1" applyBorder="1" applyAlignment="1" applyProtection="1">
      <protection locked="0"/>
    </xf>
    <xf numFmtId="44" fontId="7" fillId="37" borderId="130" xfId="139" applyNumberFormat="1" applyFill="1" applyBorder="1" applyAlignment="1" applyProtection="1"/>
    <xf numFmtId="0" fontId="109" fillId="56" borderId="117" xfId="141" applyFont="1" applyFill="1" applyBorder="1" applyAlignment="1">
      <alignment vertical="center" wrapText="1"/>
    </xf>
    <xf numFmtId="0" fontId="109" fillId="56" borderId="117" xfId="141" applyFont="1" applyFill="1" applyBorder="1" applyAlignment="1">
      <alignment horizontal="centerContinuous" vertical="center"/>
    </xf>
    <xf numFmtId="0" fontId="109" fillId="56" borderId="117" xfId="141" applyFont="1" applyFill="1" applyBorder="1" applyAlignment="1">
      <alignment vertical="center"/>
    </xf>
    <xf numFmtId="167" fontId="7" fillId="36" borderId="118" xfId="133" applyNumberFormat="1" applyFont="1" applyFill="1" applyBorder="1" applyAlignment="1" applyProtection="1">
      <alignment vertical="center"/>
      <protection locked="0"/>
    </xf>
    <xf numFmtId="0" fontId="7" fillId="0" borderId="116" xfId="141" applyFont="1" applyBorder="1" applyAlignment="1">
      <alignment vertical="center" wrapText="1"/>
    </xf>
    <xf numFmtId="167" fontId="7" fillId="37" borderId="118" xfId="133" applyNumberFormat="1" applyFont="1" applyFill="1" applyBorder="1" applyAlignment="1" applyProtection="1">
      <alignment vertical="center"/>
    </xf>
    <xf numFmtId="167" fontId="7" fillId="37" borderId="116" xfId="133" applyNumberFormat="1" applyFont="1" applyFill="1" applyBorder="1" applyAlignment="1" applyProtection="1">
      <alignment vertical="center"/>
    </xf>
    <xf numFmtId="0" fontId="34" fillId="0" borderId="126" xfId="0" applyFont="1" applyBorder="1" applyProtection="1">
      <protection locked="0"/>
    </xf>
    <xf numFmtId="0" fontId="7" fillId="0" borderId="126" xfId="81" applyBorder="1" applyProtection="1">
      <protection locked="0"/>
    </xf>
    <xf numFmtId="201" fontId="34" fillId="0" borderId="126" xfId="0" applyNumberFormat="1" applyFont="1" applyBorder="1" applyProtection="1">
      <protection locked="0"/>
    </xf>
    <xf numFmtId="0" fontId="0" fillId="37" borderId="126" xfId="0" applyFill="1" applyBorder="1" applyProtection="1">
      <protection locked="0"/>
    </xf>
    <xf numFmtId="0" fontId="127" fillId="37" borderId="126" xfId="0" quotePrefix="1" applyFont="1" applyFill="1" applyBorder="1" applyProtection="1">
      <protection locked="0"/>
    </xf>
    <xf numFmtId="0" fontId="1" fillId="0" borderId="0" xfId="362" applyFont="1"/>
    <xf numFmtId="0" fontId="1" fillId="0" borderId="14" xfId="362" applyFont="1" applyBorder="1"/>
    <xf numFmtId="0" fontId="1" fillId="0" borderId="16" xfId="362" applyFont="1" applyBorder="1" applyAlignment="1">
      <alignment wrapText="1"/>
    </xf>
    <xf numFmtId="0" fontId="1" fillId="0" borderId="27" xfId="362" applyFont="1" applyBorder="1" applyAlignment="1">
      <alignment horizontal="center"/>
    </xf>
    <xf numFmtId="14" fontId="1" fillId="0" borderId="25" xfId="362" applyNumberFormat="1" applyFont="1" applyBorder="1" applyAlignment="1">
      <alignment horizontal="left"/>
    </xf>
    <xf numFmtId="166" fontId="7" fillId="0" borderId="0" xfId="34" applyNumberFormat="1" applyFont="1"/>
  </cellXfs>
  <cellStyles count="657">
    <cellStyle name="20% - Accent1" xfId="1" builtinId="30" customBuiltin="1"/>
    <cellStyle name="20% - Accent1 2" xfId="142" xr:uid="{00000000-0005-0000-0000-000001000000}"/>
    <cellStyle name="20% - Accent1 2 2" xfId="143" xr:uid="{00000000-0005-0000-0000-000002000000}"/>
    <cellStyle name="20% - Accent1 3" xfId="144" xr:uid="{00000000-0005-0000-0000-000003000000}"/>
    <cellStyle name="20% - Accent2" xfId="2" builtinId="34" customBuiltin="1"/>
    <cellStyle name="20% - Accent2 2" xfId="145" xr:uid="{00000000-0005-0000-0000-000005000000}"/>
    <cellStyle name="20% - Accent2 2 2" xfId="146" xr:uid="{00000000-0005-0000-0000-000006000000}"/>
    <cellStyle name="20% - Accent2 3" xfId="147" xr:uid="{00000000-0005-0000-0000-000007000000}"/>
    <cellStyle name="20% - Accent3" xfId="3" builtinId="38" customBuiltin="1"/>
    <cellStyle name="20% - Accent3 2" xfId="148" xr:uid="{00000000-0005-0000-0000-000009000000}"/>
    <cellStyle name="20% - Accent3 2 2" xfId="149" xr:uid="{00000000-0005-0000-0000-00000A000000}"/>
    <cellStyle name="20% - Accent3 3" xfId="150" xr:uid="{00000000-0005-0000-0000-00000B000000}"/>
    <cellStyle name="20% - Accent4" xfId="4" builtinId="42" customBuiltin="1"/>
    <cellStyle name="20% - Accent4 2" xfId="151" xr:uid="{00000000-0005-0000-0000-00000D000000}"/>
    <cellStyle name="20% - Accent4 2 2" xfId="152" xr:uid="{00000000-0005-0000-0000-00000E000000}"/>
    <cellStyle name="20% - Accent4 3" xfId="153" xr:uid="{00000000-0005-0000-0000-00000F000000}"/>
    <cellStyle name="20% - Accent5" xfId="5" builtinId="46" customBuiltin="1"/>
    <cellStyle name="20% - Accent5 2" xfId="154" xr:uid="{00000000-0005-0000-0000-000011000000}"/>
    <cellStyle name="20% - Accent5 2 2" xfId="155" xr:uid="{00000000-0005-0000-0000-000012000000}"/>
    <cellStyle name="20% - Accent6" xfId="6" builtinId="50" customBuiltin="1"/>
    <cellStyle name="20% - Accent6 2" xfId="156" xr:uid="{00000000-0005-0000-0000-000014000000}"/>
    <cellStyle name="20% - Accent6 2 2" xfId="157" xr:uid="{00000000-0005-0000-0000-000015000000}"/>
    <cellStyle name="20% - Accent6 3" xfId="158" xr:uid="{00000000-0005-0000-0000-000016000000}"/>
    <cellStyle name="40% - Accent1" xfId="7" builtinId="31" customBuiltin="1"/>
    <cellStyle name="40% - Accent1 2" xfId="159" xr:uid="{00000000-0005-0000-0000-000018000000}"/>
    <cellStyle name="40% - Accent1 2 2" xfId="160" xr:uid="{00000000-0005-0000-0000-000019000000}"/>
    <cellStyle name="40% - Accent1 3" xfId="161" xr:uid="{00000000-0005-0000-0000-00001A000000}"/>
    <cellStyle name="40% - Accent2" xfId="8" builtinId="35" customBuiltin="1"/>
    <cellStyle name="40% - Accent2 2" xfId="162" xr:uid="{00000000-0005-0000-0000-00001C000000}"/>
    <cellStyle name="40% - Accent2 2 2" xfId="163" xr:uid="{00000000-0005-0000-0000-00001D000000}"/>
    <cellStyle name="40% - Accent3" xfId="9" builtinId="39" customBuiltin="1"/>
    <cellStyle name="40% - Accent3 2" xfId="164" xr:uid="{00000000-0005-0000-0000-00001F000000}"/>
    <cellStyle name="40% - Accent3 2 2" xfId="165" xr:uid="{00000000-0005-0000-0000-000020000000}"/>
    <cellStyle name="40% - Accent3 3" xfId="166" xr:uid="{00000000-0005-0000-0000-000021000000}"/>
    <cellStyle name="40% - Accent4" xfId="10" builtinId="43" customBuiltin="1"/>
    <cellStyle name="40% - Accent4 2" xfId="167" xr:uid="{00000000-0005-0000-0000-000023000000}"/>
    <cellStyle name="40% - Accent4 2 2" xfId="168" xr:uid="{00000000-0005-0000-0000-000024000000}"/>
    <cellStyle name="40% - Accent4 3" xfId="169" xr:uid="{00000000-0005-0000-0000-000025000000}"/>
    <cellStyle name="40% - Accent5" xfId="11" builtinId="47" customBuiltin="1"/>
    <cellStyle name="40% - Accent5 2" xfId="170" xr:uid="{00000000-0005-0000-0000-000027000000}"/>
    <cellStyle name="40% - Accent5 2 2" xfId="171" xr:uid="{00000000-0005-0000-0000-000028000000}"/>
    <cellStyle name="40% - Accent5 3" xfId="172" xr:uid="{00000000-0005-0000-0000-000029000000}"/>
    <cellStyle name="40% - Accent6" xfId="12" builtinId="51" customBuiltin="1"/>
    <cellStyle name="40% - Accent6 2" xfId="173" xr:uid="{00000000-0005-0000-0000-00002B000000}"/>
    <cellStyle name="40% - Accent6 2 2" xfId="174" xr:uid="{00000000-0005-0000-0000-00002C000000}"/>
    <cellStyle name="40% - Accent6 3" xfId="175" xr:uid="{00000000-0005-0000-0000-00002D000000}"/>
    <cellStyle name="60% - Accent1" xfId="13" builtinId="32" customBuiltin="1"/>
    <cellStyle name="60% - Accent1 2" xfId="176" xr:uid="{00000000-0005-0000-0000-00002F000000}"/>
    <cellStyle name="60% - Accent1 3" xfId="177" xr:uid="{00000000-0005-0000-0000-000030000000}"/>
    <cellStyle name="60% - Accent2" xfId="14" builtinId="36" customBuiltin="1"/>
    <cellStyle name="60% - Accent2 2" xfId="178" xr:uid="{00000000-0005-0000-0000-000032000000}"/>
    <cellStyle name="60% - Accent2 3" xfId="179" xr:uid="{00000000-0005-0000-0000-000033000000}"/>
    <cellStyle name="60% - Accent3" xfId="15" builtinId="40" customBuiltin="1"/>
    <cellStyle name="60% - Accent3 2" xfId="180" xr:uid="{00000000-0005-0000-0000-000035000000}"/>
    <cellStyle name="60% - Accent3 3" xfId="181" xr:uid="{00000000-0005-0000-0000-000036000000}"/>
    <cellStyle name="60% - Accent4" xfId="16" builtinId="44" customBuiltin="1"/>
    <cellStyle name="60% - Accent4 2" xfId="182" xr:uid="{00000000-0005-0000-0000-000038000000}"/>
    <cellStyle name="60% - Accent4 3" xfId="183" xr:uid="{00000000-0005-0000-0000-000039000000}"/>
    <cellStyle name="60% - Accent5" xfId="17" builtinId="48" customBuiltin="1"/>
    <cellStyle name="60% - Accent5 2" xfId="184" xr:uid="{00000000-0005-0000-0000-00003B000000}"/>
    <cellStyle name="60% - Accent5 3" xfId="185" xr:uid="{00000000-0005-0000-0000-00003C000000}"/>
    <cellStyle name="60% - Accent6" xfId="18" builtinId="52" customBuiltin="1"/>
    <cellStyle name="60% - Accent6 2" xfId="186" xr:uid="{00000000-0005-0000-0000-00003E000000}"/>
    <cellStyle name="60% - Accent6 3" xfId="187" xr:uid="{00000000-0005-0000-0000-00003F000000}"/>
    <cellStyle name="Accent1" xfId="19" builtinId="29" customBuiltin="1"/>
    <cellStyle name="Accent1 2" xfId="188" xr:uid="{00000000-0005-0000-0000-000041000000}"/>
    <cellStyle name="Accent1 3" xfId="189" xr:uid="{00000000-0005-0000-0000-000042000000}"/>
    <cellStyle name="Accent2" xfId="20" builtinId="33" customBuiltin="1"/>
    <cellStyle name="Accent2 2" xfId="190" xr:uid="{00000000-0005-0000-0000-000044000000}"/>
    <cellStyle name="Accent2 3" xfId="191" xr:uid="{00000000-0005-0000-0000-000045000000}"/>
    <cellStyle name="Accent3" xfId="21" builtinId="37" customBuiltin="1"/>
    <cellStyle name="Accent3 2" xfId="192" xr:uid="{00000000-0005-0000-0000-000047000000}"/>
    <cellStyle name="Accent3 3" xfId="193" xr:uid="{00000000-0005-0000-0000-000048000000}"/>
    <cellStyle name="Accent4" xfId="22" builtinId="41" customBuiltin="1"/>
    <cellStyle name="Accent4 2" xfId="194" xr:uid="{00000000-0005-0000-0000-00004A000000}"/>
    <cellStyle name="Accent4 3" xfId="195" xr:uid="{00000000-0005-0000-0000-00004B000000}"/>
    <cellStyle name="Accent5" xfId="23" builtinId="45" customBuiltin="1"/>
    <cellStyle name="Accent5 2" xfId="196" xr:uid="{00000000-0005-0000-0000-00004D000000}"/>
    <cellStyle name="Accent6" xfId="24" builtinId="49" customBuiltin="1"/>
    <cellStyle name="Accent6 2" xfId="197" xr:uid="{00000000-0005-0000-0000-00004F000000}"/>
    <cellStyle name="Accent6 3" xfId="198" xr:uid="{00000000-0005-0000-0000-000050000000}"/>
    <cellStyle name="arrow" xfId="25" xr:uid="{00000000-0005-0000-0000-000051000000}"/>
    <cellStyle name="Bad" xfId="26" builtinId="27" customBuiltin="1"/>
    <cellStyle name="Bad 2" xfId="199" xr:uid="{00000000-0005-0000-0000-000053000000}"/>
    <cellStyle name="Bad 3" xfId="200"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1" xr:uid="{00000000-0005-0000-0000-000059000000}"/>
    <cellStyle name="Bottom single border" xfId="202" xr:uid="{00000000-0005-0000-0000-00005A000000}"/>
    <cellStyle name="Bottom single border 2" xfId="203" xr:uid="{00000000-0005-0000-0000-00005B000000}"/>
    <cellStyle name="Bottom single border 2 2" xfId="204" xr:uid="{00000000-0005-0000-0000-00005C000000}"/>
    <cellStyle name="Bottom single border 3" xfId="205" xr:uid="{00000000-0005-0000-0000-00005D000000}"/>
    <cellStyle name="Bottom single border 3 2" xfId="206" xr:uid="{00000000-0005-0000-0000-00005E000000}"/>
    <cellStyle name="Bottom single border 4" xfId="207" xr:uid="{00000000-0005-0000-0000-00005F000000}"/>
    <cellStyle name="Bottom single border 4 2" xfId="208" xr:uid="{00000000-0005-0000-0000-000060000000}"/>
    <cellStyle name="Bottom single border 5" xfId="209" xr:uid="{00000000-0005-0000-0000-000061000000}"/>
    <cellStyle name="Calc Currency (0)" xfId="31" xr:uid="{00000000-0005-0000-0000-000062000000}"/>
    <cellStyle name="Calculation" xfId="32" builtinId="22" customBuiltin="1"/>
    <cellStyle name="Calculation 2" xfId="210" xr:uid="{00000000-0005-0000-0000-000064000000}"/>
    <cellStyle name="Calculation 2 2" xfId="211" xr:uid="{00000000-0005-0000-0000-000065000000}"/>
    <cellStyle name="Calculation 2 2 2" xfId="212" xr:uid="{00000000-0005-0000-0000-000066000000}"/>
    <cellStyle name="Calculation 2 3" xfId="213" xr:uid="{00000000-0005-0000-0000-000067000000}"/>
    <cellStyle name="Calculation 2 3 2" xfId="214" xr:uid="{00000000-0005-0000-0000-000068000000}"/>
    <cellStyle name="Calculation 2 4" xfId="215" xr:uid="{00000000-0005-0000-0000-000069000000}"/>
    <cellStyle name="Calculation 3" xfId="216" xr:uid="{00000000-0005-0000-0000-00006A000000}"/>
    <cellStyle name="Calculation 3 2" xfId="217" xr:uid="{00000000-0005-0000-0000-00006B000000}"/>
    <cellStyle name="Calculation 4" xfId="218" xr:uid="{00000000-0005-0000-0000-00006C000000}"/>
    <cellStyle name="Check Cell" xfId="33" builtinId="23" customBuiltin="1"/>
    <cellStyle name="Check Cell 2" xfId="219" xr:uid="{00000000-0005-0000-0000-00006E000000}"/>
    <cellStyle name="Comma" xfId="34" builtinId="3"/>
    <cellStyle name="Comma  - Style1" xfId="220" xr:uid="{00000000-0005-0000-0000-000070000000}"/>
    <cellStyle name="Comma  - Style2" xfId="221" xr:uid="{00000000-0005-0000-0000-000071000000}"/>
    <cellStyle name="Comma  - Style3" xfId="222" xr:uid="{00000000-0005-0000-0000-000072000000}"/>
    <cellStyle name="Comma  - Style4" xfId="223" xr:uid="{00000000-0005-0000-0000-000073000000}"/>
    <cellStyle name="Comma  - Style5" xfId="224" xr:uid="{00000000-0005-0000-0000-000074000000}"/>
    <cellStyle name="Comma  - Style6" xfId="225" xr:uid="{00000000-0005-0000-0000-000075000000}"/>
    <cellStyle name="Comma  - Style7" xfId="226" xr:uid="{00000000-0005-0000-0000-000076000000}"/>
    <cellStyle name="Comma  - Style8" xfId="227" xr:uid="{00000000-0005-0000-0000-000077000000}"/>
    <cellStyle name="Comma [2]" xfId="228" xr:uid="{00000000-0005-0000-0000-000078000000}"/>
    <cellStyle name="Comma 10" xfId="126" xr:uid="{00000000-0005-0000-0000-000079000000}"/>
    <cellStyle name="Comma 11" xfId="229" xr:uid="{00000000-0005-0000-0000-00007A000000}"/>
    <cellStyle name="Comma 11 2" xfId="545" xr:uid="{00000000-0005-0000-0000-00007B000000}"/>
    <cellStyle name="Comma 12" xfId="230" xr:uid="{00000000-0005-0000-0000-00007C000000}"/>
    <cellStyle name="Comma 12 2" xfId="546" xr:uid="{00000000-0005-0000-0000-00007D000000}"/>
    <cellStyle name="Comma 13" xfId="231" xr:uid="{00000000-0005-0000-0000-00007E000000}"/>
    <cellStyle name="Comma 13 2" xfId="547" xr:uid="{00000000-0005-0000-0000-00007F000000}"/>
    <cellStyle name="Comma 14" xfId="232" xr:uid="{00000000-0005-0000-0000-000080000000}"/>
    <cellStyle name="Comma 14 2" xfId="548" xr:uid="{00000000-0005-0000-0000-000081000000}"/>
    <cellStyle name="Comma 15" xfId="233" xr:uid="{00000000-0005-0000-0000-000082000000}"/>
    <cellStyle name="Comma 16" xfId="234" xr:uid="{00000000-0005-0000-0000-000083000000}"/>
    <cellStyle name="Comma 17" xfId="235" xr:uid="{00000000-0005-0000-0000-000084000000}"/>
    <cellStyle name="Comma 18" xfId="236" xr:uid="{00000000-0005-0000-0000-000085000000}"/>
    <cellStyle name="Comma 18 2" xfId="549" xr:uid="{00000000-0005-0000-0000-000086000000}"/>
    <cellStyle name="Comma 19" xfId="237" xr:uid="{00000000-0005-0000-0000-000087000000}"/>
    <cellStyle name="Comma 19 2" xfId="238" xr:uid="{00000000-0005-0000-0000-000088000000}"/>
    <cellStyle name="Comma 19 2 2" xfId="551" xr:uid="{00000000-0005-0000-0000-000089000000}"/>
    <cellStyle name="Comma 19 3" xfId="239" xr:uid="{00000000-0005-0000-0000-00008A000000}"/>
    <cellStyle name="Comma 19 3 2" xfId="552" xr:uid="{00000000-0005-0000-0000-00008B000000}"/>
    <cellStyle name="Comma 19 4" xfId="240" xr:uid="{00000000-0005-0000-0000-00008C000000}"/>
    <cellStyle name="Comma 19 4 2" xfId="553" xr:uid="{00000000-0005-0000-0000-00008D000000}"/>
    <cellStyle name="Comma 19 5" xfId="550" xr:uid="{00000000-0005-0000-0000-00008E000000}"/>
    <cellStyle name="Comma 2" xfId="35" xr:uid="{00000000-0005-0000-0000-00008F000000}"/>
    <cellStyle name="Comma 2 2" xfId="241" xr:uid="{00000000-0005-0000-0000-000090000000}"/>
    <cellStyle name="Comma 2 2 2" xfId="242" xr:uid="{00000000-0005-0000-0000-000091000000}"/>
    <cellStyle name="Comma 2 2 3" xfId="243" xr:uid="{00000000-0005-0000-0000-000092000000}"/>
    <cellStyle name="Comma 2 2 3 2" xfId="555" xr:uid="{00000000-0005-0000-0000-000093000000}"/>
    <cellStyle name="Comma 2 2 4" xfId="554" xr:uid="{00000000-0005-0000-0000-000094000000}"/>
    <cellStyle name="Comma 2 3" xfId="244" xr:uid="{00000000-0005-0000-0000-000095000000}"/>
    <cellStyle name="Comma 2 3 2" xfId="245" xr:uid="{00000000-0005-0000-0000-000096000000}"/>
    <cellStyle name="Comma 2 3 3" xfId="246" xr:uid="{00000000-0005-0000-0000-000097000000}"/>
    <cellStyle name="Comma 2 4" xfId="247" xr:uid="{00000000-0005-0000-0000-000098000000}"/>
    <cellStyle name="Comma 2 5" xfId="248" xr:uid="{00000000-0005-0000-0000-000099000000}"/>
    <cellStyle name="Comma 20" xfId="654" xr:uid="{00000000-0005-0000-0000-00009A000000}"/>
    <cellStyle name="Comma 3" xfId="36" xr:uid="{00000000-0005-0000-0000-00009B000000}"/>
    <cellStyle name="Comma 3 2" xfId="120" xr:uid="{00000000-0005-0000-0000-00009C000000}"/>
    <cellStyle name="Comma 3 2 2" xfId="127" xr:uid="{00000000-0005-0000-0000-00009D000000}"/>
    <cellStyle name="Comma 3 2 2 2" xfId="249" xr:uid="{00000000-0005-0000-0000-00009E000000}"/>
    <cellStyle name="Comma 3 2 2 2 2" xfId="556" xr:uid="{00000000-0005-0000-0000-00009F000000}"/>
    <cellStyle name="Comma 3 2 2 3" xfId="535" xr:uid="{00000000-0005-0000-0000-0000A0000000}"/>
    <cellStyle name="Comma 3 2 3" xfId="250" xr:uid="{00000000-0005-0000-0000-0000A1000000}"/>
    <cellStyle name="Comma 3 2 3 2" xfId="557" xr:uid="{00000000-0005-0000-0000-0000A2000000}"/>
    <cellStyle name="Comma 3 3" xfId="128" xr:uid="{00000000-0005-0000-0000-0000A3000000}"/>
    <cellStyle name="Comma 4" xfId="129" xr:uid="{00000000-0005-0000-0000-0000A4000000}"/>
    <cellStyle name="Comma 4 2" xfId="251" xr:uid="{00000000-0005-0000-0000-0000A5000000}"/>
    <cellStyle name="Comma 4 3" xfId="252" xr:uid="{00000000-0005-0000-0000-0000A6000000}"/>
    <cellStyle name="Comma 4 3 2" xfId="558" xr:uid="{00000000-0005-0000-0000-0000A7000000}"/>
    <cellStyle name="Comma 5" xfId="130" xr:uid="{00000000-0005-0000-0000-0000A8000000}"/>
    <cellStyle name="Comma 6" xfId="253" xr:uid="{00000000-0005-0000-0000-0000A9000000}"/>
    <cellStyle name="Comma 7" xfId="254" xr:uid="{00000000-0005-0000-0000-0000AA000000}"/>
    <cellStyle name="Comma 7 2" xfId="255" xr:uid="{00000000-0005-0000-0000-0000AB000000}"/>
    <cellStyle name="Comma 7 2 2" xfId="560" xr:uid="{00000000-0005-0000-0000-0000AC000000}"/>
    <cellStyle name="Comma 7 3" xfId="559" xr:uid="{00000000-0005-0000-0000-0000AD000000}"/>
    <cellStyle name="Comma 8" xfId="256" xr:uid="{00000000-0005-0000-0000-0000AE000000}"/>
    <cellStyle name="Comma 8 2" xfId="257" xr:uid="{00000000-0005-0000-0000-0000AF000000}"/>
    <cellStyle name="Comma 8 2 2" xfId="562" xr:uid="{00000000-0005-0000-0000-0000B0000000}"/>
    <cellStyle name="Comma 8 3" xfId="561" xr:uid="{00000000-0005-0000-0000-0000B1000000}"/>
    <cellStyle name="Comma 9" xfId="258" xr:uid="{00000000-0005-0000-0000-0000B2000000}"/>
    <cellStyle name="Comma 9 2" xfId="259" xr:uid="{00000000-0005-0000-0000-0000B3000000}"/>
    <cellStyle name="Comma 9 2 2" xfId="564" xr:uid="{00000000-0005-0000-0000-0000B4000000}"/>
    <cellStyle name="Comma 9 3" xfId="563" xr:uid="{00000000-0005-0000-0000-0000B5000000}"/>
    <cellStyle name="Comma_Sample Quarterly Report-SCO (5)" xfId="37" xr:uid="{00000000-0005-0000-0000-0000B6000000}"/>
    <cellStyle name="Comma0" xfId="38" xr:uid="{00000000-0005-0000-0000-0000B7000000}"/>
    <cellStyle name="Comma0 2" xfId="260" xr:uid="{00000000-0005-0000-0000-0000B8000000}"/>
    <cellStyle name="Comma1 - Style1" xfId="261" xr:uid="{00000000-0005-0000-0000-0000B9000000}"/>
    <cellStyle name="Copied" xfId="39" xr:uid="{00000000-0005-0000-0000-0000BA000000}"/>
    <cellStyle name="Curren - Style2" xfId="262" xr:uid="{00000000-0005-0000-0000-0000BB000000}"/>
    <cellStyle name="Currency" xfId="40" builtinId="4"/>
    <cellStyle name="Currency 10" xfId="263" xr:uid="{00000000-0005-0000-0000-0000BD000000}"/>
    <cellStyle name="Currency 10 2" xfId="264" xr:uid="{00000000-0005-0000-0000-0000BE000000}"/>
    <cellStyle name="Currency 10 2 2" xfId="566" xr:uid="{00000000-0005-0000-0000-0000BF000000}"/>
    <cellStyle name="Currency 10 3" xfId="565" xr:uid="{00000000-0005-0000-0000-0000C0000000}"/>
    <cellStyle name="Currency 11" xfId="265" xr:uid="{00000000-0005-0000-0000-0000C1000000}"/>
    <cellStyle name="Currency 11 2" xfId="266" xr:uid="{00000000-0005-0000-0000-0000C2000000}"/>
    <cellStyle name="Currency 11 2 2" xfId="568" xr:uid="{00000000-0005-0000-0000-0000C3000000}"/>
    <cellStyle name="Currency 11 3" xfId="567" xr:uid="{00000000-0005-0000-0000-0000C4000000}"/>
    <cellStyle name="Currency 12" xfId="267" xr:uid="{00000000-0005-0000-0000-0000C5000000}"/>
    <cellStyle name="Currency 12 2" xfId="569" xr:uid="{00000000-0005-0000-0000-0000C6000000}"/>
    <cellStyle name="Currency 13" xfId="268" xr:uid="{00000000-0005-0000-0000-0000C7000000}"/>
    <cellStyle name="Currency 13 2" xfId="570" xr:uid="{00000000-0005-0000-0000-0000C8000000}"/>
    <cellStyle name="Currency 14" xfId="269" xr:uid="{00000000-0005-0000-0000-0000C9000000}"/>
    <cellStyle name="Currency 14 2" xfId="571" xr:uid="{00000000-0005-0000-0000-0000CA000000}"/>
    <cellStyle name="Currency 2" xfId="41" xr:uid="{00000000-0005-0000-0000-0000CB000000}"/>
    <cellStyle name="Currency 2 2" xfId="270" xr:uid="{00000000-0005-0000-0000-0000CC000000}"/>
    <cellStyle name="Currency 2 3" xfId="271" xr:uid="{00000000-0005-0000-0000-0000CD000000}"/>
    <cellStyle name="Currency 3" xfId="42" xr:uid="{00000000-0005-0000-0000-0000CE000000}"/>
    <cellStyle name="Currency 3 2" xfId="131" xr:uid="{00000000-0005-0000-0000-0000CF000000}"/>
    <cellStyle name="Currency 3 2 2" xfId="132" xr:uid="{00000000-0005-0000-0000-0000D0000000}"/>
    <cellStyle name="Currency 3 2 2 2" xfId="272" xr:uid="{00000000-0005-0000-0000-0000D1000000}"/>
    <cellStyle name="Currency 3 2 2 2 2" xfId="572" xr:uid="{00000000-0005-0000-0000-0000D2000000}"/>
    <cellStyle name="Currency 3 2 2 3" xfId="537" xr:uid="{00000000-0005-0000-0000-0000D3000000}"/>
    <cellStyle name="Currency 3 2 3" xfId="273" xr:uid="{00000000-0005-0000-0000-0000D4000000}"/>
    <cellStyle name="Currency 3 2 3 2" xfId="573" xr:uid="{00000000-0005-0000-0000-0000D5000000}"/>
    <cellStyle name="Currency 3 2 4" xfId="536" xr:uid="{00000000-0005-0000-0000-0000D6000000}"/>
    <cellStyle name="Currency 3 3" xfId="274" xr:uid="{00000000-0005-0000-0000-0000D7000000}"/>
    <cellStyle name="Currency 4" xfId="43" xr:uid="{00000000-0005-0000-0000-0000D8000000}"/>
    <cellStyle name="Currency 4 2" xfId="275" xr:uid="{00000000-0005-0000-0000-0000D9000000}"/>
    <cellStyle name="Currency 5" xfId="44" xr:uid="{00000000-0005-0000-0000-0000DA000000}"/>
    <cellStyle name="Currency 6" xfId="133" xr:uid="{00000000-0005-0000-0000-0000DB000000}"/>
    <cellStyle name="Currency 6 2" xfId="276" xr:uid="{00000000-0005-0000-0000-0000DC000000}"/>
    <cellStyle name="Currency 6 2 2" xfId="574" xr:uid="{00000000-0005-0000-0000-0000DD000000}"/>
    <cellStyle name="Currency 7" xfId="277" xr:uid="{00000000-0005-0000-0000-0000DE000000}"/>
    <cellStyle name="Currency 8" xfId="278" xr:uid="{00000000-0005-0000-0000-0000DF000000}"/>
    <cellStyle name="Currency 8 2" xfId="279" xr:uid="{00000000-0005-0000-0000-0000E0000000}"/>
    <cellStyle name="Currency 8 2 2" xfId="576" xr:uid="{00000000-0005-0000-0000-0000E1000000}"/>
    <cellStyle name="Currency 8 3" xfId="575" xr:uid="{00000000-0005-0000-0000-0000E2000000}"/>
    <cellStyle name="Currency 9" xfId="280" xr:uid="{00000000-0005-0000-0000-0000E3000000}"/>
    <cellStyle name="Currency 9 2" xfId="281" xr:uid="{00000000-0005-0000-0000-0000E4000000}"/>
    <cellStyle name="Currency 9 2 2" xfId="578" xr:uid="{00000000-0005-0000-0000-0000E5000000}"/>
    <cellStyle name="Currency 9 3" xfId="577" xr:uid="{00000000-0005-0000-0000-0000E6000000}"/>
    <cellStyle name="Currency_Sample Quarterly Report-SCO (5)" xfId="45" xr:uid="{00000000-0005-0000-0000-0000E7000000}"/>
    <cellStyle name="Currency0" xfId="46" xr:uid="{00000000-0005-0000-0000-0000E8000000}"/>
    <cellStyle name="Currency0 2" xfId="282" xr:uid="{00000000-0005-0000-0000-0000E9000000}"/>
    <cellStyle name="currency2" xfId="47" xr:uid="{00000000-0005-0000-0000-0000EA000000}"/>
    <cellStyle name="date" xfId="48" xr:uid="{00000000-0005-0000-0000-0000EB000000}"/>
    <cellStyle name="date 2" xfId="283"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4" xr:uid="{00000000-0005-0000-0000-0000F8000000}"/>
    <cellStyle name="DecimalsNone" xfId="285" xr:uid="{00000000-0005-0000-0000-0000F9000000}"/>
    <cellStyle name="DecimalsTwo" xfId="286" xr:uid="{00000000-0005-0000-0000-0000FA000000}"/>
    <cellStyle name="Entered" xfId="60" xr:uid="{00000000-0005-0000-0000-0000FB000000}"/>
    <cellStyle name="Explanatory Text" xfId="61" builtinId="53" customBuiltin="1"/>
    <cellStyle name="Explanatory Text 2" xfId="287" xr:uid="{00000000-0005-0000-0000-0000FD000000}"/>
    <cellStyle name="F2" xfId="288" xr:uid="{00000000-0005-0000-0000-0000FE000000}"/>
    <cellStyle name="F3" xfId="289" xr:uid="{00000000-0005-0000-0000-0000FF000000}"/>
    <cellStyle name="F4" xfId="290" xr:uid="{00000000-0005-0000-0000-000000010000}"/>
    <cellStyle name="F5" xfId="291" xr:uid="{00000000-0005-0000-0000-000001010000}"/>
    <cellStyle name="F6" xfId="292" xr:uid="{00000000-0005-0000-0000-000002010000}"/>
    <cellStyle name="F7" xfId="293" xr:uid="{00000000-0005-0000-0000-000003010000}"/>
    <cellStyle name="F8" xfId="294" xr:uid="{00000000-0005-0000-0000-000004010000}"/>
    <cellStyle name="Fixed" xfId="134" xr:uid="{00000000-0005-0000-0000-000005010000}"/>
    <cellStyle name="Fixed2 - Style2" xfId="295" xr:uid="{00000000-0005-0000-0000-000006010000}"/>
    <cellStyle name="Fixed4 - Style3" xfId="296" xr:uid="{00000000-0005-0000-0000-000007010000}"/>
    <cellStyle name="FRxAmtStyle" xfId="297" xr:uid="{00000000-0005-0000-0000-000008010000}"/>
    <cellStyle name="FRxAmtStyle 2" xfId="298" xr:uid="{00000000-0005-0000-0000-000009010000}"/>
    <cellStyle name="FRxAmtStyle 2 2" xfId="299" xr:uid="{00000000-0005-0000-0000-00000A010000}"/>
    <cellStyle name="FRxAmtStyle 3" xfId="300" xr:uid="{00000000-0005-0000-0000-00000B010000}"/>
    <cellStyle name="FRxAmtStyle 3 2" xfId="301" xr:uid="{00000000-0005-0000-0000-00000C010000}"/>
    <cellStyle name="FRxAmtStyle 3 2 2" xfId="302" xr:uid="{00000000-0005-0000-0000-00000D010000}"/>
    <cellStyle name="FRxAmtStyle 3 3" xfId="303" xr:uid="{00000000-0005-0000-0000-00000E010000}"/>
    <cellStyle name="FRxCurrStyle" xfId="304" xr:uid="{00000000-0005-0000-0000-00000F010000}"/>
    <cellStyle name="FRxCurrStyle 2" xfId="305" xr:uid="{00000000-0005-0000-0000-000010010000}"/>
    <cellStyle name="FRxCurrStyle 2 2" xfId="306" xr:uid="{00000000-0005-0000-0000-000011010000}"/>
    <cellStyle name="FRxCurrStyle 3" xfId="307" xr:uid="{00000000-0005-0000-0000-000012010000}"/>
    <cellStyle name="FRxCurrStyle 3 2" xfId="308" xr:uid="{00000000-0005-0000-0000-000013010000}"/>
    <cellStyle name="FRxCurrStyle 4" xfId="309" xr:uid="{00000000-0005-0000-0000-000014010000}"/>
    <cellStyle name="FRxPcntStyle" xfId="310" xr:uid="{00000000-0005-0000-0000-000015010000}"/>
    <cellStyle name="FRxPcntStyle 2" xfId="311" xr:uid="{00000000-0005-0000-0000-000016010000}"/>
    <cellStyle name="FRxPcntStyle 2 2" xfId="312" xr:uid="{00000000-0005-0000-0000-000017010000}"/>
    <cellStyle name="FRxPcntStyle 3" xfId="313" xr:uid="{00000000-0005-0000-0000-000018010000}"/>
    <cellStyle name="FRxPcntStyle 3 2" xfId="314" xr:uid="{00000000-0005-0000-0000-000019010000}"/>
    <cellStyle name="Good" xfId="62" builtinId="26" customBuiltin="1"/>
    <cellStyle name="Good 2" xfId="315" xr:uid="{00000000-0005-0000-0000-00001B010000}"/>
    <cellStyle name="Good 3" xfId="316" xr:uid="{00000000-0005-0000-0000-00001C010000}"/>
    <cellStyle name="greenl" xfId="63" xr:uid="{00000000-0005-0000-0000-00001D010000}"/>
    <cellStyle name="GreenLet" xfId="64" xr:uid="{00000000-0005-0000-0000-00001E010000}"/>
    <cellStyle name="Grey" xfId="317" xr:uid="{00000000-0005-0000-0000-00001F010000}"/>
    <cellStyle name="grnlet" xfId="65" xr:uid="{00000000-0005-0000-0000-000020010000}"/>
    <cellStyle name="Header1" xfId="66" xr:uid="{00000000-0005-0000-0000-000021010000}"/>
    <cellStyle name="Header1 2" xfId="318" xr:uid="{00000000-0005-0000-0000-000022010000}"/>
    <cellStyle name="Header1 2 2" xfId="534" xr:uid="{00000000-0005-0000-0000-000023010000}"/>
    <cellStyle name="Header1 3" xfId="638" xr:uid="{00000000-0005-0000-0000-000024010000}"/>
    <cellStyle name="Header2" xfId="67" xr:uid="{00000000-0005-0000-0000-000025010000}"/>
    <cellStyle name="Heading" xfId="319" xr:uid="{00000000-0005-0000-0000-000026010000}"/>
    <cellStyle name="Heading 1" xfId="68" builtinId="16" customBuiltin="1"/>
    <cellStyle name="Heading 1 2" xfId="320" xr:uid="{00000000-0005-0000-0000-000028010000}"/>
    <cellStyle name="Heading 1 3" xfId="321" xr:uid="{00000000-0005-0000-0000-000029010000}"/>
    <cellStyle name="Heading 2" xfId="69" builtinId="17" customBuiltin="1"/>
    <cellStyle name="Heading 2 2" xfId="322" xr:uid="{00000000-0005-0000-0000-00002B010000}"/>
    <cellStyle name="Heading 2 3" xfId="323" xr:uid="{00000000-0005-0000-0000-00002C010000}"/>
    <cellStyle name="Heading 3" xfId="70" builtinId="18" customBuiltin="1"/>
    <cellStyle name="Heading 3 2" xfId="121" xr:uid="{00000000-0005-0000-0000-00002E010000}"/>
    <cellStyle name="Heading 3 3" xfId="324" xr:uid="{00000000-0005-0000-0000-00002F010000}"/>
    <cellStyle name="Heading 4" xfId="71" builtinId="19" customBuiltin="1"/>
    <cellStyle name="Heading 4 2" xfId="325" xr:uid="{00000000-0005-0000-0000-000031010000}"/>
    <cellStyle name="Heading 4 3" xfId="326" xr:uid="{00000000-0005-0000-0000-000032010000}"/>
    <cellStyle name="Hyperlink 2" xfId="327" xr:uid="{00000000-0005-0000-0000-000033010000}"/>
    <cellStyle name="Input" xfId="72" builtinId="20" customBuiltin="1"/>
    <cellStyle name="Input [yellow]" xfId="328" xr:uid="{00000000-0005-0000-0000-000035010000}"/>
    <cellStyle name="Input [yellow] 2" xfId="329" xr:uid="{00000000-0005-0000-0000-000036010000}"/>
    <cellStyle name="Input [yellow] 3" xfId="330" xr:uid="{00000000-0005-0000-0000-000037010000}"/>
    <cellStyle name="Input 2" xfId="331" xr:uid="{00000000-0005-0000-0000-000038010000}"/>
    <cellStyle name="Input 2 2" xfId="332" xr:uid="{00000000-0005-0000-0000-000039010000}"/>
    <cellStyle name="Input 2 2 2" xfId="333" xr:uid="{00000000-0005-0000-0000-00003A010000}"/>
    <cellStyle name="Input 2 3" xfId="334" xr:uid="{00000000-0005-0000-0000-00003B010000}"/>
    <cellStyle name="Input 2 3 2" xfId="335" xr:uid="{00000000-0005-0000-0000-00003C010000}"/>
    <cellStyle name="Input 2 4" xfId="336" xr:uid="{00000000-0005-0000-0000-00003D010000}"/>
    <cellStyle name="Input 3" xfId="337" xr:uid="{00000000-0005-0000-0000-00003E010000}"/>
    <cellStyle name="Input 3 2" xfId="338" xr:uid="{00000000-0005-0000-0000-00003F010000}"/>
    <cellStyle name="Input 4" xfId="339" xr:uid="{00000000-0005-0000-0000-000040010000}"/>
    <cellStyle name="Left" xfId="73" xr:uid="{00000000-0005-0000-0000-000041010000}"/>
    <cellStyle name="Level 1" xfId="340" xr:uid="{00000000-0005-0000-0000-000042010000}"/>
    <cellStyle name="Level 2" xfId="341" xr:uid="{00000000-0005-0000-0000-000043010000}"/>
    <cellStyle name="Level 3" xfId="342" xr:uid="{00000000-0005-0000-0000-000044010000}"/>
    <cellStyle name="Linked Cell" xfId="74" builtinId="24" customBuiltin="1"/>
    <cellStyle name="Linked Cell 2" xfId="343" xr:uid="{00000000-0005-0000-0000-000046010000}"/>
    <cellStyle name="Linked Cell 3" xfId="344" xr:uid="{00000000-0005-0000-0000-000047010000}"/>
    <cellStyle name="Map Labels" xfId="75" xr:uid="{00000000-0005-0000-0000-000048010000}"/>
    <cellStyle name="Map Legend" xfId="76" xr:uid="{00000000-0005-0000-0000-000049010000}"/>
    <cellStyle name="Neutral" xfId="77" builtinId="28" customBuiltin="1"/>
    <cellStyle name="Neutral 2" xfId="345" xr:uid="{00000000-0005-0000-0000-00004B010000}"/>
    <cellStyle name="Neutral 3" xfId="346" xr:uid="{00000000-0005-0000-0000-00004C010000}"/>
    <cellStyle name="No Border" xfId="347" xr:uid="{00000000-0005-0000-0000-00004D010000}"/>
    <cellStyle name="Normal" xfId="0" builtinId="0"/>
    <cellStyle name="Normal - Style1" xfId="348" xr:uid="{00000000-0005-0000-0000-00004F010000}"/>
    <cellStyle name="Normal - Style2" xfId="349" xr:uid="{00000000-0005-0000-0000-000050010000}"/>
    <cellStyle name="Normal - Style3" xfId="350" xr:uid="{00000000-0005-0000-0000-000051010000}"/>
    <cellStyle name="Normal - Style4" xfId="351" xr:uid="{00000000-0005-0000-0000-000052010000}"/>
    <cellStyle name="Normal - Style5" xfId="352" xr:uid="{00000000-0005-0000-0000-000053010000}"/>
    <cellStyle name="Normal - Style6" xfId="353" xr:uid="{00000000-0005-0000-0000-000054010000}"/>
    <cellStyle name="Normal - Style7" xfId="354" xr:uid="{00000000-0005-0000-0000-000055010000}"/>
    <cellStyle name="Normal - Style8" xfId="355" xr:uid="{00000000-0005-0000-0000-000056010000}"/>
    <cellStyle name="Normal 10" xfId="356" xr:uid="{00000000-0005-0000-0000-000057010000}"/>
    <cellStyle name="Normal 10 2" xfId="357" xr:uid="{00000000-0005-0000-0000-000058010000}"/>
    <cellStyle name="Normal 10 3" xfId="358" xr:uid="{00000000-0005-0000-0000-000059010000}"/>
    <cellStyle name="Normal 10 4" xfId="359" xr:uid="{00000000-0005-0000-0000-00005A010000}"/>
    <cellStyle name="Normal 10 5" xfId="651" xr:uid="{00000000-0005-0000-0000-00005B010000}"/>
    <cellStyle name="Normal 11" xfId="360" xr:uid="{00000000-0005-0000-0000-00005C010000}"/>
    <cellStyle name="Normal 12" xfId="140" xr:uid="{00000000-0005-0000-0000-00005D010000}"/>
    <cellStyle name="Normal 12 2" xfId="361" xr:uid="{00000000-0005-0000-0000-00005E010000}"/>
    <cellStyle name="Normal 13" xfId="362" xr:uid="{00000000-0005-0000-0000-00005F010000}"/>
    <cellStyle name="Normal 14" xfId="363" xr:uid="{00000000-0005-0000-0000-000060010000}"/>
    <cellStyle name="Normal 14 2" xfId="364" xr:uid="{00000000-0005-0000-0000-000061010000}"/>
    <cellStyle name="Normal 14 2 2" xfId="589" xr:uid="{00000000-0005-0000-0000-000062010000}"/>
    <cellStyle name="Normal 14 3" xfId="588" xr:uid="{00000000-0005-0000-0000-000063010000}"/>
    <cellStyle name="Normal 15" xfId="365" xr:uid="{00000000-0005-0000-0000-000064010000}"/>
    <cellStyle name="Normal 16" xfId="366" xr:uid="{00000000-0005-0000-0000-000065010000}"/>
    <cellStyle name="Normal 17" xfId="367" xr:uid="{00000000-0005-0000-0000-000066010000}"/>
    <cellStyle name="Normal 17 2" xfId="590" xr:uid="{00000000-0005-0000-0000-000067010000}"/>
    <cellStyle name="Normal 18" xfId="368" xr:uid="{00000000-0005-0000-0000-000068010000}"/>
    <cellStyle name="Normal 18 2" xfId="369" xr:uid="{00000000-0005-0000-0000-000069010000}"/>
    <cellStyle name="Normal 18 2 2" xfId="592" xr:uid="{00000000-0005-0000-0000-00006A010000}"/>
    <cellStyle name="Normal 18 3" xfId="370" xr:uid="{00000000-0005-0000-0000-00006B010000}"/>
    <cellStyle name="Normal 18 3 2" xfId="593" xr:uid="{00000000-0005-0000-0000-00006C010000}"/>
    <cellStyle name="Normal 18 4" xfId="371" xr:uid="{00000000-0005-0000-0000-00006D010000}"/>
    <cellStyle name="Normal 18 4 2" xfId="594" xr:uid="{00000000-0005-0000-0000-00006E010000}"/>
    <cellStyle name="Normal 18 5" xfId="591" xr:uid="{00000000-0005-0000-0000-00006F010000}"/>
    <cellStyle name="Normal 19" xfId="372" xr:uid="{00000000-0005-0000-0000-000070010000}"/>
    <cellStyle name="Normal 2" xfId="78" xr:uid="{00000000-0005-0000-0000-000071010000}"/>
    <cellStyle name="Normal 2 2" xfId="122" xr:uid="{00000000-0005-0000-0000-000072010000}"/>
    <cellStyle name="Normal 2 2 2" xfId="373" xr:uid="{00000000-0005-0000-0000-000073010000}"/>
    <cellStyle name="Normal 2 2 3" xfId="374" xr:uid="{00000000-0005-0000-0000-000074010000}"/>
    <cellStyle name="Normal 2 2 3 2" xfId="595" xr:uid="{00000000-0005-0000-0000-000075010000}"/>
    <cellStyle name="Normal 2 2 4" xfId="375" xr:uid="{00000000-0005-0000-0000-000076010000}"/>
    <cellStyle name="Normal 2 2 4 2" xfId="376" xr:uid="{00000000-0005-0000-0000-000077010000}"/>
    <cellStyle name="Normal 2 2 4 2 2" xfId="597" xr:uid="{00000000-0005-0000-0000-000078010000}"/>
    <cellStyle name="Normal 2 2 4 3" xfId="377" xr:uid="{00000000-0005-0000-0000-000079010000}"/>
    <cellStyle name="Normal 2 2 4 3 2" xfId="598" xr:uid="{00000000-0005-0000-0000-00007A010000}"/>
    <cellStyle name="Normal 2 2 4 4" xfId="378" xr:uid="{00000000-0005-0000-0000-00007B010000}"/>
    <cellStyle name="Normal 2 2 4 4 2" xfId="599" xr:uid="{00000000-0005-0000-0000-00007C010000}"/>
    <cellStyle name="Normal 2 2 4 5" xfId="596" xr:uid="{00000000-0005-0000-0000-00007D010000}"/>
    <cellStyle name="Normal 2 3" xfId="379" xr:uid="{00000000-0005-0000-0000-00007E010000}"/>
    <cellStyle name="Normal 2 4" xfId="380" xr:uid="{00000000-0005-0000-0000-00007F010000}"/>
    <cellStyle name="Normal 2_PREV MCRMCD DX_04 23 12" xfId="381" xr:uid="{00000000-0005-0000-0000-000080010000}"/>
    <cellStyle name="Normal 20" xfId="382" xr:uid="{00000000-0005-0000-0000-000081010000}"/>
    <cellStyle name="Normal 20 2" xfId="600" xr:uid="{00000000-0005-0000-0000-000082010000}"/>
    <cellStyle name="Normal 21" xfId="383" xr:uid="{00000000-0005-0000-0000-000083010000}"/>
    <cellStyle name="Normal 21 2" xfId="601" xr:uid="{00000000-0005-0000-0000-000084010000}"/>
    <cellStyle name="Normal 22" xfId="529" xr:uid="{00000000-0005-0000-0000-000085010000}"/>
    <cellStyle name="Normal 23" xfId="533" xr:uid="{00000000-0005-0000-0000-000086010000}"/>
    <cellStyle name="Normal 24" xfId="607" xr:uid="{00000000-0005-0000-0000-000087010000}"/>
    <cellStyle name="Normal 25" xfId="115" xr:uid="{00000000-0005-0000-0000-000088010000}"/>
    <cellStyle name="Normal 26" xfId="629" xr:uid="{00000000-0005-0000-0000-000089010000}"/>
    <cellStyle name="Normal 27" xfId="642" xr:uid="{00000000-0005-0000-0000-00008A010000}"/>
    <cellStyle name="Normal 28" xfId="116" xr:uid="{00000000-0005-0000-0000-00008B010000}"/>
    <cellStyle name="Normal 29" xfId="652" xr:uid="{00000000-0005-0000-0000-00008C010000}"/>
    <cellStyle name="Normal 3" xfId="79" xr:uid="{00000000-0005-0000-0000-00008D010000}"/>
    <cellStyle name="Normal 3 2" xfId="123" xr:uid="{00000000-0005-0000-0000-00008E010000}"/>
    <cellStyle name="Normal 3 2 2" xfId="135" xr:uid="{00000000-0005-0000-0000-00008F010000}"/>
    <cellStyle name="Normal 3 2 2 2" xfId="384" xr:uid="{00000000-0005-0000-0000-000090010000}"/>
    <cellStyle name="Normal 3 2 2 2 2" xfId="602" xr:uid="{00000000-0005-0000-0000-000091010000}"/>
    <cellStyle name="Normal 3 2 2 3" xfId="538" xr:uid="{00000000-0005-0000-0000-000092010000}"/>
    <cellStyle name="Normal 3 2 3" xfId="385" xr:uid="{00000000-0005-0000-0000-000093010000}"/>
    <cellStyle name="Normal 3 2 3 2" xfId="603" xr:uid="{00000000-0005-0000-0000-000094010000}"/>
    <cellStyle name="Normal 3 3" xfId="136" xr:uid="{00000000-0005-0000-0000-000095010000}"/>
    <cellStyle name="Normal 3 3 2" xfId="386" xr:uid="{00000000-0005-0000-0000-000096010000}"/>
    <cellStyle name="Normal 30" xfId="653" xr:uid="{00000000-0005-0000-0000-000097010000}"/>
    <cellStyle name="Normal 32" xfId="656" xr:uid="{B469882A-141D-4BDF-BB62-447B5977DD6C}"/>
    <cellStyle name="Normal 4" xfId="80" xr:uid="{00000000-0005-0000-0000-000098010000}"/>
    <cellStyle name="Normal 4 2" xfId="387" xr:uid="{00000000-0005-0000-0000-000099010000}"/>
    <cellStyle name="Normal 4 3" xfId="388" xr:uid="{00000000-0005-0000-0000-00009A010000}"/>
    <cellStyle name="Normal 5" xfId="119" xr:uid="{00000000-0005-0000-0000-00009B010000}"/>
    <cellStyle name="Normal 5 2" xfId="137" xr:uid="{00000000-0005-0000-0000-00009C010000}"/>
    <cellStyle name="Normal 5 2 2" xfId="389" xr:uid="{00000000-0005-0000-0000-00009D010000}"/>
    <cellStyle name="Normal 5 2 2 2" xfId="604" xr:uid="{00000000-0005-0000-0000-00009E010000}"/>
    <cellStyle name="Normal 5 2 3" xfId="539" xr:uid="{00000000-0005-0000-0000-00009F010000}"/>
    <cellStyle name="Normal 5 3" xfId="390" xr:uid="{00000000-0005-0000-0000-0000A0010000}"/>
    <cellStyle name="Normal 5 3 2" xfId="605" xr:uid="{00000000-0005-0000-0000-0000A1010000}"/>
    <cellStyle name="Normal 6" xfId="138" xr:uid="{00000000-0005-0000-0000-0000A2010000}"/>
    <cellStyle name="Normal 6 2" xfId="391" xr:uid="{00000000-0005-0000-0000-0000A3010000}"/>
    <cellStyle name="Normal 7" xfId="139" xr:uid="{00000000-0005-0000-0000-0000A4010000}"/>
    <cellStyle name="Normal 7 2" xfId="392" xr:uid="{00000000-0005-0000-0000-0000A5010000}"/>
    <cellStyle name="Normal 8" xfId="393" xr:uid="{00000000-0005-0000-0000-0000A6010000}"/>
    <cellStyle name="Normal 9" xfId="394" xr:uid="{00000000-0005-0000-0000-0000A7010000}"/>
    <cellStyle name="Normal 9 2" xfId="395" xr:uid="{00000000-0005-0000-0000-0000A8010000}"/>
    <cellStyle name="Normal_Delaware FRR Template v3 Q3 Revised" xfId="117" xr:uid="{00000000-0005-0000-0000-0000A9010000}"/>
    <cellStyle name="Normal_Loss Ratio Report Template" xfId="81" xr:uid="{00000000-0005-0000-0000-0000AA010000}"/>
    <cellStyle name="Normal_MBHP Appendix E-finReport 4-30-03" xfId="82" xr:uid="{00000000-0005-0000-0000-0000AB010000}"/>
    <cellStyle name="Normal_Report 5 Income Statement Template-V3" xfId="83" xr:uid="{00000000-0005-0000-0000-0000AC010000}"/>
    <cellStyle name="Normal_report~12" xfId="141" xr:uid="{00000000-0005-0000-0000-0000AD010000}"/>
    <cellStyle name="Normal_Sheet1" xfId="118" xr:uid="{00000000-0005-0000-0000-0000AE010000}"/>
    <cellStyle name="Note" xfId="84" builtinId="10" customBuiltin="1"/>
    <cellStyle name="Note 2" xfId="124" xr:uid="{00000000-0005-0000-0000-0000B0010000}"/>
    <cellStyle name="Note 2 2" xfId="396" xr:uid="{00000000-0005-0000-0000-0000B1010000}"/>
    <cellStyle name="Note 2 2 2" xfId="606" xr:uid="{00000000-0005-0000-0000-0000B2010000}"/>
    <cellStyle name="Note 3" xfId="397" xr:uid="{00000000-0005-0000-0000-0000B3010000}"/>
    <cellStyle name="Note 3 2" xfId="398" xr:uid="{00000000-0005-0000-0000-0000B4010000}"/>
    <cellStyle name="Note 3 2 2" xfId="399" xr:uid="{00000000-0005-0000-0000-0000B5010000}"/>
    <cellStyle name="Note 3 3" xfId="400" xr:uid="{00000000-0005-0000-0000-0000B6010000}"/>
    <cellStyle name="Note 3 3 2" xfId="401" xr:uid="{00000000-0005-0000-0000-0000B7010000}"/>
    <cellStyle name="Note 3 4" xfId="402" xr:uid="{00000000-0005-0000-0000-0000B8010000}"/>
    <cellStyle name="Note 4" xfId="403" xr:uid="{00000000-0005-0000-0000-0000B9010000}"/>
    <cellStyle name="Number" xfId="404" xr:uid="{00000000-0005-0000-0000-0000BA010000}"/>
    <cellStyle name="Output" xfId="85" builtinId="21" customBuiltin="1"/>
    <cellStyle name="Output 2" xfId="405" xr:uid="{00000000-0005-0000-0000-0000BC010000}"/>
    <cellStyle name="Output 2 2" xfId="406" xr:uid="{00000000-0005-0000-0000-0000BD010000}"/>
    <cellStyle name="Output 2 2 2" xfId="407" xr:uid="{00000000-0005-0000-0000-0000BE010000}"/>
    <cellStyle name="Output 2 3" xfId="408" xr:uid="{00000000-0005-0000-0000-0000BF010000}"/>
    <cellStyle name="Output 2 3 2" xfId="409" xr:uid="{00000000-0005-0000-0000-0000C0010000}"/>
    <cellStyle name="Output 2 4" xfId="410" xr:uid="{00000000-0005-0000-0000-0000C1010000}"/>
    <cellStyle name="Output 3" xfId="411" xr:uid="{00000000-0005-0000-0000-0000C2010000}"/>
    <cellStyle name="Output 3 2" xfId="412" xr:uid="{00000000-0005-0000-0000-0000C3010000}"/>
    <cellStyle name="Output 4" xfId="413" xr:uid="{00000000-0005-0000-0000-0000C4010000}"/>
    <cellStyle name="Output Amounts" xfId="414" xr:uid="{00000000-0005-0000-0000-0000C5010000}"/>
    <cellStyle name="PB Table Heading" xfId="415" xr:uid="{00000000-0005-0000-0000-0000C6010000}"/>
    <cellStyle name="PB Table Highlight1" xfId="416" xr:uid="{00000000-0005-0000-0000-0000C7010000}"/>
    <cellStyle name="PB Table Highlight2" xfId="417" xr:uid="{00000000-0005-0000-0000-0000C8010000}"/>
    <cellStyle name="PB Table Highlight3" xfId="418" xr:uid="{00000000-0005-0000-0000-0000C9010000}"/>
    <cellStyle name="PB Table Standard Row" xfId="419" xr:uid="{00000000-0005-0000-0000-0000CA010000}"/>
    <cellStyle name="PB Table Standard Row 2" xfId="420" xr:uid="{00000000-0005-0000-0000-0000CB010000}"/>
    <cellStyle name="PB Table Standard Row 3" xfId="421" xr:uid="{00000000-0005-0000-0000-0000CC010000}"/>
    <cellStyle name="PB Table Standard Row 4" xfId="422" xr:uid="{00000000-0005-0000-0000-0000CD010000}"/>
    <cellStyle name="PB Table Standard Row 5" xfId="423" xr:uid="{00000000-0005-0000-0000-0000CE010000}"/>
    <cellStyle name="PB Table Subtotal Row" xfId="424" xr:uid="{00000000-0005-0000-0000-0000CF010000}"/>
    <cellStyle name="PB Table Subtotal Row 10" xfId="544" xr:uid="{00000000-0005-0000-0000-0000D0010000}"/>
    <cellStyle name="PB Table Subtotal Row 2" xfId="425" xr:uid="{00000000-0005-0000-0000-0000D1010000}"/>
    <cellStyle name="PB Table Subtotal Row 2 2" xfId="426" xr:uid="{00000000-0005-0000-0000-0000D2010000}"/>
    <cellStyle name="PB Table Subtotal Row 2 2 2" xfId="427" xr:uid="{00000000-0005-0000-0000-0000D3010000}"/>
    <cellStyle name="PB Table Subtotal Row 2 2 2 2" xfId="611" xr:uid="{00000000-0005-0000-0000-0000D4010000}"/>
    <cellStyle name="PB Table Subtotal Row 2 2 2 3" xfId="640" xr:uid="{00000000-0005-0000-0000-0000D5010000}"/>
    <cellStyle name="PB Table Subtotal Row 2 2 2 4" xfId="645" xr:uid="{00000000-0005-0000-0000-0000D6010000}"/>
    <cellStyle name="PB Table Subtotal Row 2 2 3" xfId="610" xr:uid="{00000000-0005-0000-0000-0000D7010000}"/>
    <cellStyle name="PB Table Subtotal Row 2 2 4" xfId="639" xr:uid="{00000000-0005-0000-0000-0000D8010000}"/>
    <cellStyle name="PB Table Subtotal Row 2 2 5" xfId="644" xr:uid="{00000000-0005-0000-0000-0000D9010000}"/>
    <cellStyle name="PB Table Subtotal Row 2 3" xfId="428" xr:uid="{00000000-0005-0000-0000-0000DA010000}"/>
    <cellStyle name="PB Table Subtotal Row 2 3 2" xfId="612" xr:uid="{00000000-0005-0000-0000-0000DB010000}"/>
    <cellStyle name="PB Table Subtotal Row 2 3 3" xfId="540" xr:uid="{00000000-0005-0000-0000-0000DC010000}"/>
    <cellStyle name="PB Table Subtotal Row 2 3 4" xfId="646" xr:uid="{00000000-0005-0000-0000-0000DD010000}"/>
    <cellStyle name="PB Table Subtotal Row 2 4" xfId="609" xr:uid="{00000000-0005-0000-0000-0000DE010000}"/>
    <cellStyle name="PB Table Subtotal Row 2 5" xfId="580" xr:uid="{00000000-0005-0000-0000-0000DF010000}"/>
    <cellStyle name="PB Table Subtotal Row 2 6" xfId="643" xr:uid="{00000000-0005-0000-0000-0000E0010000}"/>
    <cellStyle name="PB Table Subtotal Row 3" xfId="429" xr:uid="{00000000-0005-0000-0000-0000E1010000}"/>
    <cellStyle name="PB Table Subtotal Row 3 2" xfId="430" xr:uid="{00000000-0005-0000-0000-0000E2010000}"/>
    <cellStyle name="PB Table Subtotal Row 3 2 2" xfId="614" xr:uid="{00000000-0005-0000-0000-0000E3010000}"/>
    <cellStyle name="PB Table Subtotal Row 3 2 3" xfId="532" xr:uid="{00000000-0005-0000-0000-0000E4010000}"/>
    <cellStyle name="PB Table Subtotal Row 3 2 4" xfId="531" xr:uid="{00000000-0005-0000-0000-0000E5010000}"/>
    <cellStyle name="PB Table Subtotal Row 3 3" xfId="613" xr:uid="{00000000-0005-0000-0000-0000E6010000}"/>
    <cellStyle name="PB Table Subtotal Row 3 4" xfId="581" xr:uid="{00000000-0005-0000-0000-0000E7010000}"/>
    <cellStyle name="PB Table Subtotal Row 3 5" xfId="543" xr:uid="{00000000-0005-0000-0000-0000E8010000}"/>
    <cellStyle name="PB Table Subtotal Row 4" xfId="431" xr:uid="{00000000-0005-0000-0000-0000E9010000}"/>
    <cellStyle name="PB Table Subtotal Row 4 2" xfId="432" xr:uid="{00000000-0005-0000-0000-0000EA010000}"/>
    <cellStyle name="PB Table Subtotal Row 4 2 2" xfId="616" xr:uid="{00000000-0005-0000-0000-0000EB010000}"/>
    <cellStyle name="PB Table Subtotal Row 4 2 3" xfId="583" xr:uid="{00000000-0005-0000-0000-0000EC010000}"/>
    <cellStyle name="PB Table Subtotal Row 4 2 4" xfId="648" xr:uid="{00000000-0005-0000-0000-0000ED010000}"/>
    <cellStyle name="PB Table Subtotal Row 4 3" xfId="615" xr:uid="{00000000-0005-0000-0000-0000EE010000}"/>
    <cellStyle name="PB Table Subtotal Row 4 4" xfId="582" xr:uid="{00000000-0005-0000-0000-0000EF010000}"/>
    <cellStyle name="PB Table Subtotal Row 4 5" xfId="647" xr:uid="{00000000-0005-0000-0000-0000F0010000}"/>
    <cellStyle name="PB Table Subtotal Row 5" xfId="433" xr:uid="{00000000-0005-0000-0000-0000F1010000}"/>
    <cellStyle name="PB Table Subtotal Row 5 2" xfId="434" xr:uid="{00000000-0005-0000-0000-0000F2010000}"/>
    <cellStyle name="PB Table Subtotal Row 5 2 2" xfId="618" xr:uid="{00000000-0005-0000-0000-0000F3010000}"/>
    <cellStyle name="PB Table Subtotal Row 5 2 3" xfId="585" xr:uid="{00000000-0005-0000-0000-0000F4010000}"/>
    <cellStyle name="PB Table Subtotal Row 5 2 4" xfId="541" xr:uid="{00000000-0005-0000-0000-0000F5010000}"/>
    <cellStyle name="PB Table Subtotal Row 5 3" xfId="617" xr:uid="{00000000-0005-0000-0000-0000F6010000}"/>
    <cellStyle name="PB Table Subtotal Row 5 4" xfId="584" xr:uid="{00000000-0005-0000-0000-0000F7010000}"/>
    <cellStyle name="PB Table Subtotal Row 5 5" xfId="542" xr:uid="{00000000-0005-0000-0000-0000F8010000}"/>
    <cellStyle name="PB Table Subtotal Row 6" xfId="435" xr:uid="{00000000-0005-0000-0000-0000F9010000}"/>
    <cellStyle name="PB Table Subtotal Row 6 2" xfId="436" xr:uid="{00000000-0005-0000-0000-0000FA010000}"/>
    <cellStyle name="PB Table Subtotal Row 6 2 2" xfId="620" xr:uid="{00000000-0005-0000-0000-0000FB010000}"/>
    <cellStyle name="PB Table Subtotal Row 6 2 3" xfId="587" xr:uid="{00000000-0005-0000-0000-0000FC010000}"/>
    <cellStyle name="PB Table Subtotal Row 6 2 4" xfId="530" xr:uid="{00000000-0005-0000-0000-0000FD010000}"/>
    <cellStyle name="PB Table Subtotal Row 6 3" xfId="619" xr:uid="{00000000-0005-0000-0000-0000FE010000}"/>
    <cellStyle name="PB Table Subtotal Row 6 4" xfId="586" xr:uid="{00000000-0005-0000-0000-0000FF010000}"/>
    <cellStyle name="PB Table Subtotal Row 6 5" xfId="649" xr:uid="{00000000-0005-0000-0000-000000020000}"/>
    <cellStyle name="PB Table Subtotal Row 7" xfId="437" xr:uid="{00000000-0005-0000-0000-000001020000}"/>
    <cellStyle name="PB Table Subtotal Row 7 2" xfId="621" xr:uid="{00000000-0005-0000-0000-000002020000}"/>
    <cellStyle name="PB Table Subtotal Row 7 3" xfId="641" xr:uid="{00000000-0005-0000-0000-000003020000}"/>
    <cellStyle name="PB Table Subtotal Row 7 4" xfId="650" xr:uid="{00000000-0005-0000-0000-000004020000}"/>
    <cellStyle name="PB Table Subtotal Row 8" xfId="608" xr:uid="{00000000-0005-0000-0000-000005020000}"/>
    <cellStyle name="PB Table Subtotal Row 9" xfId="579" xr:uid="{00000000-0005-0000-0000-000006020000}"/>
    <cellStyle name="PB Table Total Row" xfId="438" xr:uid="{00000000-0005-0000-0000-000007020000}"/>
    <cellStyle name="per0" xfId="86" xr:uid="{00000000-0005-0000-0000-000008020000}"/>
    <cellStyle name="per1" xfId="87" xr:uid="{00000000-0005-0000-0000-000009020000}"/>
    <cellStyle name="Per1rgt" xfId="88" xr:uid="{00000000-0005-0000-0000-00000A020000}"/>
    <cellStyle name="per2" xfId="89" xr:uid="{00000000-0005-0000-0000-00000B020000}"/>
    <cellStyle name="Percen - Style4" xfId="439" xr:uid="{00000000-0005-0000-0000-00000C020000}"/>
    <cellStyle name="Percent" xfId="90" builtinId="5"/>
    <cellStyle name="Percent [2]" xfId="440" xr:uid="{00000000-0005-0000-0000-00000E020000}"/>
    <cellStyle name="Percent 10" xfId="441" xr:uid="{00000000-0005-0000-0000-00000F020000}"/>
    <cellStyle name="Percent 10 2" xfId="622" xr:uid="{00000000-0005-0000-0000-000010020000}"/>
    <cellStyle name="Percent 11" xfId="442" xr:uid="{00000000-0005-0000-0000-000011020000}"/>
    <cellStyle name="Percent 11 2" xfId="623" xr:uid="{00000000-0005-0000-0000-000012020000}"/>
    <cellStyle name="Percent 12" xfId="443" xr:uid="{00000000-0005-0000-0000-000013020000}"/>
    <cellStyle name="Percent 12 2" xfId="444" xr:uid="{00000000-0005-0000-0000-000014020000}"/>
    <cellStyle name="Percent 12 2 2" xfId="625" xr:uid="{00000000-0005-0000-0000-000015020000}"/>
    <cellStyle name="Percent 12 3" xfId="445" xr:uid="{00000000-0005-0000-0000-000016020000}"/>
    <cellStyle name="Percent 12 3 2" xfId="626" xr:uid="{00000000-0005-0000-0000-000017020000}"/>
    <cellStyle name="Percent 12 4" xfId="446" xr:uid="{00000000-0005-0000-0000-000018020000}"/>
    <cellStyle name="Percent 12 4 2" xfId="627" xr:uid="{00000000-0005-0000-0000-000019020000}"/>
    <cellStyle name="Percent 12 5" xfId="624" xr:uid="{00000000-0005-0000-0000-00001A020000}"/>
    <cellStyle name="Percent 13" xfId="655" xr:uid="{00000000-0005-0000-0000-00001B020000}"/>
    <cellStyle name="Percent 2" xfId="91" xr:uid="{00000000-0005-0000-0000-00001C020000}"/>
    <cellStyle name="Percent 2 2" xfId="447" xr:uid="{00000000-0005-0000-0000-00001D020000}"/>
    <cellStyle name="Percent 2 2 2" xfId="448" xr:uid="{00000000-0005-0000-0000-00001E020000}"/>
    <cellStyle name="Percent 2 2 3" xfId="449" xr:uid="{00000000-0005-0000-0000-00001F020000}"/>
    <cellStyle name="Percent 2 2 3 2" xfId="628" xr:uid="{00000000-0005-0000-0000-000020020000}"/>
    <cellStyle name="Percent 2 3" xfId="450" xr:uid="{00000000-0005-0000-0000-000021020000}"/>
    <cellStyle name="Percent 2 4" xfId="451" xr:uid="{00000000-0005-0000-0000-000022020000}"/>
    <cellStyle name="Percent 3" xfId="92" xr:uid="{00000000-0005-0000-0000-000023020000}"/>
    <cellStyle name="Percent 3 2" xfId="125" xr:uid="{00000000-0005-0000-0000-000024020000}"/>
    <cellStyle name="Percent 3 3" xfId="452" xr:uid="{00000000-0005-0000-0000-000025020000}"/>
    <cellStyle name="Percent 4" xfId="93" xr:uid="{00000000-0005-0000-0000-000026020000}"/>
    <cellStyle name="Percent 5" xfId="453" xr:uid="{00000000-0005-0000-0000-000027020000}"/>
    <cellStyle name="Percent 5 2" xfId="454" xr:uid="{00000000-0005-0000-0000-000028020000}"/>
    <cellStyle name="Percent 5 2 2" xfId="631" xr:uid="{00000000-0005-0000-0000-000029020000}"/>
    <cellStyle name="Percent 5 3" xfId="630" xr:uid="{00000000-0005-0000-0000-00002A020000}"/>
    <cellStyle name="Percent 6" xfId="455" xr:uid="{00000000-0005-0000-0000-00002B020000}"/>
    <cellStyle name="Percent 7" xfId="456" xr:uid="{00000000-0005-0000-0000-00002C020000}"/>
    <cellStyle name="Percent 7 2" xfId="457" xr:uid="{00000000-0005-0000-0000-00002D020000}"/>
    <cellStyle name="Percent 7 2 2" xfId="633" xr:uid="{00000000-0005-0000-0000-00002E020000}"/>
    <cellStyle name="Percent 7 3" xfId="632" xr:uid="{00000000-0005-0000-0000-00002F020000}"/>
    <cellStyle name="Percent 8" xfId="458" xr:uid="{00000000-0005-0000-0000-000030020000}"/>
    <cellStyle name="Percent 8 2" xfId="459" xr:uid="{00000000-0005-0000-0000-000031020000}"/>
    <cellStyle name="Percent 8 2 2" xfId="635" xr:uid="{00000000-0005-0000-0000-000032020000}"/>
    <cellStyle name="Percent 8 3" xfId="634" xr:uid="{00000000-0005-0000-0000-000033020000}"/>
    <cellStyle name="Percent 9" xfId="460" xr:uid="{00000000-0005-0000-0000-000034020000}"/>
    <cellStyle name="Percent 9 2" xfId="461" xr:uid="{00000000-0005-0000-0000-000035020000}"/>
    <cellStyle name="Percent 9 2 2" xfId="637" xr:uid="{00000000-0005-0000-0000-000036020000}"/>
    <cellStyle name="Percent 9 3" xfId="636" xr:uid="{00000000-0005-0000-0000-000037020000}"/>
    <cellStyle name="Percent1" xfId="94" xr:uid="{00000000-0005-0000-0000-000038020000}"/>
    <cellStyle name="Percent1ormal" xfId="95" xr:uid="{00000000-0005-0000-0000-000039020000}"/>
    <cellStyle name="Percent2" xfId="96" xr:uid="{00000000-0005-0000-0000-00003A020000}"/>
    <cellStyle name="PSChar" xfId="462" xr:uid="{00000000-0005-0000-0000-00003B020000}"/>
    <cellStyle name="PSDate" xfId="463" xr:uid="{00000000-0005-0000-0000-00003C020000}"/>
    <cellStyle name="PSDec" xfId="464" xr:uid="{00000000-0005-0000-0000-00003D020000}"/>
    <cellStyle name="PSHeading" xfId="465" xr:uid="{00000000-0005-0000-0000-00003E020000}"/>
    <cellStyle name="PSInt" xfId="466" xr:uid="{00000000-0005-0000-0000-00003F020000}"/>
    <cellStyle name="PSSpacer" xfId="467" xr:uid="{00000000-0005-0000-0000-000040020000}"/>
    <cellStyle name="purple" xfId="97" xr:uid="{00000000-0005-0000-0000-000041020000}"/>
    <cellStyle name="red" xfId="98" xr:uid="{00000000-0005-0000-0000-000042020000}"/>
    <cellStyle name="redl" xfId="99" xr:uid="{00000000-0005-0000-0000-000043020000}"/>
    <cellStyle name="redlet" xfId="100" xr:uid="{00000000-0005-0000-0000-000044020000}"/>
    <cellStyle name="redr" xfId="101" xr:uid="{00000000-0005-0000-0000-000045020000}"/>
    <cellStyle name="redshade" xfId="102" xr:uid="{00000000-0005-0000-0000-000046020000}"/>
    <cellStyle name="RevList" xfId="103" xr:uid="{00000000-0005-0000-0000-000047020000}"/>
    <cellStyle name="Right" xfId="104" xr:uid="{00000000-0005-0000-0000-000048020000}"/>
    <cellStyle name="Single Border" xfId="468" xr:uid="{00000000-0005-0000-0000-000049020000}"/>
    <cellStyle name="Single Border 2" xfId="469" xr:uid="{00000000-0005-0000-0000-00004A020000}"/>
    <cellStyle name="Single Border 2 2" xfId="470" xr:uid="{00000000-0005-0000-0000-00004B020000}"/>
    <cellStyle name="Single Border 2 3" xfId="471" xr:uid="{00000000-0005-0000-0000-00004C020000}"/>
    <cellStyle name="Single Border 2 4" xfId="472" xr:uid="{00000000-0005-0000-0000-00004D020000}"/>
    <cellStyle name="Single Border 3" xfId="473" xr:uid="{00000000-0005-0000-0000-00004E020000}"/>
    <cellStyle name="Single Border 3 2" xfId="474" xr:uid="{00000000-0005-0000-0000-00004F020000}"/>
    <cellStyle name="Single Border 3 3" xfId="475" xr:uid="{00000000-0005-0000-0000-000050020000}"/>
    <cellStyle name="Single Border 3 4" xfId="476" xr:uid="{00000000-0005-0000-0000-000051020000}"/>
    <cellStyle name="Single Border 4" xfId="477" xr:uid="{00000000-0005-0000-0000-000052020000}"/>
    <cellStyle name="Single Border 4 2" xfId="478" xr:uid="{00000000-0005-0000-0000-000053020000}"/>
    <cellStyle name="Single Border 4 3" xfId="479" xr:uid="{00000000-0005-0000-0000-000054020000}"/>
    <cellStyle name="Single Border 4 4" xfId="480" xr:uid="{00000000-0005-0000-0000-000055020000}"/>
    <cellStyle name="Single Border 5" xfId="481" xr:uid="{00000000-0005-0000-0000-000056020000}"/>
    <cellStyle name="Single Border 6" xfId="482" xr:uid="{00000000-0005-0000-0000-000057020000}"/>
    <cellStyle name="Single Border 7" xfId="483" xr:uid="{00000000-0005-0000-0000-000058020000}"/>
    <cellStyle name="special" xfId="105" xr:uid="{00000000-0005-0000-0000-000059020000}"/>
    <cellStyle name="STYLE1" xfId="484" xr:uid="{00000000-0005-0000-0000-00005A020000}"/>
    <cellStyle name="STYLE1 2" xfId="485" xr:uid="{00000000-0005-0000-0000-00005B020000}"/>
    <cellStyle name="STYLE1 2 2" xfId="486" xr:uid="{00000000-0005-0000-0000-00005C020000}"/>
    <cellStyle name="STYLE1 2 2 2" xfId="487" xr:uid="{00000000-0005-0000-0000-00005D020000}"/>
    <cellStyle name="STYLE1 2 3" xfId="488" xr:uid="{00000000-0005-0000-0000-00005E020000}"/>
    <cellStyle name="STYLE1 3" xfId="489" xr:uid="{00000000-0005-0000-0000-00005F020000}"/>
    <cellStyle name="STYLE1 3 2" xfId="490" xr:uid="{00000000-0005-0000-0000-000060020000}"/>
    <cellStyle name="STYLE10" xfId="491" xr:uid="{00000000-0005-0000-0000-000061020000}"/>
    <cellStyle name="STYLE11" xfId="492" xr:uid="{00000000-0005-0000-0000-000062020000}"/>
    <cellStyle name="STYLE12" xfId="493" xr:uid="{00000000-0005-0000-0000-000063020000}"/>
    <cellStyle name="STYLE2" xfId="494" xr:uid="{00000000-0005-0000-0000-000064020000}"/>
    <cellStyle name="STYLE2 2" xfId="495" xr:uid="{00000000-0005-0000-0000-000065020000}"/>
    <cellStyle name="STYLE2 2 2" xfId="496" xr:uid="{00000000-0005-0000-0000-000066020000}"/>
    <cellStyle name="STYLE2 2 3" xfId="497" xr:uid="{00000000-0005-0000-0000-000067020000}"/>
    <cellStyle name="STYLE2 3" xfId="498" xr:uid="{00000000-0005-0000-0000-000068020000}"/>
    <cellStyle name="STYLE2 3 2" xfId="499" xr:uid="{00000000-0005-0000-0000-000069020000}"/>
    <cellStyle name="STYLE2 4" xfId="500" xr:uid="{00000000-0005-0000-0000-00006A020000}"/>
    <cellStyle name="STYLE3" xfId="501" xr:uid="{00000000-0005-0000-0000-00006B020000}"/>
    <cellStyle name="STYLE3 2" xfId="502" xr:uid="{00000000-0005-0000-0000-00006C020000}"/>
    <cellStyle name="STYLE3 3" xfId="503" xr:uid="{00000000-0005-0000-0000-00006D020000}"/>
    <cellStyle name="STYLE4" xfId="504" xr:uid="{00000000-0005-0000-0000-00006E020000}"/>
    <cellStyle name="STYLE4 2" xfId="505" xr:uid="{00000000-0005-0000-0000-00006F020000}"/>
    <cellStyle name="STYLE4 3" xfId="506" xr:uid="{00000000-0005-0000-0000-000070020000}"/>
    <cellStyle name="STYLE5" xfId="507" xr:uid="{00000000-0005-0000-0000-000071020000}"/>
    <cellStyle name="STYLE5 2" xfId="508" xr:uid="{00000000-0005-0000-0000-000072020000}"/>
    <cellStyle name="STYLE5 2 2" xfId="509" xr:uid="{00000000-0005-0000-0000-000073020000}"/>
    <cellStyle name="STYLE5 3" xfId="510" xr:uid="{00000000-0005-0000-0000-000074020000}"/>
    <cellStyle name="STYLE6" xfId="511" xr:uid="{00000000-0005-0000-0000-000075020000}"/>
    <cellStyle name="STYLE6 2" xfId="512" xr:uid="{00000000-0005-0000-0000-000076020000}"/>
    <cellStyle name="STYLE6 3" xfId="513" xr:uid="{00000000-0005-0000-0000-000077020000}"/>
    <cellStyle name="STYLE7" xfId="514" xr:uid="{00000000-0005-0000-0000-000078020000}"/>
    <cellStyle name="STYLE8" xfId="515" xr:uid="{00000000-0005-0000-0000-000079020000}"/>
    <cellStyle name="STYLE9" xfId="516" xr:uid="{00000000-0005-0000-0000-00007A020000}"/>
    <cellStyle name="Subtotal" xfId="106" xr:uid="{00000000-0005-0000-0000-00007B020000}"/>
    <cellStyle name="Text" xfId="517" xr:uid="{00000000-0005-0000-0000-00007C020000}"/>
    <cellStyle name="Title" xfId="107" builtinId="15" customBuiltin="1"/>
    <cellStyle name="Title 2" xfId="518" xr:uid="{00000000-0005-0000-0000-00007E020000}"/>
    <cellStyle name="Title 3" xfId="519" xr:uid="{00000000-0005-0000-0000-00007F020000}"/>
    <cellStyle name="Total" xfId="108" builtinId="25" customBuiltin="1"/>
    <cellStyle name="Total 2" xfId="520" xr:uid="{00000000-0005-0000-0000-000081020000}"/>
    <cellStyle name="Total 2 2" xfId="521" xr:uid="{00000000-0005-0000-0000-000082020000}"/>
    <cellStyle name="Total 2 2 2" xfId="522" xr:uid="{00000000-0005-0000-0000-000083020000}"/>
    <cellStyle name="Total 2 3" xfId="523" xr:uid="{00000000-0005-0000-0000-000084020000}"/>
    <cellStyle name="Total 2 3 2" xfId="524" xr:uid="{00000000-0005-0000-0000-000085020000}"/>
    <cellStyle name="Total 2 4" xfId="525" xr:uid="{00000000-0005-0000-0000-000086020000}"/>
    <cellStyle name="Total 3" xfId="526" xr:uid="{00000000-0005-0000-0000-000087020000}"/>
    <cellStyle name="Total 4" xfId="527" xr:uid="{00000000-0005-0000-0000-000088020000}"/>
    <cellStyle name="up" xfId="109" xr:uid="{00000000-0005-0000-0000-000089020000}"/>
    <cellStyle name="Warning Text" xfId="110" builtinId="11" customBuiltin="1"/>
    <cellStyle name="Warning Text 2" xfId="528" xr:uid="{00000000-0005-0000-0000-00008B020000}"/>
    <cellStyle name="Yellow" xfId="111" xr:uid="{00000000-0005-0000-0000-00008C020000}"/>
    <cellStyle name="Yellow2" xfId="112" xr:uid="{00000000-0005-0000-0000-00008D020000}"/>
    <cellStyle name="YellowL" xfId="113" xr:uid="{00000000-0005-0000-0000-00008E020000}"/>
    <cellStyle name="yellowr" xfId="114"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CC9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
      <sheetName val="Control"/>
      <sheetName val="Key"/>
      <sheetName val="2009 Oct Guidance SEC Format"/>
      <sheetName val="Q3 Forecast Scenarios Aud Com"/>
      <sheetName val="Look_up"/>
      <sheetName val="&lt;Overview &amp; Legend&gt;"/>
      <sheetName val="Schedule 1-E A"/>
      <sheetName val="Jul PPD"/>
      <sheetName val="Appendix A-Region"/>
      <sheetName val="Plan Cost Centers- Final  "/>
      <sheetName val="Revenue"/>
      <sheetName val="Exhibit II"/>
      <sheetName val="INDEX"/>
      <sheetName val="Lookups"/>
      <sheetName val="Options"/>
      <sheetName val="RDO_Non-Expansion_PH COAs"/>
      <sheetName val="June 17"/>
      <sheetName val="#19A-R2, 3 Mos w 0 (Acute)"/>
      <sheetName val="hiddenSheet"/>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H3" sqref="H3"/>
    </sheetView>
  </sheetViews>
  <sheetFormatPr defaultRowHeight="13.15"/>
  <cols>
    <col min="1" max="1" width="3.28515625" customWidth="1"/>
    <col min="2" max="2" width="135.28515625" customWidth="1"/>
  </cols>
  <sheetData>
    <row r="1" spans="2:2" ht="13.9" thickBot="1"/>
    <row r="2" spans="2:2" ht="16.149999999999999" thickBot="1">
      <c r="B2" s="83" t="s">
        <v>0</v>
      </c>
    </row>
    <row r="3" spans="2:2" ht="78.75" customHeight="1">
      <c r="B3" s="580" t="s">
        <v>1</v>
      </c>
    </row>
    <row r="4" spans="2:2" ht="15.6">
      <c r="B4" s="84" t="s">
        <v>2</v>
      </c>
    </row>
    <row r="5" spans="2:2" ht="142.5" customHeight="1">
      <c r="B5" s="581" t="s">
        <v>3</v>
      </c>
    </row>
    <row r="6" spans="2:2" ht="15.6">
      <c r="B6" s="84" t="s">
        <v>4</v>
      </c>
    </row>
    <row r="7" spans="2:2">
      <c r="B7" s="581" t="s">
        <v>5</v>
      </c>
    </row>
    <row r="8" spans="2:2">
      <c r="B8" s="581" t="s">
        <v>6</v>
      </c>
    </row>
    <row r="9" spans="2:2" ht="15.6">
      <c r="B9" s="84" t="s">
        <v>7</v>
      </c>
    </row>
    <row r="10" spans="2:2" ht="39.6">
      <c r="B10" s="581" t="s">
        <v>8</v>
      </c>
    </row>
    <row r="11" spans="2:2" ht="26.45">
      <c r="B11" s="582" t="s">
        <v>9</v>
      </c>
    </row>
    <row r="12" spans="2:2" ht="39.6">
      <c r="B12" s="582" t="s">
        <v>10</v>
      </c>
    </row>
    <row r="13" spans="2:2" ht="26.45">
      <c r="B13" s="581" t="s">
        <v>11</v>
      </c>
    </row>
    <row r="14" spans="2:2" ht="26.45">
      <c r="B14" s="583" t="s">
        <v>12</v>
      </c>
    </row>
    <row r="15" spans="2:2" ht="27" thickBot="1">
      <c r="B15" s="584" t="s">
        <v>13</v>
      </c>
    </row>
  </sheetData>
  <sheetProtection password="D88B" sheet="1" objects="1" scenarios="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CW100"/>
  <sheetViews>
    <sheetView zoomScale="80" zoomScaleNormal="80" workbookViewId="0">
      <pane xSplit="1" ySplit="9" topLeftCell="B88" activePane="bottomRight" state="frozen"/>
      <selection pane="bottomRight" activeCell="CV25" sqref="CV25"/>
      <selection pane="bottomLeft" activeCell="A10" sqref="A10"/>
      <selection pane="topRight" activeCell="B1" sqref="B1"/>
    </sheetView>
  </sheetViews>
  <sheetFormatPr defaultColWidth="9.28515625" defaultRowHeight="13.15"/>
  <cols>
    <col min="1" max="1" width="49.28515625" style="317" bestFit="1" customWidth="1"/>
    <col min="2" max="2" width="8.5703125" style="317" bestFit="1" customWidth="1"/>
    <col min="3" max="21" width="15.5703125" style="317" customWidth="1"/>
    <col min="22" max="22" width="7.28515625" style="317" bestFit="1" customWidth="1"/>
    <col min="23" max="41" width="15.5703125" style="317" customWidth="1"/>
    <col min="42" max="42" width="7.28515625" style="317" bestFit="1" customWidth="1"/>
    <col min="43" max="61" width="15.5703125" style="317" customWidth="1"/>
    <col min="62" max="62" width="7.28515625" style="317" bestFit="1" customWidth="1"/>
    <col min="63" max="81" width="15.5703125" style="317" customWidth="1"/>
    <col min="82" max="82" width="7.28515625" style="317" bestFit="1" customWidth="1"/>
    <col min="83" max="97" width="15.5703125" style="317" customWidth="1"/>
    <col min="98" max="98" width="9.28515625" style="317"/>
    <col min="99" max="99" width="19.140625" style="317" customWidth="1"/>
    <col min="100" max="100" width="14.5703125" style="317" bestFit="1" customWidth="1"/>
    <col min="101" max="101" width="13.140625" style="317" bestFit="1" customWidth="1"/>
    <col min="102" max="16384" width="9.28515625" style="317"/>
  </cols>
  <sheetData>
    <row r="1" spans="1:99" s="180" customFormat="1" ht="24.75" customHeight="1">
      <c r="A1" s="15" t="s">
        <v>1325</v>
      </c>
      <c r="B1" s="179"/>
      <c r="C1" s="179"/>
      <c r="D1" s="179"/>
      <c r="E1" s="179"/>
      <c r="F1" s="179"/>
      <c r="G1" s="758"/>
      <c r="H1" s="758"/>
      <c r="I1" s="758"/>
      <c r="J1" s="709"/>
      <c r="K1" s="709"/>
      <c r="L1" s="179"/>
      <c r="M1" s="179"/>
      <c r="N1" s="179"/>
      <c r="O1" s="179"/>
      <c r="P1" s="709"/>
      <c r="Q1" s="179"/>
      <c r="R1" s="179"/>
      <c r="S1" s="179"/>
      <c r="T1" s="179"/>
      <c r="U1" s="179"/>
      <c r="V1" s="179"/>
      <c r="W1" s="179"/>
      <c r="X1" s="179"/>
      <c r="Y1" s="179"/>
      <c r="Z1" s="179"/>
      <c r="AA1" s="179"/>
      <c r="AB1" s="179"/>
      <c r="AC1" s="179"/>
      <c r="AD1" s="179"/>
      <c r="AE1" s="179"/>
      <c r="AF1" s="709"/>
      <c r="AG1" s="179"/>
      <c r="AH1" s="179"/>
      <c r="AI1" s="179"/>
      <c r="AJ1" s="179"/>
      <c r="AK1" s="179"/>
      <c r="AL1" s="179"/>
      <c r="AM1" s="179"/>
      <c r="AN1" s="179"/>
      <c r="AO1" s="179"/>
      <c r="AP1" s="179"/>
      <c r="AQ1" s="179"/>
      <c r="AR1" s="179"/>
      <c r="AS1" s="179"/>
      <c r="AT1" s="179"/>
      <c r="AU1" s="179"/>
      <c r="AV1" s="709"/>
      <c r="AW1" s="179"/>
      <c r="AX1" s="179"/>
      <c r="AY1" s="179"/>
      <c r="AZ1" s="179"/>
      <c r="BA1" s="179"/>
      <c r="BB1" s="179"/>
      <c r="BC1" s="179"/>
      <c r="BD1" s="179"/>
      <c r="BE1" s="179"/>
      <c r="BF1" s="179"/>
      <c r="BG1" s="179"/>
      <c r="BH1" s="179"/>
      <c r="BI1" s="179"/>
      <c r="BJ1" s="179"/>
      <c r="BK1" s="179"/>
      <c r="BL1" s="70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c r="CR1" s="179"/>
      <c r="CS1" s="179"/>
    </row>
    <row r="2" spans="1:99" s="180" customFormat="1" ht="15.6">
      <c r="A2" s="139" t="s">
        <v>1284</v>
      </c>
      <c r="B2" s="397" t="str">
        <f>'Schedule 2_Balance Sheet'!C2</f>
        <v>Tufts Associated Health Plans, Inc. (TAHMO)</v>
      </c>
      <c r="C2" s="398"/>
      <c r="D2" s="398"/>
      <c r="E2" s="398"/>
      <c r="F2" s="399"/>
      <c r="G2" s="400"/>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row>
    <row r="3" spans="1:99" s="180" customFormat="1" ht="15.6">
      <c r="A3" s="139" t="s">
        <v>1285</v>
      </c>
      <c r="B3" s="520" t="str">
        <f>'Schedule 2_Balance Sheet'!C3</f>
        <v>01/01/2024 - 12/31/2024</v>
      </c>
      <c r="C3" s="521"/>
      <c r="D3" s="521"/>
      <c r="E3" s="521"/>
      <c r="F3" s="522"/>
      <c r="G3" s="400"/>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row>
    <row r="4" spans="1:99" s="403" customFormat="1" ht="15.6">
      <c r="A4" s="139" t="s">
        <v>1286</v>
      </c>
      <c r="B4" s="401">
        <f>'Schedule 2_Balance Sheet'!C4</f>
        <v>45657</v>
      </c>
      <c r="C4" s="398"/>
      <c r="D4" s="398"/>
      <c r="E4" s="398"/>
      <c r="F4" s="399"/>
      <c r="G4" s="400"/>
      <c r="H4" s="179"/>
      <c r="I4" s="402"/>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9"/>
      <c r="CN4" s="179"/>
      <c r="CO4" s="179"/>
      <c r="CP4" s="179"/>
      <c r="CQ4" s="179"/>
      <c r="CR4" s="179"/>
      <c r="CS4" s="179"/>
    </row>
    <row r="5" spans="1:99" s="180" customFormat="1" ht="15.6">
      <c r="A5" s="139" t="s">
        <v>1287</v>
      </c>
      <c r="B5" s="397" t="str">
        <f>'Schedule 2_Balance Sheet'!C5</f>
        <v>Roshni Parikh</v>
      </c>
      <c r="C5" s="398"/>
      <c r="D5" s="398"/>
      <c r="E5" s="398"/>
      <c r="F5" s="399"/>
      <c r="G5" s="400"/>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79"/>
      <c r="CJ5" s="179"/>
      <c r="CK5" s="179"/>
      <c r="CL5" s="179"/>
      <c r="CM5" s="179"/>
      <c r="CN5" s="179"/>
      <c r="CO5" s="179"/>
      <c r="CP5" s="179"/>
      <c r="CQ5" s="179"/>
      <c r="CR5" s="179"/>
      <c r="CS5" s="179"/>
      <c r="CU5" s="688"/>
    </row>
    <row r="6" spans="1:99" s="180" customFormat="1" ht="15.6">
      <c r="A6" s="139" t="s">
        <v>1288</v>
      </c>
      <c r="B6" s="401">
        <f>'Schedule 2_Balance Sheet'!C6</f>
        <v>45657</v>
      </c>
      <c r="C6" s="398"/>
      <c r="D6" s="398"/>
      <c r="E6" s="398"/>
      <c r="F6" s="399"/>
      <c r="G6" s="400"/>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c r="BW6" s="179"/>
      <c r="BX6" s="179"/>
      <c r="BY6" s="179"/>
      <c r="BZ6" s="179"/>
      <c r="CA6" s="179"/>
      <c r="CB6" s="179"/>
      <c r="CC6" s="179"/>
      <c r="CD6" s="179"/>
      <c r="CE6" s="179"/>
      <c r="CF6" s="179"/>
      <c r="CG6" s="179"/>
      <c r="CH6" s="179"/>
      <c r="CI6" s="179"/>
      <c r="CJ6" s="179"/>
      <c r="CK6" s="179"/>
      <c r="CL6" s="179"/>
      <c r="CM6" s="179"/>
      <c r="CN6" s="179"/>
      <c r="CO6" s="179"/>
      <c r="CP6" s="179"/>
      <c r="CQ6" s="179"/>
      <c r="CR6" s="179"/>
      <c r="CS6" s="179"/>
    </row>
    <row r="7" spans="1:99" s="180" customFormat="1">
      <c r="A7" s="230" t="s">
        <v>1289</v>
      </c>
      <c r="B7" s="181"/>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row>
    <row r="8" spans="1:99" s="180" customFormat="1">
      <c r="A8" s="230"/>
      <c r="B8" s="181"/>
      <c r="C8" s="179"/>
      <c r="D8" s="179"/>
      <c r="E8" s="179"/>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U8" s="688"/>
    </row>
    <row r="9" spans="1:99" s="180" customFormat="1">
      <c r="A9" s="230"/>
      <c r="B9" s="181"/>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row>
    <row r="10" spans="1:99" s="180" customFormat="1" ht="15.75" customHeight="1">
      <c r="A10" s="404"/>
      <c r="B10" s="773" t="s">
        <v>1326</v>
      </c>
      <c r="C10" s="405" t="s">
        <v>404</v>
      </c>
      <c r="D10" s="406"/>
      <c r="E10" s="406"/>
      <c r="F10" s="406"/>
      <c r="G10" s="406"/>
      <c r="H10" s="406"/>
      <c r="I10" s="406"/>
      <c r="J10" s="406"/>
      <c r="K10" s="406"/>
      <c r="L10" s="406"/>
      <c r="M10" s="406"/>
      <c r="N10" s="406"/>
      <c r="O10" s="406"/>
      <c r="P10" s="406"/>
      <c r="Q10" s="406"/>
      <c r="R10" s="406"/>
      <c r="S10" s="406"/>
      <c r="T10" s="406"/>
      <c r="U10" s="407"/>
      <c r="V10" s="773" t="s">
        <v>1326</v>
      </c>
      <c r="W10" s="405" t="s">
        <v>409</v>
      </c>
      <c r="X10" s="406"/>
      <c r="Y10" s="406"/>
      <c r="Z10" s="406"/>
      <c r="AA10" s="406"/>
      <c r="AB10" s="406"/>
      <c r="AC10" s="406"/>
      <c r="AD10" s="406"/>
      <c r="AE10" s="406"/>
      <c r="AF10" s="406"/>
      <c r="AG10" s="406"/>
      <c r="AH10" s="406"/>
      <c r="AI10" s="406"/>
      <c r="AJ10" s="406"/>
      <c r="AK10" s="406"/>
      <c r="AL10" s="406"/>
      <c r="AM10" s="406"/>
      <c r="AN10" s="406"/>
      <c r="AO10" s="407"/>
      <c r="AP10" s="773" t="s">
        <v>1326</v>
      </c>
      <c r="AQ10" s="405" t="s">
        <v>411</v>
      </c>
      <c r="AR10" s="406"/>
      <c r="AS10" s="406"/>
      <c r="AT10" s="406"/>
      <c r="AU10" s="406"/>
      <c r="AV10" s="406"/>
      <c r="AW10" s="406"/>
      <c r="AX10" s="406"/>
      <c r="AY10" s="406"/>
      <c r="AZ10" s="406"/>
      <c r="BA10" s="406"/>
      <c r="BB10" s="406"/>
      <c r="BC10" s="406"/>
      <c r="BD10" s="406"/>
      <c r="BE10" s="406"/>
      <c r="BF10" s="406"/>
      <c r="BG10" s="406"/>
      <c r="BH10" s="406"/>
      <c r="BI10" s="407"/>
      <c r="BJ10" s="773" t="s">
        <v>1326</v>
      </c>
      <c r="BK10" s="405" t="s">
        <v>1327</v>
      </c>
      <c r="BL10" s="406"/>
      <c r="BM10" s="406"/>
      <c r="BN10" s="406"/>
      <c r="BO10" s="406"/>
      <c r="BP10" s="406"/>
      <c r="BQ10" s="406"/>
      <c r="BR10" s="406"/>
      <c r="BS10" s="406"/>
      <c r="BT10" s="406"/>
      <c r="BU10" s="406"/>
      <c r="BV10" s="406"/>
      <c r="BW10" s="406"/>
      <c r="BX10" s="406"/>
      <c r="BY10" s="406"/>
      <c r="BZ10" s="406"/>
      <c r="CA10" s="406"/>
      <c r="CB10" s="406"/>
      <c r="CC10" s="407"/>
      <c r="CD10" s="772" t="s">
        <v>1326</v>
      </c>
      <c r="CE10" s="646"/>
      <c r="CF10" s="647"/>
      <c r="CG10" s="647"/>
      <c r="CH10" s="648"/>
      <c r="CI10" s="774" t="s">
        <v>1328</v>
      </c>
      <c r="CJ10" s="646"/>
      <c r="CK10" s="647"/>
      <c r="CL10" s="647"/>
      <c r="CM10" s="648"/>
      <c r="CN10" s="774" t="s">
        <v>1328</v>
      </c>
      <c r="CO10" s="646"/>
      <c r="CP10" s="647"/>
      <c r="CQ10" s="647"/>
      <c r="CR10" s="648"/>
      <c r="CS10" s="774" t="s">
        <v>1328</v>
      </c>
    </row>
    <row r="11" spans="1:99" s="180" customFormat="1" ht="32.1" customHeight="1">
      <c r="A11" s="138" t="s">
        <v>1329</v>
      </c>
      <c r="B11" s="773"/>
      <c r="C11" s="405" t="s">
        <v>1330</v>
      </c>
      <c r="D11" s="406"/>
      <c r="E11" s="406"/>
      <c r="F11" s="406"/>
      <c r="G11" s="406"/>
      <c r="H11" s="406"/>
      <c r="I11" s="406"/>
      <c r="J11" s="406"/>
      <c r="K11" s="408"/>
      <c r="L11" s="409" t="s">
        <v>1331</v>
      </c>
      <c r="M11" s="406"/>
      <c r="N11" s="406"/>
      <c r="O11" s="406"/>
      <c r="P11" s="406"/>
      <c r="Q11" s="406"/>
      <c r="R11" s="406"/>
      <c r="S11" s="406"/>
      <c r="T11" s="406"/>
      <c r="U11" s="769" t="s">
        <v>1332</v>
      </c>
      <c r="V11" s="773"/>
      <c r="W11" s="406" t="s">
        <v>1330</v>
      </c>
      <c r="X11" s="406"/>
      <c r="Y11" s="406"/>
      <c r="Z11" s="406"/>
      <c r="AA11" s="406"/>
      <c r="AB11" s="406"/>
      <c r="AC11" s="406"/>
      <c r="AD11" s="406"/>
      <c r="AE11" s="408"/>
      <c r="AF11" s="409" t="s">
        <v>1331</v>
      </c>
      <c r="AG11" s="406"/>
      <c r="AH11" s="406"/>
      <c r="AI11" s="406"/>
      <c r="AJ11" s="406"/>
      <c r="AK11" s="406"/>
      <c r="AL11" s="406"/>
      <c r="AM11" s="406"/>
      <c r="AN11" s="406"/>
      <c r="AO11" s="769" t="s">
        <v>1332</v>
      </c>
      <c r="AP11" s="773"/>
      <c r="AQ11" s="405" t="s">
        <v>1330</v>
      </c>
      <c r="AR11" s="406"/>
      <c r="AS11" s="406"/>
      <c r="AT11" s="406"/>
      <c r="AU11" s="406"/>
      <c r="AV11" s="406"/>
      <c r="AW11" s="406"/>
      <c r="AX11" s="406"/>
      <c r="AY11" s="408"/>
      <c r="AZ11" s="409" t="s">
        <v>1331</v>
      </c>
      <c r="BA11" s="406"/>
      <c r="BB11" s="406"/>
      <c r="BC11" s="406"/>
      <c r="BD11" s="406"/>
      <c r="BE11" s="406"/>
      <c r="BF11" s="406"/>
      <c r="BG11" s="406"/>
      <c r="BH11" s="406"/>
      <c r="BI11" s="769" t="s">
        <v>1332</v>
      </c>
      <c r="BJ11" s="773"/>
      <c r="BK11" s="405" t="s">
        <v>1330</v>
      </c>
      <c r="BL11" s="406"/>
      <c r="BM11" s="406"/>
      <c r="BN11" s="406"/>
      <c r="BO11" s="406"/>
      <c r="BP11" s="406"/>
      <c r="BQ11" s="406"/>
      <c r="BR11" s="406"/>
      <c r="BS11" s="408"/>
      <c r="BT11" s="409" t="s">
        <v>1331</v>
      </c>
      <c r="BU11" s="406"/>
      <c r="BV11" s="406"/>
      <c r="BW11" s="406"/>
      <c r="BX11" s="406"/>
      <c r="BY11" s="406"/>
      <c r="BZ11" s="406"/>
      <c r="CA11" s="406"/>
      <c r="CB11" s="406"/>
      <c r="CC11" s="769" t="s">
        <v>1332</v>
      </c>
      <c r="CD11" s="773"/>
      <c r="CE11" s="645" t="s">
        <v>1330</v>
      </c>
      <c r="CF11" s="645"/>
      <c r="CG11" s="645"/>
      <c r="CH11" s="645"/>
      <c r="CI11" s="775"/>
      <c r="CJ11" s="645" t="s">
        <v>1331</v>
      </c>
      <c r="CK11" s="645"/>
      <c r="CL11" s="645"/>
      <c r="CM11" s="645"/>
      <c r="CN11" s="775"/>
      <c r="CO11" s="645" t="s">
        <v>1333</v>
      </c>
      <c r="CP11" s="645"/>
      <c r="CQ11" s="645"/>
      <c r="CR11" s="645"/>
      <c r="CS11" s="775"/>
    </row>
    <row r="12" spans="1:99" ht="12.75" customHeight="1">
      <c r="A12" s="103" t="s">
        <v>1334</v>
      </c>
      <c r="B12" s="773"/>
      <c r="C12" s="312" t="s">
        <v>1291</v>
      </c>
      <c r="D12" s="313"/>
      <c r="E12" s="312" t="s">
        <v>1298</v>
      </c>
      <c r="F12" s="313"/>
      <c r="G12" s="312" t="s">
        <v>1299</v>
      </c>
      <c r="H12" s="313"/>
      <c r="I12" s="312" t="s">
        <v>1300</v>
      </c>
      <c r="J12" s="313"/>
      <c r="K12" s="79"/>
      <c r="L12" s="314" t="s">
        <v>1291</v>
      </c>
      <c r="M12" s="313"/>
      <c r="N12" s="312" t="s">
        <v>1298</v>
      </c>
      <c r="O12" s="313"/>
      <c r="P12" s="312" t="s">
        <v>1299</v>
      </c>
      <c r="Q12" s="313"/>
      <c r="R12" s="312" t="s">
        <v>1300</v>
      </c>
      <c r="S12" s="313"/>
      <c r="T12" s="373"/>
      <c r="U12" s="770"/>
      <c r="V12" s="773"/>
      <c r="W12" s="315" t="s">
        <v>1291</v>
      </c>
      <c r="X12" s="313"/>
      <c r="Y12" s="312" t="s">
        <v>1298</v>
      </c>
      <c r="Z12" s="313"/>
      <c r="AA12" s="312" t="s">
        <v>1299</v>
      </c>
      <c r="AB12" s="313"/>
      <c r="AC12" s="312" t="s">
        <v>1300</v>
      </c>
      <c r="AD12" s="313"/>
      <c r="AE12" s="79"/>
      <c r="AF12" s="314" t="s">
        <v>1291</v>
      </c>
      <c r="AG12" s="313"/>
      <c r="AH12" s="312" t="s">
        <v>1298</v>
      </c>
      <c r="AI12" s="313"/>
      <c r="AJ12" s="312" t="s">
        <v>1299</v>
      </c>
      <c r="AK12" s="313"/>
      <c r="AL12" s="312" t="s">
        <v>1300</v>
      </c>
      <c r="AM12" s="313"/>
      <c r="AN12" s="373"/>
      <c r="AO12" s="770"/>
      <c r="AP12" s="773"/>
      <c r="AQ12" s="312" t="s">
        <v>1291</v>
      </c>
      <c r="AR12" s="313"/>
      <c r="AS12" s="312" t="s">
        <v>1298</v>
      </c>
      <c r="AT12" s="313"/>
      <c r="AU12" s="312" t="s">
        <v>1299</v>
      </c>
      <c r="AV12" s="313"/>
      <c r="AW12" s="312" t="s">
        <v>1300</v>
      </c>
      <c r="AX12" s="313"/>
      <c r="AY12" s="79"/>
      <c r="AZ12" s="314" t="s">
        <v>1291</v>
      </c>
      <c r="BA12" s="313"/>
      <c r="BB12" s="312" t="s">
        <v>1298</v>
      </c>
      <c r="BC12" s="313"/>
      <c r="BD12" s="312" t="s">
        <v>1299</v>
      </c>
      <c r="BE12" s="313"/>
      <c r="BF12" s="312" t="s">
        <v>1300</v>
      </c>
      <c r="BG12" s="313"/>
      <c r="BH12" s="373"/>
      <c r="BI12" s="770"/>
      <c r="BJ12" s="773"/>
      <c r="BK12" s="312" t="s">
        <v>1291</v>
      </c>
      <c r="BL12" s="313"/>
      <c r="BM12" s="312" t="s">
        <v>1298</v>
      </c>
      <c r="BN12" s="313"/>
      <c r="BO12" s="312" t="s">
        <v>1299</v>
      </c>
      <c r="BP12" s="313"/>
      <c r="BQ12" s="312" t="s">
        <v>1300</v>
      </c>
      <c r="BR12" s="313"/>
      <c r="BS12" s="79"/>
      <c r="BT12" s="314" t="s">
        <v>1291</v>
      </c>
      <c r="BU12" s="313"/>
      <c r="BV12" s="312" t="s">
        <v>1298</v>
      </c>
      <c r="BW12" s="313"/>
      <c r="BX12" s="312" t="s">
        <v>1299</v>
      </c>
      <c r="BY12" s="313"/>
      <c r="BZ12" s="312" t="s">
        <v>1300</v>
      </c>
      <c r="CA12" s="313"/>
      <c r="CB12" s="373"/>
      <c r="CC12" s="770"/>
      <c r="CD12" s="773"/>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99" s="374" customFormat="1" ht="46.5" customHeight="1">
      <c r="A13" s="410"/>
      <c r="B13" s="773"/>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1"/>
      <c r="V13" s="773"/>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1"/>
      <c r="AP13" s="773"/>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71"/>
      <c r="BJ13" s="773"/>
      <c r="BK13" s="612"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71"/>
      <c r="CD13" s="773"/>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row>
    <row r="14" spans="1:99" ht="15.75" customHeight="1">
      <c r="A14" s="16" t="s">
        <v>1293</v>
      </c>
      <c r="B14" s="140"/>
      <c r="C14" s="642">
        <f>SUM('Schedule 3B_Income_Eastern:Schedule 3D_Income_The Cape'!C14)</f>
        <v>327</v>
      </c>
      <c r="D14" s="642">
        <f>SUM('Schedule 3B_Income_Eastern:Schedule 3D_Income_The Cape'!D14)</f>
        <v>1290</v>
      </c>
      <c r="E14" s="642">
        <f>SUM('Schedule 3B_Income_Eastern:Schedule 3D_Income_The Cape'!E14)</f>
        <v>378</v>
      </c>
      <c r="F14" s="642">
        <f>SUM('Schedule 3B_Income_Eastern:Schedule 3D_Income_The Cape'!F14)</f>
        <v>1674</v>
      </c>
      <c r="G14" s="642">
        <f>SUM('Schedule 3B_Income_Eastern:Schedule 3D_Income_The Cape'!G14)</f>
        <v>408</v>
      </c>
      <c r="H14" s="642">
        <f>SUM('Schedule 3B_Income_Eastern:Schedule 3D_Income_The Cape'!H14)</f>
        <v>1749</v>
      </c>
      <c r="I14" s="642">
        <f>SUM('Schedule 3B_Income_Eastern:Schedule 3D_Income_The Cape'!I14)</f>
        <v>324</v>
      </c>
      <c r="J14" s="642">
        <f>SUM('Schedule 3B_Income_Eastern:Schedule 3D_Income_The Cape'!J14)</f>
        <v>1683</v>
      </c>
      <c r="K14" s="642">
        <f>SUM('Schedule 3B_Income_Eastern:Schedule 3D_Income_The Cape'!K14)</f>
        <v>7833</v>
      </c>
      <c r="L14" s="643">
        <f>SUM('Schedule 3B_Income_Eastern:Schedule 3D_Income_The Cape'!L14)</f>
        <v>327</v>
      </c>
      <c r="M14" s="642">
        <f>SUM('Schedule 3B_Income_Eastern:Schedule 3D_Income_The Cape'!M14)</f>
        <v>1290</v>
      </c>
      <c r="N14" s="642">
        <f>SUM('Schedule 3B_Income_Eastern:Schedule 3D_Income_The Cape'!N14)</f>
        <v>378</v>
      </c>
      <c r="O14" s="642">
        <f>SUM('Schedule 3B_Income_Eastern:Schedule 3D_Income_The Cape'!O14)</f>
        <v>1674</v>
      </c>
      <c r="P14" s="642">
        <f>SUM('Schedule 3B_Income_Eastern:Schedule 3D_Income_The Cape'!P14)</f>
        <v>408</v>
      </c>
      <c r="Q14" s="642">
        <f>SUM('Schedule 3B_Income_Eastern:Schedule 3D_Income_The Cape'!Q14)</f>
        <v>1749</v>
      </c>
      <c r="R14" s="642">
        <f>SUM('Schedule 3B_Income_Eastern:Schedule 3D_Income_The Cape'!R14)</f>
        <v>324</v>
      </c>
      <c r="S14" s="642">
        <f>SUM('Schedule 3B_Income_Eastern:Schedule 3D_Income_The Cape'!S14)</f>
        <v>1683</v>
      </c>
      <c r="T14" s="642">
        <f>SUM('Schedule 3B_Income_Eastern:Schedule 3D_Income_The Cape'!T14)</f>
        <v>7833</v>
      </c>
      <c r="U14" s="644">
        <f>SUM('Schedule 3B_Income_Eastern:Schedule 3D_Income_The Cape'!U14)</f>
        <v>7833</v>
      </c>
      <c r="V14" s="641"/>
      <c r="W14" s="642">
        <f>SUM('Schedule 3B_Income_Eastern:Schedule 3D_Income_The Cape'!W14)</f>
        <v>0</v>
      </c>
      <c r="X14" s="642">
        <f>SUM('Schedule 3B_Income_Eastern:Schedule 3D_Income_The Cape'!X14)</f>
        <v>372</v>
      </c>
      <c r="Y14" s="642">
        <f>SUM('Schedule 3B_Income_Eastern:Schedule 3D_Income_The Cape'!Y14)</f>
        <v>6</v>
      </c>
      <c r="Z14" s="642">
        <f>SUM('Schedule 3B_Income_Eastern:Schedule 3D_Income_The Cape'!Z14)</f>
        <v>309</v>
      </c>
      <c r="AA14" s="642">
        <f>SUM('Schedule 3B_Income_Eastern:Schedule 3D_Income_The Cape'!AA14)</f>
        <v>24</v>
      </c>
      <c r="AB14" s="642">
        <f>SUM('Schedule 3B_Income_Eastern:Schedule 3D_Income_The Cape'!AB14)</f>
        <v>294</v>
      </c>
      <c r="AC14" s="642">
        <f>SUM('Schedule 3B_Income_Eastern:Schedule 3D_Income_The Cape'!AC14)</f>
        <v>27</v>
      </c>
      <c r="AD14" s="642">
        <f>SUM('Schedule 3B_Income_Eastern:Schedule 3D_Income_The Cape'!AD14)</f>
        <v>300</v>
      </c>
      <c r="AE14" s="642">
        <f>SUM('Schedule 3B_Income_Eastern:Schedule 3D_Income_The Cape'!AE14)</f>
        <v>1332</v>
      </c>
      <c r="AF14" s="643">
        <f>SUM('Schedule 3B_Income_Eastern:Schedule 3D_Income_The Cape'!AF14)</f>
        <v>0</v>
      </c>
      <c r="AG14" s="642">
        <f>SUM('Schedule 3B_Income_Eastern:Schedule 3D_Income_The Cape'!AG14)</f>
        <v>372</v>
      </c>
      <c r="AH14" s="642">
        <f>SUM('Schedule 3B_Income_Eastern:Schedule 3D_Income_The Cape'!AH14)</f>
        <v>6</v>
      </c>
      <c r="AI14" s="642">
        <f>SUM('Schedule 3B_Income_Eastern:Schedule 3D_Income_The Cape'!AI14)</f>
        <v>309</v>
      </c>
      <c r="AJ14" s="642">
        <f>SUM('Schedule 3B_Income_Eastern:Schedule 3D_Income_The Cape'!AJ14)</f>
        <v>24</v>
      </c>
      <c r="AK14" s="642">
        <f>SUM('Schedule 3B_Income_Eastern:Schedule 3D_Income_The Cape'!AK14)</f>
        <v>294</v>
      </c>
      <c r="AL14" s="642">
        <f>SUM('Schedule 3B_Income_Eastern:Schedule 3D_Income_The Cape'!AL14)</f>
        <v>27</v>
      </c>
      <c r="AM14" s="642">
        <f>SUM('Schedule 3B_Income_Eastern:Schedule 3D_Income_The Cape'!AM14)</f>
        <v>300</v>
      </c>
      <c r="AN14" s="642">
        <f>SUM('Schedule 3B_Income_Eastern:Schedule 3D_Income_The Cape'!AN14)</f>
        <v>1332</v>
      </c>
      <c r="AO14" s="644">
        <f>SUM('Schedule 3B_Income_Eastern:Schedule 3D_Income_The Cape'!AO14)</f>
        <v>1332</v>
      </c>
      <c r="AP14" s="641"/>
      <c r="AQ14" s="642">
        <f>SUM('Schedule 3B_Income_Eastern:Schedule 3D_Income_The Cape'!AQ14)</f>
        <v>894</v>
      </c>
      <c r="AR14" s="642">
        <f>SUM('Schedule 3B_Income_Eastern:Schedule 3D_Income_The Cape'!AR14)</f>
        <v>3250.0277843209651</v>
      </c>
      <c r="AS14" s="642">
        <f>SUM('Schedule 3B_Income_Eastern:Schedule 3D_Income_The Cape'!AS14)</f>
        <v>912</v>
      </c>
      <c r="AT14" s="642">
        <f>SUM('Schedule 3B_Income_Eastern:Schedule 3D_Income_The Cape'!AT14)</f>
        <v>3245.2070762926114</v>
      </c>
      <c r="AU14" s="642">
        <f>SUM('Schedule 3B_Income_Eastern:Schedule 3D_Income_The Cape'!AU14)</f>
        <v>999.19470412460055</v>
      </c>
      <c r="AV14" s="642">
        <f>SUM('Schedule 3B_Income_Eastern:Schedule 3D_Income_The Cape'!AV14)</f>
        <v>3671.3062470720879</v>
      </c>
      <c r="AW14" s="642">
        <f>SUM('Schedule 3B_Income_Eastern:Schedule 3D_Income_The Cape'!AW14)</f>
        <v>1119</v>
      </c>
      <c r="AX14" s="642">
        <f>SUM('Schedule 3B_Income_Eastern:Schedule 3D_Income_The Cape'!AX14)</f>
        <v>4204.5375019282583</v>
      </c>
      <c r="AY14" s="642">
        <f>SUM('Schedule 3B_Income_Eastern:Schedule 3D_Income_The Cape'!AY14)</f>
        <v>18295.273313738522</v>
      </c>
      <c r="AZ14" s="643">
        <f>SUM('Schedule 3B_Income_Eastern:Schedule 3D_Income_The Cape'!AZ14)</f>
        <v>894</v>
      </c>
      <c r="BA14" s="642">
        <f>SUM('Schedule 3B_Income_Eastern:Schedule 3D_Income_The Cape'!BA14)</f>
        <v>3250.0277843209651</v>
      </c>
      <c r="BB14" s="642">
        <f>SUM('Schedule 3B_Income_Eastern:Schedule 3D_Income_The Cape'!BB14)</f>
        <v>912</v>
      </c>
      <c r="BC14" s="642">
        <f>SUM('Schedule 3B_Income_Eastern:Schedule 3D_Income_The Cape'!BC14)</f>
        <v>3245.2070762926114</v>
      </c>
      <c r="BD14" s="642">
        <f>SUM('Schedule 3B_Income_Eastern:Schedule 3D_Income_The Cape'!BD14)</f>
        <v>999.19470412460055</v>
      </c>
      <c r="BE14" s="642">
        <f>SUM('Schedule 3B_Income_Eastern:Schedule 3D_Income_The Cape'!BE14)</f>
        <v>3671.3062470720879</v>
      </c>
      <c r="BF14" s="642">
        <f>SUM('Schedule 3B_Income_Eastern:Schedule 3D_Income_The Cape'!BF14)</f>
        <v>1119</v>
      </c>
      <c r="BG14" s="642">
        <f>SUM('Schedule 3B_Income_Eastern:Schedule 3D_Income_The Cape'!BG14)</f>
        <v>4204.5375019282583</v>
      </c>
      <c r="BH14" s="642">
        <f>SUM('Schedule 3B_Income_Eastern:Schedule 3D_Income_The Cape'!BH14)</f>
        <v>18295.273313738522</v>
      </c>
      <c r="BI14" s="644">
        <f>SUM('Schedule 3B_Income_Eastern:Schedule 3D_Income_The Cape'!BI14)</f>
        <v>18295.273313738522</v>
      </c>
      <c r="BJ14" s="641"/>
      <c r="BK14" s="642">
        <f>SUM('Schedule 3B_Income_Eastern:Schedule 3D_Income_The Cape'!BK14)</f>
        <v>9</v>
      </c>
      <c r="BL14" s="642">
        <f>SUM('Schedule 3B_Income_Eastern:Schedule 3D_Income_The Cape'!BL14)</f>
        <v>156.56643746855076</v>
      </c>
      <c r="BM14" s="642">
        <f>SUM('Schedule 3B_Income_Eastern:Schedule 3D_Income_The Cape'!BM14)</f>
        <v>9</v>
      </c>
      <c r="BN14" s="642">
        <f>SUM('Schedule 3B_Income_Eastern:Schedule 3D_Income_The Cape'!BN14)</f>
        <v>131.8909714658007</v>
      </c>
      <c r="BO14" s="642">
        <f>SUM('Schedule 3B_Income_Eastern:Schedule 3D_Income_The Cape'!BO14)</f>
        <v>6.976806606498597</v>
      </c>
      <c r="BP14" s="642">
        <f>SUM('Schedule 3B_Income_Eastern:Schedule 3D_Income_The Cape'!BP14)</f>
        <v>144.86827109052106</v>
      </c>
      <c r="BQ14" s="642">
        <f>SUM('Schedule 3B_Income_Eastern:Schedule 3D_Income_The Cape'!BQ14)</f>
        <v>0</v>
      </c>
      <c r="BR14" s="642">
        <f>SUM('Schedule 3B_Income_Eastern:Schedule 3D_Income_The Cape'!BR14)</f>
        <v>136.64731933720583</v>
      </c>
      <c r="BS14" s="642">
        <f>SUM('Schedule 3B_Income_Eastern:Schedule 3D_Income_The Cape'!BS14)</f>
        <v>594.94980596857692</v>
      </c>
      <c r="BT14" s="643">
        <f>SUM('Schedule 3B_Income_Eastern:Schedule 3D_Income_The Cape'!BT14)</f>
        <v>9</v>
      </c>
      <c r="BU14" s="642">
        <f>SUM('Schedule 3B_Income_Eastern:Schedule 3D_Income_The Cape'!BU14)</f>
        <v>156.56643746855076</v>
      </c>
      <c r="BV14" s="642">
        <f>SUM('Schedule 3B_Income_Eastern:Schedule 3D_Income_The Cape'!BV14)</f>
        <v>9</v>
      </c>
      <c r="BW14" s="642">
        <f>SUM('Schedule 3B_Income_Eastern:Schedule 3D_Income_The Cape'!BW14)</f>
        <v>131.8909714658007</v>
      </c>
      <c r="BX14" s="642">
        <f>SUM('Schedule 3B_Income_Eastern:Schedule 3D_Income_The Cape'!BX14)</f>
        <v>6.976806606498597</v>
      </c>
      <c r="BY14" s="642">
        <f>SUM('Schedule 3B_Income_Eastern:Schedule 3D_Income_The Cape'!BY14)</f>
        <v>144.86827109052106</v>
      </c>
      <c r="BZ14" s="642">
        <f>SUM('Schedule 3B_Income_Eastern:Schedule 3D_Income_The Cape'!BZ14)</f>
        <v>0</v>
      </c>
      <c r="CA14" s="642">
        <f>SUM('Schedule 3B_Income_Eastern:Schedule 3D_Income_The Cape'!CA14)</f>
        <v>136.64731933720583</v>
      </c>
      <c r="CB14" s="642">
        <f>SUM('Schedule 3B_Income_Eastern:Schedule 3D_Income_The Cape'!CB14)</f>
        <v>594.94980596857692</v>
      </c>
      <c r="CC14" s="644">
        <f>SUM('Schedule 3B_Income_Eastern:Schedule 3D_Income_The Cape'!CC14)</f>
        <v>594.94980596857692</v>
      </c>
      <c r="CD14" s="641"/>
      <c r="CE14" s="637">
        <f>+C14+D14+W14+X14+AQ14+AR14+BK14+BL14</f>
        <v>6298.5942217895163</v>
      </c>
      <c r="CF14" s="637">
        <f>+E14+F14+Y14+Z14+AS14+AT14+BM14+BN14</f>
        <v>6665.0980477584126</v>
      </c>
      <c r="CG14" s="637">
        <f>+G14+H14+AA14+AB14+AU14+AV14+BO14+BP14</f>
        <v>7297.3460288937085</v>
      </c>
      <c r="CH14" s="637">
        <f>+I14+J14+AC14+AD14+AW14+AX14+BQ14+BR14</f>
        <v>7794.1848212654641</v>
      </c>
      <c r="CI14" s="638">
        <f>SUM(K14,AE14,AY14,BS14)</f>
        <v>28055.223119707098</v>
      </c>
      <c r="CJ14" s="637">
        <f>L14+M14+AF14+AG14+AZ14+BA14+BT14+BU14</f>
        <v>6298.5942217895163</v>
      </c>
      <c r="CK14" s="637">
        <f>N14+O14+AH14+AI14+BB14+BC14+BV14+BW14</f>
        <v>6665.0980477584126</v>
      </c>
      <c r="CL14" s="637">
        <f>P14+Q14+AJ14+AK14+BD14+BE14+BX14+BY14</f>
        <v>7297.3460288937085</v>
      </c>
      <c r="CM14" s="637">
        <f>+R14+S14+AL14+AM14+BF14+BG14+BZ14+CA14</f>
        <v>7794.1848212654641</v>
      </c>
      <c r="CN14" s="638">
        <f>SUM(T14,AN14,BH14,CB14)</f>
        <v>28055.223119707098</v>
      </c>
      <c r="CO14" s="637">
        <f>+C14+D14+W14+X14+AQ14+AR14+BK14+BL14</f>
        <v>6298.5942217895163</v>
      </c>
      <c r="CP14" s="637">
        <f>+E14+F14+Y14+Z14+AS14+AT14+BM14+BN14</f>
        <v>6665.0980477584126</v>
      </c>
      <c r="CQ14" s="637">
        <f>+G14+H14+AA14+AB14+AU14+AV14+BO14+BP14</f>
        <v>7297.3460288937085</v>
      </c>
      <c r="CR14" s="637">
        <f>+I14+J14+AC14+AD14+AW14+AX14+BQ14+BR14</f>
        <v>7794.1848212654641</v>
      </c>
      <c r="CS14" s="638">
        <f t="shared" ref="CS14" si="0">SUM(CC14,BI14,AO14,U14)</f>
        <v>28055.223119707098</v>
      </c>
    </row>
    <row r="15" spans="1:99"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7"/>
      <c r="V15" s="193"/>
      <c r="W15" s="104"/>
      <c r="X15" s="104"/>
      <c r="Y15" s="104"/>
      <c r="Z15" s="104"/>
      <c r="AA15" s="104"/>
      <c r="AB15" s="104"/>
      <c r="AC15" s="104"/>
      <c r="AD15" s="104"/>
      <c r="AE15" s="375"/>
      <c r="AF15" s="376"/>
      <c r="AG15" s="104"/>
      <c r="AH15" s="104"/>
      <c r="AI15" s="104"/>
      <c r="AJ15" s="104"/>
      <c r="AK15" s="104"/>
      <c r="AL15" s="104"/>
      <c r="AM15" s="104"/>
      <c r="AN15" s="104"/>
      <c r="AO15" s="377"/>
      <c r="AP15" s="193"/>
      <c r="AQ15" s="104"/>
      <c r="AR15" s="104"/>
      <c r="AS15" s="104"/>
      <c r="AT15" s="104"/>
      <c r="AU15" s="104"/>
      <c r="AV15" s="104"/>
      <c r="AW15" s="104"/>
      <c r="AX15" s="104"/>
      <c r="AY15" s="375"/>
      <c r="AZ15" s="376"/>
      <c r="BA15" s="104"/>
      <c r="BB15" s="104"/>
      <c r="BC15" s="104"/>
      <c r="BD15" s="104"/>
      <c r="BE15" s="104"/>
      <c r="BF15" s="104"/>
      <c r="BG15" s="104"/>
      <c r="BH15" s="104"/>
      <c r="BI15" s="377"/>
      <c r="BJ15" s="193"/>
      <c r="BK15" s="178"/>
      <c r="BL15" s="178"/>
      <c r="BM15" s="178"/>
      <c r="BN15" s="178"/>
      <c r="BO15" s="178"/>
      <c r="BP15" s="178"/>
      <c r="BQ15" s="104"/>
      <c r="BR15" s="104"/>
      <c r="BS15" s="375"/>
      <c r="BT15" s="376"/>
      <c r="BU15" s="104"/>
      <c r="BV15" s="104"/>
      <c r="BW15" s="104"/>
      <c r="BX15" s="104"/>
      <c r="BY15" s="104"/>
      <c r="BZ15" s="104"/>
      <c r="CA15" s="104"/>
      <c r="CB15" s="104"/>
      <c r="CC15" s="377"/>
      <c r="CD15" s="193"/>
      <c r="CE15" s="199"/>
      <c r="CF15" s="199"/>
      <c r="CG15" s="199"/>
      <c r="CH15" s="199"/>
      <c r="CI15" s="193"/>
      <c r="CJ15" s="199"/>
      <c r="CK15" s="199"/>
      <c r="CL15" s="199"/>
      <c r="CM15" s="199"/>
      <c r="CN15" s="193"/>
      <c r="CO15" s="199"/>
      <c r="CP15" s="199"/>
      <c r="CQ15" s="199"/>
      <c r="CR15" s="199"/>
      <c r="CS15" s="193"/>
    </row>
    <row r="16" spans="1:99" ht="15.75" customHeight="1">
      <c r="A16" s="135" t="s">
        <v>171</v>
      </c>
      <c r="B16" s="300">
        <v>1</v>
      </c>
      <c r="C16" s="585">
        <f>SUM('Schedule 3B_Income_Eastern:Schedule 3D_Income_The Cape'!C16)</f>
        <v>1310337.92000003</v>
      </c>
      <c r="D16" s="585">
        <f>SUM('Schedule 3B_Income_Eastern:Schedule 3D_Income_The Cape'!D16)</f>
        <v>2747294.470000241</v>
      </c>
      <c r="E16" s="585">
        <f>SUM('Schedule 3B_Income_Eastern:Schedule 3D_Income_The Cape'!E16)</f>
        <v>1356647.0300000301</v>
      </c>
      <c r="F16" s="585">
        <f>SUM('Schedule 3B_Income_Eastern:Schedule 3D_Income_The Cape'!F16)</f>
        <v>2841011.2500002612</v>
      </c>
      <c r="G16" s="585">
        <f>SUM('Schedule 3B_Income_Eastern:Schedule 3D_Income_The Cape'!G16)</f>
        <v>1406455.43000004</v>
      </c>
      <c r="H16" s="585">
        <f>SUM('Schedule 3B_Income_Eastern:Schedule 3D_Income_The Cape'!H16)</f>
        <v>2977048.2900002832</v>
      </c>
      <c r="I16" s="585">
        <f>SUM('Schedule 3B_Income_Eastern:Schedule 3D_Income_The Cape'!I16)</f>
        <v>1473777.3300000401</v>
      </c>
      <c r="J16" s="585">
        <f>SUM('Schedule 3B_Income_Eastern:Schedule 3D_Income_The Cape'!J16)</f>
        <v>3017302.880000283</v>
      </c>
      <c r="K16" s="586">
        <f t="shared" ref="K16:K23" si="1">SUM(C16:J16)</f>
        <v>17129874.600001208</v>
      </c>
      <c r="L16" s="587">
        <f>SUM('Schedule 3B_Income_Eastern:Schedule 3D_Income_The Cape'!L16)</f>
        <v>0</v>
      </c>
      <c r="M16" s="585">
        <f>SUM('Schedule 3B_Income_Eastern:Schedule 3D_Income_The Cape'!M16)</f>
        <v>0</v>
      </c>
      <c r="N16" s="585">
        <f>SUM('Schedule 3B_Income_Eastern:Schedule 3D_Income_The Cape'!N16)</f>
        <v>0</v>
      </c>
      <c r="O16" s="585">
        <f>SUM('Schedule 3B_Income_Eastern:Schedule 3D_Income_The Cape'!O16)</f>
        <v>0</v>
      </c>
      <c r="P16" s="585">
        <f>SUM('Schedule 3B_Income_Eastern:Schedule 3D_Income_The Cape'!P16)</f>
        <v>0</v>
      </c>
      <c r="Q16" s="585">
        <f>SUM('Schedule 3B_Income_Eastern:Schedule 3D_Income_The Cape'!Q16)</f>
        <v>0</v>
      </c>
      <c r="R16" s="585">
        <f>SUM('Schedule 3B_Income_Eastern:Schedule 3D_Income_The Cape'!R16)</f>
        <v>0</v>
      </c>
      <c r="S16" s="585">
        <f>SUM('Schedule 3B_Income_Eastern:Schedule 3D_Income_The Cape'!S16)</f>
        <v>0</v>
      </c>
      <c r="T16" s="588">
        <f t="shared" ref="T16:T23" si="2">SUM(L16:S16)</f>
        <v>0</v>
      </c>
      <c r="U16" s="589">
        <f t="shared" ref="U16:U23" si="3">SUM(K16,T16)</f>
        <v>17129874.600001208</v>
      </c>
      <c r="V16" s="300">
        <v>1</v>
      </c>
      <c r="W16" s="585">
        <f>SUM('Schedule 3B_Income_Eastern:Schedule 3D_Income_The Cape'!W16)</f>
        <v>211537.86</v>
      </c>
      <c r="X16" s="585">
        <f>SUM('Schedule 3B_Income_Eastern:Schedule 3D_Income_The Cape'!X16)</f>
        <v>1419351.3100000189</v>
      </c>
      <c r="Y16" s="585">
        <f>SUM('Schedule 3B_Income_Eastern:Schedule 3D_Income_The Cape'!Y16)</f>
        <v>209881.93</v>
      </c>
      <c r="Z16" s="585">
        <f>SUM('Schedule 3B_Income_Eastern:Schedule 3D_Income_The Cape'!Z16)</f>
        <v>1356663.7700000182</v>
      </c>
      <c r="AA16" s="585">
        <f>SUM('Schedule 3B_Income_Eastern:Schedule 3D_Income_The Cape'!AA16)</f>
        <v>208417.22999999998</v>
      </c>
      <c r="AB16" s="585">
        <f>SUM('Schedule 3B_Income_Eastern:Schedule 3D_Income_The Cape'!AB16)</f>
        <v>1366160.390000019</v>
      </c>
      <c r="AC16" s="585">
        <f>SUM('Schedule 3B_Income_Eastern:Schedule 3D_Income_The Cape'!AC16)</f>
        <v>234610.53</v>
      </c>
      <c r="AD16" s="585">
        <f>SUM('Schedule 3B_Income_Eastern:Schedule 3D_Income_The Cape'!AD16)</f>
        <v>1416501.0300000201</v>
      </c>
      <c r="AE16" s="586">
        <f t="shared" ref="AE16:AE23" si="4">SUM(W16:AD16)</f>
        <v>6423124.0500000762</v>
      </c>
      <c r="AF16" s="587">
        <f>SUM('Schedule 3B_Income_Eastern:Schedule 3D_Income_The Cape'!AF16)</f>
        <v>0</v>
      </c>
      <c r="AG16" s="585">
        <f>SUM('Schedule 3B_Income_Eastern:Schedule 3D_Income_The Cape'!AG16)</f>
        <v>0</v>
      </c>
      <c r="AH16" s="585">
        <f>SUM('Schedule 3B_Income_Eastern:Schedule 3D_Income_The Cape'!AH16)</f>
        <v>0</v>
      </c>
      <c r="AI16" s="585">
        <f>SUM('Schedule 3B_Income_Eastern:Schedule 3D_Income_The Cape'!AI16)</f>
        <v>0</v>
      </c>
      <c r="AJ16" s="585">
        <f>SUM('Schedule 3B_Income_Eastern:Schedule 3D_Income_The Cape'!AJ16)</f>
        <v>0</v>
      </c>
      <c r="AK16" s="585">
        <f>SUM('Schedule 3B_Income_Eastern:Schedule 3D_Income_The Cape'!AK16)</f>
        <v>0</v>
      </c>
      <c r="AL16" s="585">
        <f>SUM('Schedule 3B_Income_Eastern:Schedule 3D_Income_The Cape'!AL16)</f>
        <v>0</v>
      </c>
      <c r="AM16" s="585">
        <f>SUM('Schedule 3B_Income_Eastern:Schedule 3D_Income_The Cape'!AM16)</f>
        <v>0</v>
      </c>
      <c r="AN16" s="588">
        <f t="shared" ref="AN16:AN23" si="5">SUM(AF16:AM16)</f>
        <v>0</v>
      </c>
      <c r="AO16" s="589">
        <f t="shared" ref="AO16:AO23" si="6">SUM(AE16,AN16)</f>
        <v>6423124.0500000762</v>
      </c>
      <c r="AP16" s="300">
        <v>1</v>
      </c>
      <c r="AQ16" s="585">
        <f>SUM('Schedule 3B_Income_Eastern:Schedule 3D_Income_The Cape'!AQ16)</f>
        <v>23415787.809998188</v>
      </c>
      <c r="AR16" s="585">
        <f>SUM('Schedule 3B_Income_Eastern:Schedule 3D_Income_The Cape'!AR16)</f>
        <v>55299210.130006224</v>
      </c>
      <c r="AS16" s="585">
        <f>SUM('Schedule 3B_Income_Eastern:Schedule 3D_Income_The Cape'!AS16)</f>
        <v>25063089.909998</v>
      </c>
      <c r="AT16" s="585">
        <f>SUM('Schedule 3B_Income_Eastern:Schedule 3D_Income_The Cape'!AT16)</f>
        <v>58194493.690009229</v>
      </c>
      <c r="AU16" s="585">
        <f>SUM('Schedule 3B_Income_Eastern:Schedule 3D_Income_The Cape'!AU16)</f>
        <v>26431821.770000603</v>
      </c>
      <c r="AV16" s="585">
        <f>SUM('Schedule 3B_Income_Eastern:Schedule 3D_Income_The Cape'!AV16)</f>
        <v>61460590.620016634</v>
      </c>
      <c r="AW16" s="585">
        <f>SUM('Schedule 3B_Income_Eastern:Schedule 3D_Income_The Cape'!AW16)</f>
        <v>29204724.680001199</v>
      </c>
      <c r="AX16" s="585">
        <f>SUM('Schedule 3B_Income_Eastern:Schedule 3D_Income_The Cape'!AX16)</f>
        <v>64214982.450019404</v>
      </c>
      <c r="AY16" s="586">
        <f t="shared" ref="AY16:AY23" si="7">SUM(AQ16:AX16)</f>
        <v>343284701.06004947</v>
      </c>
      <c r="AZ16" s="587">
        <f>SUM('Schedule 3B_Income_Eastern:Schedule 3D_Income_The Cape'!AZ16)</f>
        <v>0</v>
      </c>
      <c r="BA16" s="585">
        <f>SUM('Schedule 3B_Income_Eastern:Schedule 3D_Income_The Cape'!BA16)</f>
        <v>0</v>
      </c>
      <c r="BB16" s="585">
        <f>SUM('Schedule 3B_Income_Eastern:Schedule 3D_Income_The Cape'!BB16)</f>
        <v>0</v>
      </c>
      <c r="BC16" s="585">
        <f>SUM('Schedule 3B_Income_Eastern:Schedule 3D_Income_The Cape'!BC16)</f>
        <v>0</v>
      </c>
      <c r="BD16" s="585">
        <f>SUM('Schedule 3B_Income_Eastern:Schedule 3D_Income_The Cape'!BD16)</f>
        <v>0</v>
      </c>
      <c r="BE16" s="585">
        <f>SUM('Schedule 3B_Income_Eastern:Schedule 3D_Income_The Cape'!BE16)</f>
        <v>0</v>
      </c>
      <c r="BF16" s="585">
        <f>SUM('Schedule 3B_Income_Eastern:Schedule 3D_Income_The Cape'!BF16)</f>
        <v>0</v>
      </c>
      <c r="BG16" s="585">
        <f>SUM('Schedule 3B_Income_Eastern:Schedule 3D_Income_The Cape'!BG16)</f>
        <v>0</v>
      </c>
      <c r="BH16" s="588">
        <f t="shared" ref="BH16:BH23" si="8">SUM(AZ16:BG16)</f>
        <v>0</v>
      </c>
      <c r="BI16" s="589">
        <f t="shared" ref="BI16:BI23" si="9">SUM(AY16,BH16)</f>
        <v>343284701.06004947</v>
      </c>
      <c r="BJ16" s="300">
        <v>1</v>
      </c>
      <c r="BK16" s="585">
        <f>SUM('Schedule 3B_Income_Eastern:Schedule 3D_Income_The Cape'!BK16)</f>
        <v>498971.45</v>
      </c>
      <c r="BL16" s="585">
        <f>SUM('Schedule 3B_Income_Eastern:Schedule 3D_Income_The Cape'!BL16)</f>
        <v>5725939.6699999999</v>
      </c>
      <c r="BM16" s="585">
        <f>SUM('Schedule 3B_Income_Eastern:Schedule 3D_Income_The Cape'!BM16)</f>
        <v>475705.26</v>
      </c>
      <c r="BN16" s="585">
        <f>SUM('Schedule 3B_Income_Eastern:Schedule 3D_Income_The Cape'!BN16)</f>
        <v>5446335.2999999998</v>
      </c>
      <c r="BO16" s="585">
        <f>SUM('Schedule 3B_Income_Eastern:Schedule 3D_Income_The Cape'!BO16)</f>
        <v>479600.67000000004</v>
      </c>
      <c r="BP16" s="585">
        <f>SUM('Schedule 3B_Income_Eastern:Schedule 3D_Income_The Cape'!BP16)</f>
        <v>5313797.7600000007</v>
      </c>
      <c r="BQ16" s="585">
        <f>SUM('Schedule 3B_Income_Eastern:Schedule 3D_Income_The Cape'!BQ16)</f>
        <v>531472.93999999994</v>
      </c>
      <c r="BR16" s="585">
        <f>SUM('Schedule 3B_Income_Eastern:Schedule 3D_Income_The Cape'!BR16)</f>
        <v>5568984.9300000006</v>
      </c>
      <c r="BS16" s="586">
        <f t="shared" ref="BS16:BS23" si="10">SUM(BK16:BR16)</f>
        <v>24040807.98</v>
      </c>
      <c r="BT16" s="587">
        <f>SUM('Schedule 3B_Income_Eastern:Schedule 3D_Income_The Cape'!BT16)</f>
        <v>0</v>
      </c>
      <c r="BU16" s="585">
        <f>SUM('Schedule 3B_Income_Eastern:Schedule 3D_Income_The Cape'!BU16)</f>
        <v>0</v>
      </c>
      <c r="BV16" s="585">
        <f>SUM('Schedule 3B_Income_Eastern:Schedule 3D_Income_The Cape'!BV16)</f>
        <v>0</v>
      </c>
      <c r="BW16" s="585">
        <f>SUM('Schedule 3B_Income_Eastern:Schedule 3D_Income_The Cape'!BW16)</f>
        <v>0</v>
      </c>
      <c r="BX16" s="585">
        <f>SUM('Schedule 3B_Income_Eastern:Schedule 3D_Income_The Cape'!BX16)</f>
        <v>0</v>
      </c>
      <c r="BY16" s="585">
        <f>SUM('Schedule 3B_Income_Eastern:Schedule 3D_Income_The Cape'!BY16)</f>
        <v>0</v>
      </c>
      <c r="BZ16" s="585">
        <f>SUM('Schedule 3B_Income_Eastern:Schedule 3D_Income_The Cape'!BZ16)</f>
        <v>0</v>
      </c>
      <c r="CA16" s="585">
        <f>SUM('Schedule 3B_Income_Eastern:Schedule 3D_Income_The Cape'!CA16)</f>
        <v>0</v>
      </c>
      <c r="CB16" s="588">
        <f t="shared" ref="CB16:CB23" si="11">SUM(BT16:CA16)</f>
        <v>0</v>
      </c>
      <c r="CC16" s="589">
        <f t="shared" ref="CC16:CC23" si="12">SUM(BS16,CB16)</f>
        <v>24040807.98</v>
      </c>
      <c r="CD16" s="300">
        <v>1</v>
      </c>
      <c r="CE16" s="414">
        <f>+C16+D16+W16+X16+AQ16+AR16+BK16+BL16</f>
        <v>90628430.620004714</v>
      </c>
      <c r="CF16" s="414">
        <f>+E16+F16+Y16+Z16+AS16+AT16+BM16+BN16</f>
        <v>94943828.140007541</v>
      </c>
      <c r="CG16" s="414">
        <f>+G16+H16+AA16+AB16+AU16+AV16+BO16+BP16</f>
        <v>99643892.16001758</v>
      </c>
      <c r="CH16" s="414">
        <f>+I16+J16+AC16+AD16+AW16+AX16+BQ16+BR16</f>
        <v>105662356.77002096</v>
      </c>
      <c r="CI16" s="416">
        <f>SUM(K16,AE16,AY16,BS16)</f>
        <v>390878507.69005078</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90628430.620004714</v>
      </c>
      <c r="CP16" s="414">
        <f>+E16+F16+N16+O16+Y16+Z16+AH16+AI16+AS16+AT16+BB16+BC16+BM16+BN16+BV16+BW16</f>
        <v>94943828.140007541</v>
      </c>
      <c r="CQ16" s="414">
        <f>+G16+H16+P16+Q16+AA16+AB16+AJ16+AK16+AU16+AV16+BD16+BE16+BO16+BP16+BX16+BY16</f>
        <v>99643892.16001758</v>
      </c>
      <c r="CR16" s="414">
        <f>+I16+J16+R16+S16+AC16+AD16+AL16+AM16+AW16+AX16+BF16+BG16+BQ16+BR16+BZ16+CA16</f>
        <v>105662356.77002096</v>
      </c>
      <c r="CS16" s="416">
        <f t="shared" ref="CS16:CS23" si="13">SUM(CC16,BI16,AO16,U16)</f>
        <v>390878507.69005078</v>
      </c>
    </row>
    <row r="17" spans="1:99" ht="15.75" customHeight="1">
      <c r="A17" s="88" t="s">
        <v>1337</v>
      </c>
      <c r="B17" s="300"/>
      <c r="C17" s="585">
        <f>SUM('Schedule 3B_Income_Eastern:Schedule 3D_Income_The Cape'!C17)</f>
        <v>0</v>
      </c>
      <c r="D17" s="585">
        <f>SUM('Schedule 3B_Income_Eastern:Schedule 3D_Income_The Cape'!D17)</f>
        <v>0</v>
      </c>
      <c r="E17" s="585">
        <f>SUM('Schedule 3B_Income_Eastern:Schedule 3D_Income_The Cape'!E17)</f>
        <v>0</v>
      </c>
      <c r="F17" s="585">
        <f>SUM('Schedule 3B_Income_Eastern:Schedule 3D_Income_The Cape'!F17)</f>
        <v>0</v>
      </c>
      <c r="G17" s="585">
        <f>SUM('Schedule 3B_Income_Eastern:Schedule 3D_Income_The Cape'!G17)</f>
        <v>0</v>
      </c>
      <c r="H17" s="585">
        <f>SUM('Schedule 3B_Income_Eastern:Schedule 3D_Income_The Cape'!H17)</f>
        <v>0</v>
      </c>
      <c r="I17" s="585">
        <f>SUM('Schedule 3B_Income_Eastern:Schedule 3D_Income_The Cape'!I17)</f>
        <v>0</v>
      </c>
      <c r="J17" s="585">
        <f>SUM('Schedule 3B_Income_Eastern:Schedule 3D_Income_The Cape'!J17)</f>
        <v>0</v>
      </c>
      <c r="K17" s="586">
        <f t="shared" si="1"/>
        <v>0</v>
      </c>
      <c r="L17" s="587">
        <f>SUM('Schedule 3B_Income_Eastern:Schedule 3D_Income_The Cape'!L17)</f>
        <v>0</v>
      </c>
      <c r="M17" s="585">
        <f>SUM('Schedule 3B_Income_Eastern:Schedule 3D_Income_The Cape'!M17)</f>
        <v>6337074.6753999805</v>
      </c>
      <c r="N17" s="585">
        <f>SUM('Schedule 3B_Income_Eastern:Schedule 3D_Income_The Cape'!N17)</f>
        <v>0</v>
      </c>
      <c r="O17" s="585">
        <f>SUM('Schedule 3B_Income_Eastern:Schedule 3D_Income_The Cape'!O17)</f>
        <v>5783412.6504000006</v>
      </c>
      <c r="P17" s="585">
        <f>SUM('Schedule 3B_Income_Eastern:Schedule 3D_Income_The Cape'!P17)</f>
        <v>0</v>
      </c>
      <c r="Q17" s="585">
        <f>SUM('Schedule 3B_Income_Eastern:Schedule 3D_Income_The Cape'!Q17)</f>
        <v>6296492.3461999735</v>
      </c>
      <c r="R17" s="585">
        <f>SUM('Schedule 3B_Income_Eastern:Schedule 3D_Income_The Cape'!R17)</f>
        <v>0</v>
      </c>
      <c r="S17" s="585">
        <f>SUM('Schedule 3B_Income_Eastern:Schedule 3D_Income_The Cape'!S17)</f>
        <v>6337018.3547999924</v>
      </c>
      <c r="T17" s="588">
        <f t="shared" si="2"/>
        <v>24753998.026799947</v>
      </c>
      <c r="U17" s="589">
        <f t="shared" si="3"/>
        <v>24753998.026799947</v>
      </c>
      <c r="V17" s="300"/>
      <c r="W17" s="585">
        <f>SUM('Schedule 3B_Income_Eastern:Schedule 3D_Income_The Cape'!W17)</f>
        <v>0</v>
      </c>
      <c r="X17" s="585">
        <f>SUM('Schedule 3B_Income_Eastern:Schedule 3D_Income_The Cape'!X17)</f>
        <v>0</v>
      </c>
      <c r="Y17" s="585">
        <f>SUM('Schedule 3B_Income_Eastern:Schedule 3D_Income_The Cape'!Y17)</f>
        <v>0</v>
      </c>
      <c r="Z17" s="585">
        <f>SUM('Schedule 3B_Income_Eastern:Schedule 3D_Income_The Cape'!Z17)</f>
        <v>0</v>
      </c>
      <c r="AA17" s="585">
        <f>SUM('Schedule 3B_Income_Eastern:Schedule 3D_Income_The Cape'!AA17)</f>
        <v>0</v>
      </c>
      <c r="AB17" s="585">
        <f>SUM('Schedule 3B_Income_Eastern:Schedule 3D_Income_The Cape'!AB17)</f>
        <v>0</v>
      </c>
      <c r="AC17" s="585">
        <f>SUM('Schedule 3B_Income_Eastern:Schedule 3D_Income_The Cape'!AC17)</f>
        <v>0</v>
      </c>
      <c r="AD17" s="585">
        <f>SUM('Schedule 3B_Income_Eastern:Schedule 3D_Income_The Cape'!AD17)</f>
        <v>0</v>
      </c>
      <c r="AE17" s="586">
        <f t="shared" si="4"/>
        <v>0</v>
      </c>
      <c r="AF17" s="587">
        <f>SUM('Schedule 3B_Income_Eastern:Schedule 3D_Income_The Cape'!AF17)</f>
        <v>0</v>
      </c>
      <c r="AG17" s="585">
        <f>SUM('Schedule 3B_Income_Eastern:Schedule 3D_Income_The Cape'!AG17)</f>
        <v>2072549.2466</v>
      </c>
      <c r="AH17" s="585">
        <f>SUM('Schedule 3B_Income_Eastern:Schedule 3D_Income_The Cape'!AH17)</f>
        <v>0</v>
      </c>
      <c r="AI17" s="585">
        <f>SUM('Schedule 3B_Income_Eastern:Schedule 3D_Income_The Cape'!AI17)</f>
        <v>1730864.9358000001</v>
      </c>
      <c r="AJ17" s="585">
        <f>SUM('Schedule 3B_Income_Eastern:Schedule 3D_Income_The Cape'!AJ17)</f>
        <v>0</v>
      </c>
      <c r="AK17" s="585">
        <f>SUM('Schedule 3B_Income_Eastern:Schedule 3D_Income_The Cape'!AK17)</f>
        <v>1829560.6573999999</v>
      </c>
      <c r="AL17" s="585">
        <f>SUM('Schedule 3B_Income_Eastern:Schedule 3D_Income_The Cape'!AL17)</f>
        <v>0</v>
      </c>
      <c r="AM17" s="585">
        <f>SUM('Schedule 3B_Income_Eastern:Schedule 3D_Income_The Cape'!AM17)</f>
        <v>1865380.5688</v>
      </c>
      <c r="AN17" s="588">
        <f t="shared" si="5"/>
        <v>7498355.4086000007</v>
      </c>
      <c r="AO17" s="589">
        <f t="shared" si="6"/>
        <v>7498355.4086000007</v>
      </c>
      <c r="AP17" s="300"/>
      <c r="AQ17" s="585">
        <f>SUM('Schedule 3B_Income_Eastern:Schedule 3D_Income_The Cape'!AQ17)</f>
        <v>0</v>
      </c>
      <c r="AR17" s="585">
        <f>SUM('Schedule 3B_Income_Eastern:Schedule 3D_Income_The Cape'!AR17)</f>
        <v>0</v>
      </c>
      <c r="AS17" s="585">
        <f>SUM('Schedule 3B_Income_Eastern:Schedule 3D_Income_The Cape'!AS17)</f>
        <v>0</v>
      </c>
      <c r="AT17" s="585">
        <f>SUM('Schedule 3B_Income_Eastern:Schedule 3D_Income_The Cape'!AT17)</f>
        <v>0</v>
      </c>
      <c r="AU17" s="585">
        <f>SUM('Schedule 3B_Income_Eastern:Schedule 3D_Income_The Cape'!AU17)</f>
        <v>0</v>
      </c>
      <c r="AV17" s="585">
        <f>SUM('Schedule 3B_Income_Eastern:Schedule 3D_Income_The Cape'!AV17)</f>
        <v>0</v>
      </c>
      <c r="AW17" s="585">
        <f>SUM('Schedule 3B_Income_Eastern:Schedule 3D_Income_The Cape'!AW17)</f>
        <v>0</v>
      </c>
      <c r="AX17" s="585">
        <f>SUM('Schedule 3B_Income_Eastern:Schedule 3D_Income_The Cape'!AX17)</f>
        <v>0</v>
      </c>
      <c r="AY17" s="586">
        <f t="shared" si="7"/>
        <v>0</v>
      </c>
      <c r="AZ17" s="587">
        <f>SUM('Schedule 3B_Income_Eastern:Schedule 3D_Income_The Cape'!AZ17)</f>
        <v>0</v>
      </c>
      <c r="BA17" s="585">
        <f>SUM('Schedule 3B_Income_Eastern:Schedule 3D_Income_The Cape'!BA17)</f>
        <v>48089052.583599687</v>
      </c>
      <c r="BB17" s="585">
        <f>SUM('Schedule 3B_Income_Eastern:Schedule 3D_Income_The Cape'!BB17)</f>
        <v>0</v>
      </c>
      <c r="BC17" s="585">
        <f>SUM('Schedule 3B_Income_Eastern:Schedule 3D_Income_The Cape'!BC17)</f>
        <v>39711166.039999314</v>
      </c>
      <c r="BD17" s="585">
        <f>SUM('Schedule 3B_Income_Eastern:Schedule 3D_Income_The Cape'!BD17)</f>
        <v>0</v>
      </c>
      <c r="BE17" s="585">
        <f>SUM('Schedule 3B_Income_Eastern:Schedule 3D_Income_The Cape'!BE17)</f>
        <v>45534803.270600036</v>
      </c>
      <c r="BF17" s="585">
        <f>SUM('Schedule 3B_Income_Eastern:Schedule 3D_Income_The Cape'!BF17)</f>
        <v>0</v>
      </c>
      <c r="BG17" s="585">
        <f>SUM('Schedule 3B_Income_Eastern:Schedule 3D_Income_The Cape'!BG17)</f>
        <v>46215151.855599932</v>
      </c>
      <c r="BH17" s="588">
        <f t="shared" si="8"/>
        <v>179550173.74979895</v>
      </c>
      <c r="BI17" s="589">
        <f t="shared" si="9"/>
        <v>179550173.74979895</v>
      </c>
      <c r="BJ17" s="300"/>
      <c r="BK17" s="585">
        <f>SUM('Schedule 3B_Income_Eastern:Schedule 3D_Income_The Cape'!BK17)</f>
        <v>0</v>
      </c>
      <c r="BL17" s="585">
        <f>SUM('Schedule 3B_Income_Eastern:Schedule 3D_Income_The Cape'!BL17)</f>
        <v>0</v>
      </c>
      <c r="BM17" s="585">
        <f>SUM('Schedule 3B_Income_Eastern:Schedule 3D_Income_The Cape'!BM17)</f>
        <v>0</v>
      </c>
      <c r="BN17" s="585">
        <f>SUM('Schedule 3B_Income_Eastern:Schedule 3D_Income_The Cape'!BN17)</f>
        <v>0</v>
      </c>
      <c r="BO17" s="585">
        <f>SUM('Schedule 3B_Income_Eastern:Schedule 3D_Income_The Cape'!BO17)</f>
        <v>0</v>
      </c>
      <c r="BP17" s="585">
        <f>SUM('Schedule 3B_Income_Eastern:Schedule 3D_Income_The Cape'!BP17)</f>
        <v>0</v>
      </c>
      <c r="BQ17" s="585">
        <f>SUM('Schedule 3B_Income_Eastern:Schedule 3D_Income_The Cape'!BQ17)</f>
        <v>0</v>
      </c>
      <c r="BR17" s="585">
        <f>SUM('Schedule 3B_Income_Eastern:Schedule 3D_Income_The Cape'!BR17)</f>
        <v>0</v>
      </c>
      <c r="BS17" s="586">
        <f t="shared" si="10"/>
        <v>0</v>
      </c>
      <c r="BT17" s="587">
        <f>SUM('Schedule 3B_Income_Eastern:Schedule 3D_Income_The Cape'!BT17)</f>
        <v>0</v>
      </c>
      <c r="BU17" s="585">
        <f>SUM('Schedule 3B_Income_Eastern:Schedule 3D_Income_The Cape'!BU17)</f>
        <v>1868586.8642</v>
      </c>
      <c r="BV17" s="585">
        <f>SUM('Schedule 3B_Income_Eastern:Schedule 3D_Income_The Cape'!BV17)</f>
        <v>0</v>
      </c>
      <c r="BW17" s="585">
        <f>SUM('Schedule 3B_Income_Eastern:Schedule 3D_Income_The Cape'!BW17)</f>
        <v>1662859.247</v>
      </c>
      <c r="BX17" s="585">
        <f>SUM('Schedule 3B_Income_Eastern:Schedule 3D_Income_The Cape'!BX17)</f>
        <v>0</v>
      </c>
      <c r="BY17" s="585">
        <f>SUM('Schedule 3B_Income_Eastern:Schedule 3D_Income_The Cape'!BY17)</f>
        <v>1787906.9235999999</v>
      </c>
      <c r="BZ17" s="585">
        <f>SUM('Schedule 3B_Income_Eastern:Schedule 3D_Income_The Cape'!BZ17)</f>
        <v>0</v>
      </c>
      <c r="CA17" s="585">
        <f>SUM('Schedule 3B_Income_Eastern:Schedule 3D_Income_The Cape'!CA17)</f>
        <v>2049181.3229999999</v>
      </c>
      <c r="CB17" s="588">
        <f t="shared" si="11"/>
        <v>7368534.3578000003</v>
      </c>
      <c r="CC17" s="589">
        <f t="shared" si="12"/>
        <v>7368534.3578000003</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58367263.369799666</v>
      </c>
      <c r="CK17" s="414">
        <f t="shared" ref="CK17:CK23" si="20">N17+O17+AH17+AI17+BB17+BC17+BV17+BW17</f>
        <v>48888302.873199314</v>
      </c>
      <c r="CL17" s="414">
        <f t="shared" ref="CL17:CL23" si="21">P17+Q17+AJ17+AK17+BD17+BE17+BX17+BY17</f>
        <v>55448763.19780001</v>
      </c>
      <c r="CM17" s="414">
        <f t="shared" ref="CM17:CM23" si="22">+R17+S17+AL17+AM17+BF17+BG17+BZ17+CA17</f>
        <v>56466732.102199927</v>
      </c>
      <c r="CN17" s="416">
        <f t="shared" ref="CN17:CN23" si="23">SUM(T17,AN17,BH17,CB17)</f>
        <v>219171061.54299891</v>
      </c>
      <c r="CO17" s="414">
        <f t="shared" ref="CO17:CO23" si="24">+C17+D17+L17+M17+W17+X17+AF17+AG17+AQ17+AR17+AZ17+BA17+BK17+BL17+BT17+BU17</f>
        <v>58367263.369799666</v>
      </c>
      <c r="CP17" s="414">
        <f t="shared" ref="CP17:CP23" si="25">+E17+F17+N17+O17+Y17+Z17+AH17+AI17+AS17+AT17+BB17+BC17+BM17+BN17+BV17+BW17</f>
        <v>48888302.873199314</v>
      </c>
      <c r="CQ17" s="414">
        <f t="shared" ref="CQ17:CQ23" si="26">+G17+H17+P17+Q17+AA17+AB17+AJ17+AK17+AU17+AV17+BD17+BE17+BO17+BP17+BX17+BY17</f>
        <v>55448763.19780001</v>
      </c>
      <c r="CR17" s="414">
        <f t="shared" ref="CR17:CR23" si="27">+I17+J17+R17+S17+AC17+AD17+AL17+AM17+AW17+AX17+BF17+BG17+BQ17+BR17+BZ17+CA17</f>
        <v>56466732.102199927</v>
      </c>
      <c r="CS17" s="416">
        <f t="shared" si="13"/>
        <v>219171061.54299891</v>
      </c>
    </row>
    <row r="18" spans="1:99" ht="15.75" customHeight="1">
      <c r="A18" s="88" t="s">
        <v>1338</v>
      </c>
      <c r="B18" s="300"/>
      <c r="C18" s="585">
        <f>SUM('Schedule 3B_Income_Eastern:Schedule 3D_Income_The Cape'!C18)</f>
        <v>0</v>
      </c>
      <c r="D18" s="585">
        <f>SUM('Schedule 3B_Income_Eastern:Schedule 3D_Income_The Cape'!D18)</f>
        <v>0</v>
      </c>
      <c r="E18" s="585">
        <f>SUM('Schedule 3B_Income_Eastern:Schedule 3D_Income_The Cape'!E18)</f>
        <v>0</v>
      </c>
      <c r="F18" s="585">
        <f>SUM('Schedule 3B_Income_Eastern:Schedule 3D_Income_The Cape'!F18)</f>
        <v>0</v>
      </c>
      <c r="G18" s="585">
        <f>SUM('Schedule 3B_Income_Eastern:Schedule 3D_Income_The Cape'!G18)</f>
        <v>0</v>
      </c>
      <c r="H18" s="585">
        <f>SUM('Schedule 3B_Income_Eastern:Schedule 3D_Income_The Cape'!H18)</f>
        <v>0</v>
      </c>
      <c r="I18" s="585">
        <f>SUM('Schedule 3B_Income_Eastern:Schedule 3D_Income_The Cape'!I18)</f>
        <v>0</v>
      </c>
      <c r="J18" s="585">
        <f>SUM('Schedule 3B_Income_Eastern:Schedule 3D_Income_The Cape'!J18)</f>
        <v>0</v>
      </c>
      <c r="K18" s="586">
        <f t="shared" si="1"/>
        <v>0</v>
      </c>
      <c r="L18" s="587">
        <f>SUM('Schedule 3B_Income_Eastern:Schedule 3D_Income_The Cape'!L18)</f>
        <v>0</v>
      </c>
      <c r="M18" s="585">
        <f>SUM('Schedule 3B_Income_Eastern:Schedule 3D_Income_The Cape'!M18)</f>
        <v>179502.61140000002</v>
      </c>
      <c r="N18" s="585">
        <f>SUM('Schedule 3B_Income_Eastern:Schedule 3D_Income_The Cape'!N18)</f>
        <v>0</v>
      </c>
      <c r="O18" s="585">
        <f>SUM('Schedule 3B_Income_Eastern:Schedule 3D_Income_The Cape'!O18)</f>
        <v>143372.86320000101</v>
      </c>
      <c r="P18" s="585">
        <f>SUM('Schedule 3B_Income_Eastern:Schedule 3D_Income_The Cape'!P18)</f>
        <v>0</v>
      </c>
      <c r="Q18" s="585">
        <f>SUM('Schedule 3B_Income_Eastern:Schedule 3D_Income_The Cape'!Q18)</f>
        <v>161666.43500000198</v>
      </c>
      <c r="R18" s="585">
        <f>SUM('Schedule 3B_Income_Eastern:Schedule 3D_Income_The Cape'!R18)</f>
        <v>0</v>
      </c>
      <c r="S18" s="585">
        <f>SUM('Schedule 3B_Income_Eastern:Schedule 3D_Income_The Cape'!S18)</f>
        <v>157286.53080000199</v>
      </c>
      <c r="T18" s="588">
        <f t="shared" si="2"/>
        <v>641828.44040000497</v>
      </c>
      <c r="U18" s="589">
        <f t="shared" si="3"/>
        <v>641828.44040000497</v>
      </c>
      <c r="V18" s="300"/>
      <c r="W18" s="585">
        <f>SUM('Schedule 3B_Income_Eastern:Schedule 3D_Income_The Cape'!W18)</f>
        <v>0</v>
      </c>
      <c r="X18" s="585">
        <f>SUM('Schedule 3B_Income_Eastern:Schedule 3D_Income_The Cape'!X18)</f>
        <v>0</v>
      </c>
      <c r="Y18" s="585">
        <f>SUM('Schedule 3B_Income_Eastern:Schedule 3D_Income_The Cape'!Y18)</f>
        <v>0</v>
      </c>
      <c r="Z18" s="585">
        <f>SUM('Schedule 3B_Income_Eastern:Schedule 3D_Income_The Cape'!Z18)</f>
        <v>0</v>
      </c>
      <c r="AA18" s="585">
        <f>SUM('Schedule 3B_Income_Eastern:Schedule 3D_Income_The Cape'!AA18)</f>
        <v>0</v>
      </c>
      <c r="AB18" s="585">
        <f>SUM('Schedule 3B_Income_Eastern:Schedule 3D_Income_The Cape'!AB18)</f>
        <v>0</v>
      </c>
      <c r="AC18" s="585">
        <f>SUM('Schedule 3B_Income_Eastern:Schedule 3D_Income_The Cape'!AC18)</f>
        <v>0</v>
      </c>
      <c r="AD18" s="585">
        <f>SUM('Schedule 3B_Income_Eastern:Schedule 3D_Income_The Cape'!AD18)</f>
        <v>0</v>
      </c>
      <c r="AE18" s="586">
        <f t="shared" si="4"/>
        <v>0</v>
      </c>
      <c r="AF18" s="587">
        <f>SUM('Schedule 3B_Income_Eastern:Schedule 3D_Income_The Cape'!AF18)</f>
        <v>0</v>
      </c>
      <c r="AG18" s="585">
        <f>SUM('Schedule 3B_Income_Eastern:Schedule 3D_Income_The Cape'!AG18)</f>
        <v>72688.863799999788</v>
      </c>
      <c r="AH18" s="585">
        <f>SUM('Schedule 3B_Income_Eastern:Schedule 3D_Income_The Cape'!AH18)</f>
        <v>0</v>
      </c>
      <c r="AI18" s="585">
        <f>SUM('Schedule 3B_Income_Eastern:Schedule 3D_Income_The Cape'!AI18)</f>
        <v>57362.624199999897</v>
      </c>
      <c r="AJ18" s="585">
        <f>SUM('Schedule 3B_Income_Eastern:Schedule 3D_Income_The Cape'!AJ18)</f>
        <v>0</v>
      </c>
      <c r="AK18" s="585">
        <f>SUM('Schedule 3B_Income_Eastern:Schedule 3D_Income_The Cape'!AK18)</f>
        <v>61011.8109999999</v>
      </c>
      <c r="AL18" s="585">
        <f>SUM('Schedule 3B_Income_Eastern:Schedule 3D_Income_The Cape'!AL18)</f>
        <v>0</v>
      </c>
      <c r="AM18" s="585">
        <f>SUM('Schedule 3B_Income_Eastern:Schedule 3D_Income_The Cape'!AM18)</f>
        <v>61938.567599999806</v>
      </c>
      <c r="AN18" s="588">
        <f t="shared" si="5"/>
        <v>253001.8665999994</v>
      </c>
      <c r="AO18" s="589">
        <f t="shared" si="6"/>
        <v>253001.8665999994</v>
      </c>
      <c r="AP18" s="300"/>
      <c r="AQ18" s="585">
        <f>SUM('Schedule 3B_Income_Eastern:Schedule 3D_Income_The Cape'!AQ18)</f>
        <v>0</v>
      </c>
      <c r="AR18" s="585">
        <f>SUM('Schedule 3B_Income_Eastern:Schedule 3D_Income_The Cape'!AR18)</f>
        <v>0</v>
      </c>
      <c r="AS18" s="585">
        <f>SUM('Schedule 3B_Income_Eastern:Schedule 3D_Income_The Cape'!AS18)</f>
        <v>0</v>
      </c>
      <c r="AT18" s="585">
        <f>SUM('Schedule 3B_Income_Eastern:Schedule 3D_Income_The Cape'!AT18)</f>
        <v>0</v>
      </c>
      <c r="AU18" s="585">
        <f>SUM('Schedule 3B_Income_Eastern:Schedule 3D_Income_The Cape'!AU18)</f>
        <v>0</v>
      </c>
      <c r="AV18" s="585">
        <f>SUM('Schedule 3B_Income_Eastern:Schedule 3D_Income_The Cape'!AV18)</f>
        <v>0</v>
      </c>
      <c r="AW18" s="585">
        <f>SUM('Schedule 3B_Income_Eastern:Schedule 3D_Income_The Cape'!AW18)</f>
        <v>0</v>
      </c>
      <c r="AX18" s="585">
        <f>SUM('Schedule 3B_Income_Eastern:Schedule 3D_Income_The Cape'!AX18)</f>
        <v>0</v>
      </c>
      <c r="AY18" s="586">
        <f t="shared" si="7"/>
        <v>0</v>
      </c>
      <c r="AZ18" s="587">
        <f>SUM('Schedule 3B_Income_Eastern:Schedule 3D_Income_The Cape'!AZ18)</f>
        <v>0</v>
      </c>
      <c r="BA18" s="585">
        <f>SUM('Schedule 3B_Income_Eastern:Schedule 3D_Income_The Cape'!BA18)</f>
        <v>1316011.1104000031</v>
      </c>
      <c r="BB18" s="585">
        <f>SUM('Schedule 3B_Income_Eastern:Schedule 3D_Income_The Cape'!BB18)</f>
        <v>0</v>
      </c>
      <c r="BC18" s="585">
        <f>SUM('Schedule 3B_Income_Eastern:Schedule 3D_Income_The Cape'!BC18)</f>
        <v>1129911.0312000031</v>
      </c>
      <c r="BD18" s="585">
        <f>SUM('Schedule 3B_Income_Eastern:Schedule 3D_Income_The Cape'!BD18)</f>
        <v>0</v>
      </c>
      <c r="BE18" s="585">
        <f>SUM('Schedule 3B_Income_Eastern:Schedule 3D_Income_The Cape'!BE18)</f>
        <v>1248792.9104000032</v>
      </c>
      <c r="BF18" s="585">
        <f>SUM('Schedule 3B_Income_Eastern:Schedule 3D_Income_The Cape'!BF18)</f>
        <v>0</v>
      </c>
      <c r="BG18" s="585">
        <f>SUM('Schedule 3B_Income_Eastern:Schedule 3D_Income_The Cape'!BG18)</f>
        <v>1278058.7092000025</v>
      </c>
      <c r="BH18" s="588">
        <f t="shared" si="8"/>
        <v>4972773.7612000117</v>
      </c>
      <c r="BI18" s="589">
        <f t="shared" si="9"/>
        <v>4972773.7612000117</v>
      </c>
      <c r="BJ18" s="300"/>
      <c r="BK18" s="585">
        <f>SUM('Schedule 3B_Income_Eastern:Schedule 3D_Income_The Cape'!BK18)</f>
        <v>0</v>
      </c>
      <c r="BL18" s="585">
        <f>SUM('Schedule 3B_Income_Eastern:Schedule 3D_Income_The Cape'!BL18)</f>
        <v>0</v>
      </c>
      <c r="BM18" s="585">
        <f>SUM('Schedule 3B_Income_Eastern:Schedule 3D_Income_The Cape'!BM18)</f>
        <v>0</v>
      </c>
      <c r="BN18" s="585">
        <f>SUM('Schedule 3B_Income_Eastern:Schedule 3D_Income_The Cape'!BN18)</f>
        <v>0</v>
      </c>
      <c r="BO18" s="585">
        <f>SUM('Schedule 3B_Income_Eastern:Schedule 3D_Income_The Cape'!BO18)</f>
        <v>0</v>
      </c>
      <c r="BP18" s="585">
        <f>SUM('Schedule 3B_Income_Eastern:Schedule 3D_Income_The Cape'!BP18)</f>
        <v>0</v>
      </c>
      <c r="BQ18" s="585">
        <f>SUM('Schedule 3B_Income_Eastern:Schedule 3D_Income_The Cape'!BQ18)</f>
        <v>0</v>
      </c>
      <c r="BR18" s="585">
        <f>SUM('Schedule 3B_Income_Eastern:Schedule 3D_Income_The Cape'!BR18)</f>
        <v>0</v>
      </c>
      <c r="BS18" s="586">
        <f t="shared" si="10"/>
        <v>0</v>
      </c>
      <c r="BT18" s="587">
        <f>SUM('Schedule 3B_Income_Eastern:Schedule 3D_Income_The Cape'!BT18)</f>
        <v>0</v>
      </c>
      <c r="BU18" s="585">
        <f>SUM('Schedule 3B_Income_Eastern:Schedule 3D_Income_The Cape'!BU18)</f>
        <v>62629.859600000003</v>
      </c>
      <c r="BV18" s="585">
        <f>SUM('Schedule 3B_Income_Eastern:Schedule 3D_Income_The Cape'!BV18)</f>
        <v>0</v>
      </c>
      <c r="BW18" s="585">
        <f>SUM('Schedule 3B_Income_Eastern:Schedule 3D_Income_The Cape'!BW18)</f>
        <v>52029.5622</v>
      </c>
      <c r="BX18" s="585">
        <f>SUM('Schedule 3B_Income_Eastern:Schedule 3D_Income_The Cape'!BX18)</f>
        <v>0</v>
      </c>
      <c r="BY18" s="585">
        <f>SUM('Schedule 3B_Income_Eastern:Schedule 3D_Income_The Cape'!BY18)</f>
        <v>52311.057399999998</v>
      </c>
      <c r="BZ18" s="585">
        <f>SUM('Schedule 3B_Income_Eastern:Schedule 3D_Income_The Cape'!BZ18)</f>
        <v>0</v>
      </c>
      <c r="CA18" s="585">
        <f>SUM('Schedule 3B_Income_Eastern:Schedule 3D_Income_The Cape'!CA18)</f>
        <v>50990.272200000007</v>
      </c>
      <c r="CB18" s="588">
        <f t="shared" si="11"/>
        <v>217960.75140000001</v>
      </c>
      <c r="CC18" s="589">
        <f t="shared" si="12"/>
        <v>217960.75140000001</v>
      </c>
      <c r="CD18" s="300"/>
      <c r="CE18" s="414">
        <f t="shared" si="14"/>
        <v>0</v>
      </c>
      <c r="CF18" s="414">
        <f t="shared" si="15"/>
        <v>0</v>
      </c>
      <c r="CG18" s="414">
        <f t="shared" si="16"/>
        <v>0</v>
      </c>
      <c r="CH18" s="414">
        <f t="shared" si="17"/>
        <v>0</v>
      </c>
      <c r="CI18" s="416">
        <f t="shared" si="18"/>
        <v>0</v>
      </c>
      <c r="CJ18" s="414">
        <f t="shared" si="19"/>
        <v>1630832.445200003</v>
      </c>
      <c r="CK18" s="414">
        <f t="shared" si="20"/>
        <v>1382676.0808000041</v>
      </c>
      <c r="CL18" s="414">
        <f t="shared" si="21"/>
        <v>1523782.2138000051</v>
      </c>
      <c r="CM18" s="414">
        <f t="shared" si="22"/>
        <v>1548274.0798000044</v>
      </c>
      <c r="CN18" s="416">
        <f t="shared" si="23"/>
        <v>6085564.8196000168</v>
      </c>
      <c r="CO18" s="414">
        <f t="shared" si="24"/>
        <v>1630832.445200003</v>
      </c>
      <c r="CP18" s="414">
        <f t="shared" si="25"/>
        <v>1382676.0808000041</v>
      </c>
      <c r="CQ18" s="414">
        <f t="shared" si="26"/>
        <v>1523782.2138000051</v>
      </c>
      <c r="CR18" s="414">
        <f t="shared" si="27"/>
        <v>1548274.0798000044</v>
      </c>
      <c r="CS18" s="416">
        <f t="shared" si="13"/>
        <v>6085564.8196000168</v>
      </c>
    </row>
    <row r="19" spans="1:99" ht="15.75" customHeight="1">
      <c r="A19" s="88" t="s">
        <v>1339</v>
      </c>
      <c r="B19" s="300"/>
      <c r="C19" s="585">
        <f>SUM('Schedule 3B_Income_Eastern:Schedule 3D_Income_The Cape'!C19)</f>
        <v>0</v>
      </c>
      <c r="D19" s="585">
        <f>SUM('Schedule 3B_Income_Eastern:Schedule 3D_Income_The Cape'!D19)</f>
        <v>0</v>
      </c>
      <c r="E19" s="585">
        <f>SUM('Schedule 3B_Income_Eastern:Schedule 3D_Income_The Cape'!E19)</f>
        <v>0</v>
      </c>
      <c r="F19" s="585">
        <f>SUM('Schedule 3B_Income_Eastern:Schedule 3D_Income_The Cape'!F19)</f>
        <v>0</v>
      </c>
      <c r="G19" s="585">
        <f>SUM('Schedule 3B_Income_Eastern:Schedule 3D_Income_The Cape'!G19)</f>
        <v>0</v>
      </c>
      <c r="H19" s="585">
        <f>SUM('Schedule 3B_Income_Eastern:Schedule 3D_Income_The Cape'!H19)</f>
        <v>0</v>
      </c>
      <c r="I19" s="585">
        <f>SUM('Schedule 3B_Income_Eastern:Schedule 3D_Income_The Cape'!I19)</f>
        <v>0</v>
      </c>
      <c r="J19" s="585">
        <f>SUM('Schedule 3B_Income_Eastern:Schedule 3D_Income_The Cape'!J19)</f>
        <v>0</v>
      </c>
      <c r="K19" s="586">
        <f t="shared" si="1"/>
        <v>0</v>
      </c>
      <c r="L19" s="587">
        <f>SUM('Schedule 3B_Income_Eastern:Schedule 3D_Income_The Cape'!L19)</f>
        <v>0</v>
      </c>
      <c r="M19" s="585">
        <f>SUM('Schedule 3B_Income_Eastern:Schedule 3D_Income_The Cape'!M19)</f>
        <v>948250</v>
      </c>
      <c r="N19" s="585">
        <f>SUM('Schedule 3B_Income_Eastern:Schedule 3D_Income_The Cape'!N19)</f>
        <v>0</v>
      </c>
      <c r="O19" s="585">
        <f>SUM('Schedule 3B_Income_Eastern:Schedule 3D_Income_The Cape'!O19)</f>
        <v>845365</v>
      </c>
      <c r="P19" s="585">
        <f>SUM('Schedule 3B_Income_Eastern:Schedule 3D_Income_The Cape'!P19)</f>
        <v>0</v>
      </c>
      <c r="Q19" s="585">
        <f>SUM('Schedule 3B_Income_Eastern:Schedule 3D_Income_The Cape'!Q19)</f>
        <v>1240713</v>
      </c>
      <c r="R19" s="585">
        <f>SUM('Schedule 3B_Income_Eastern:Schedule 3D_Income_The Cape'!R19)</f>
        <v>0</v>
      </c>
      <c r="S19" s="585">
        <f>SUM('Schedule 3B_Income_Eastern:Schedule 3D_Income_The Cape'!S19)</f>
        <v>1361176</v>
      </c>
      <c r="T19" s="588">
        <f t="shared" si="2"/>
        <v>4395504</v>
      </c>
      <c r="U19" s="589">
        <f t="shared" si="3"/>
        <v>4395504</v>
      </c>
      <c r="V19" s="300"/>
      <c r="W19" s="585">
        <f>SUM('Schedule 3B_Income_Eastern:Schedule 3D_Income_The Cape'!W19)</f>
        <v>0</v>
      </c>
      <c r="X19" s="585">
        <f>SUM('Schedule 3B_Income_Eastern:Schedule 3D_Income_The Cape'!X19)</f>
        <v>0</v>
      </c>
      <c r="Y19" s="585">
        <f>SUM('Schedule 3B_Income_Eastern:Schedule 3D_Income_The Cape'!Y19)</f>
        <v>0</v>
      </c>
      <c r="Z19" s="585">
        <f>SUM('Schedule 3B_Income_Eastern:Schedule 3D_Income_The Cape'!Z19)</f>
        <v>0</v>
      </c>
      <c r="AA19" s="585">
        <f>SUM('Schedule 3B_Income_Eastern:Schedule 3D_Income_The Cape'!AA19)</f>
        <v>0</v>
      </c>
      <c r="AB19" s="585">
        <f>SUM('Schedule 3B_Income_Eastern:Schedule 3D_Income_The Cape'!AB19)</f>
        <v>0</v>
      </c>
      <c r="AC19" s="585">
        <f>SUM('Schedule 3B_Income_Eastern:Schedule 3D_Income_The Cape'!AC19)</f>
        <v>0</v>
      </c>
      <c r="AD19" s="585">
        <f>SUM('Schedule 3B_Income_Eastern:Schedule 3D_Income_The Cape'!AD19)</f>
        <v>0</v>
      </c>
      <c r="AE19" s="586">
        <f t="shared" si="4"/>
        <v>0</v>
      </c>
      <c r="AF19" s="587">
        <f>SUM('Schedule 3B_Income_Eastern:Schedule 3D_Income_The Cape'!AF19)</f>
        <v>0</v>
      </c>
      <c r="AG19" s="585">
        <f>SUM('Schedule 3B_Income_Eastern:Schedule 3D_Income_The Cape'!AG19)</f>
        <v>360205</v>
      </c>
      <c r="AH19" s="585">
        <f>SUM('Schedule 3B_Income_Eastern:Schedule 3D_Income_The Cape'!AH19)</f>
        <v>0</v>
      </c>
      <c r="AI19" s="585">
        <f>SUM('Schedule 3B_Income_Eastern:Schedule 3D_Income_The Cape'!AI19)</f>
        <v>271806</v>
      </c>
      <c r="AJ19" s="585">
        <f>SUM('Schedule 3B_Income_Eastern:Schedule 3D_Income_The Cape'!AJ19)</f>
        <v>0</v>
      </c>
      <c r="AK19" s="585">
        <f>SUM('Schedule 3B_Income_Eastern:Schedule 3D_Income_The Cape'!AK19)</f>
        <v>305843</v>
      </c>
      <c r="AL19" s="585">
        <f>SUM('Schedule 3B_Income_Eastern:Schedule 3D_Income_The Cape'!AL19)</f>
        <v>0</v>
      </c>
      <c r="AM19" s="585">
        <f>SUM('Schedule 3B_Income_Eastern:Schedule 3D_Income_The Cape'!AM19)</f>
        <v>318573</v>
      </c>
      <c r="AN19" s="588">
        <f t="shared" si="5"/>
        <v>1256427</v>
      </c>
      <c r="AO19" s="589">
        <f t="shared" si="6"/>
        <v>1256427</v>
      </c>
      <c r="AP19" s="300"/>
      <c r="AQ19" s="585">
        <f>SUM('Schedule 3B_Income_Eastern:Schedule 3D_Income_The Cape'!AQ19)</f>
        <v>0</v>
      </c>
      <c r="AR19" s="585">
        <f>SUM('Schedule 3B_Income_Eastern:Schedule 3D_Income_The Cape'!AR19)</f>
        <v>0</v>
      </c>
      <c r="AS19" s="585">
        <f>SUM('Schedule 3B_Income_Eastern:Schedule 3D_Income_The Cape'!AS19)</f>
        <v>0</v>
      </c>
      <c r="AT19" s="585">
        <f>SUM('Schedule 3B_Income_Eastern:Schedule 3D_Income_The Cape'!AT19)</f>
        <v>0</v>
      </c>
      <c r="AU19" s="585">
        <f>SUM('Schedule 3B_Income_Eastern:Schedule 3D_Income_The Cape'!AU19)</f>
        <v>0</v>
      </c>
      <c r="AV19" s="585">
        <f>SUM('Schedule 3B_Income_Eastern:Schedule 3D_Income_The Cape'!AV19)</f>
        <v>0</v>
      </c>
      <c r="AW19" s="585">
        <f>SUM('Schedule 3B_Income_Eastern:Schedule 3D_Income_The Cape'!AW19)</f>
        <v>0</v>
      </c>
      <c r="AX19" s="585">
        <f>SUM('Schedule 3B_Income_Eastern:Schedule 3D_Income_The Cape'!AX19)</f>
        <v>0</v>
      </c>
      <c r="AY19" s="586">
        <f t="shared" si="7"/>
        <v>0</v>
      </c>
      <c r="AZ19" s="587">
        <f>SUM('Schedule 3B_Income_Eastern:Schedule 3D_Income_The Cape'!AZ19)</f>
        <v>0</v>
      </c>
      <c r="BA19" s="585">
        <f>SUM('Schedule 3B_Income_Eastern:Schedule 3D_Income_The Cape'!BA19)</f>
        <v>8774307</v>
      </c>
      <c r="BB19" s="585">
        <f>SUM('Schedule 3B_Income_Eastern:Schedule 3D_Income_The Cape'!BB19)</f>
        <v>0</v>
      </c>
      <c r="BC19" s="585">
        <f>SUM('Schedule 3B_Income_Eastern:Schedule 3D_Income_The Cape'!BC19)</f>
        <v>8705394</v>
      </c>
      <c r="BD19" s="585">
        <f>SUM('Schedule 3B_Income_Eastern:Schedule 3D_Income_The Cape'!BD19)</f>
        <v>0</v>
      </c>
      <c r="BE19" s="585">
        <f>SUM('Schedule 3B_Income_Eastern:Schedule 3D_Income_The Cape'!BE19)</f>
        <v>9160573</v>
      </c>
      <c r="BF19" s="585">
        <f>SUM('Schedule 3B_Income_Eastern:Schedule 3D_Income_The Cape'!BF19)</f>
        <v>0</v>
      </c>
      <c r="BG19" s="585">
        <f>SUM('Schedule 3B_Income_Eastern:Schedule 3D_Income_The Cape'!BG19)</f>
        <v>8964256</v>
      </c>
      <c r="BH19" s="588">
        <f t="shared" si="8"/>
        <v>35604530</v>
      </c>
      <c r="BI19" s="589">
        <f t="shared" si="9"/>
        <v>35604530</v>
      </c>
      <c r="BJ19" s="300"/>
      <c r="BK19" s="585">
        <f>SUM('Schedule 3B_Income_Eastern:Schedule 3D_Income_The Cape'!BK19)</f>
        <v>0</v>
      </c>
      <c r="BL19" s="585">
        <f>SUM('Schedule 3B_Income_Eastern:Schedule 3D_Income_The Cape'!BL19)</f>
        <v>0</v>
      </c>
      <c r="BM19" s="585">
        <f>SUM('Schedule 3B_Income_Eastern:Schedule 3D_Income_The Cape'!BM19)</f>
        <v>0</v>
      </c>
      <c r="BN19" s="585">
        <f>SUM('Schedule 3B_Income_Eastern:Schedule 3D_Income_The Cape'!BN19)</f>
        <v>0</v>
      </c>
      <c r="BO19" s="585">
        <f>SUM('Schedule 3B_Income_Eastern:Schedule 3D_Income_The Cape'!BO19)</f>
        <v>0</v>
      </c>
      <c r="BP19" s="585">
        <f>SUM('Schedule 3B_Income_Eastern:Schedule 3D_Income_The Cape'!BP19)</f>
        <v>0</v>
      </c>
      <c r="BQ19" s="585">
        <f>SUM('Schedule 3B_Income_Eastern:Schedule 3D_Income_The Cape'!BQ19)</f>
        <v>0</v>
      </c>
      <c r="BR19" s="585">
        <f>SUM('Schedule 3B_Income_Eastern:Schedule 3D_Income_The Cape'!BR19)</f>
        <v>0</v>
      </c>
      <c r="BS19" s="586">
        <f t="shared" si="10"/>
        <v>0</v>
      </c>
      <c r="BT19" s="587">
        <f>SUM('Schedule 3B_Income_Eastern:Schedule 3D_Income_The Cape'!BT19)</f>
        <v>0</v>
      </c>
      <c r="BU19" s="585">
        <f>SUM('Schedule 3B_Income_Eastern:Schedule 3D_Income_The Cape'!BU19)</f>
        <v>391004</v>
      </c>
      <c r="BV19" s="585">
        <f>SUM('Schedule 3B_Income_Eastern:Schedule 3D_Income_The Cape'!BV19)</f>
        <v>0</v>
      </c>
      <c r="BW19" s="585">
        <f>SUM('Schedule 3B_Income_Eastern:Schedule 3D_Income_The Cape'!BW19)</f>
        <v>513073</v>
      </c>
      <c r="BX19" s="585">
        <f>SUM('Schedule 3B_Income_Eastern:Schedule 3D_Income_The Cape'!BX19)</f>
        <v>0</v>
      </c>
      <c r="BY19" s="585">
        <f>SUM('Schedule 3B_Income_Eastern:Schedule 3D_Income_The Cape'!BY19)</f>
        <v>382935</v>
      </c>
      <c r="BZ19" s="585">
        <f>SUM('Schedule 3B_Income_Eastern:Schedule 3D_Income_The Cape'!BZ19)</f>
        <v>0</v>
      </c>
      <c r="CA19" s="585">
        <f>SUM('Schedule 3B_Income_Eastern:Schedule 3D_Income_The Cape'!CA19)</f>
        <v>285835</v>
      </c>
      <c r="CB19" s="588">
        <f t="shared" si="11"/>
        <v>1572847</v>
      </c>
      <c r="CC19" s="589">
        <f t="shared" si="12"/>
        <v>1572847</v>
      </c>
      <c r="CD19" s="300"/>
      <c r="CE19" s="414">
        <f t="shared" si="14"/>
        <v>0</v>
      </c>
      <c r="CF19" s="414">
        <f t="shared" si="15"/>
        <v>0</v>
      </c>
      <c r="CG19" s="414">
        <f t="shared" si="16"/>
        <v>0</v>
      </c>
      <c r="CH19" s="414">
        <f t="shared" si="17"/>
        <v>0</v>
      </c>
      <c r="CI19" s="416">
        <f t="shared" si="18"/>
        <v>0</v>
      </c>
      <c r="CJ19" s="414">
        <f t="shared" si="19"/>
        <v>10473766</v>
      </c>
      <c r="CK19" s="414">
        <f t="shared" si="20"/>
        <v>10335638</v>
      </c>
      <c r="CL19" s="414">
        <f t="shared" si="21"/>
        <v>11090064</v>
      </c>
      <c r="CM19" s="414">
        <f t="shared" si="22"/>
        <v>10929840</v>
      </c>
      <c r="CN19" s="416">
        <f t="shared" si="23"/>
        <v>42829308</v>
      </c>
      <c r="CO19" s="414">
        <f t="shared" si="24"/>
        <v>10473766</v>
      </c>
      <c r="CP19" s="414">
        <f t="shared" si="25"/>
        <v>10335638</v>
      </c>
      <c r="CQ19" s="414">
        <f t="shared" si="26"/>
        <v>11090064</v>
      </c>
      <c r="CR19" s="414">
        <f t="shared" si="27"/>
        <v>10929840</v>
      </c>
      <c r="CS19" s="416">
        <f t="shared" si="13"/>
        <v>42829308</v>
      </c>
    </row>
    <row r="20" spans="1:99" ht="15.75" customHeight="1">
      <c r="A20" s="135" t="s">
        <v>173</v>
      </c>
      <c r="B20" s="300">
        <v>2</v>
      </c>
      <c r="C20" s="585">
        <f t="shared" ref="C20" si="28">SUM(C17:C19)</f>
        <v>0</v>
      </c>
      <c r="D20" s="585">
        <f t="shared" ref="D20:J20" si="29">SUM(D17:D19)</f>
        <v>0</v>
      </c>
      <c r="E20" s="585">
        <f t="shared" si="29"/>
        <v>0</v>
      </c>
      <c r="F20" s="585">
        <f t="shared" si="29"/>
        <v>0</v>
      </c>
      <c r="G20" s="585">
        <f t="shared" si="29"/>
        <v>0</v>
      </c>
      <c r="H20" s="585">
        <f t="shared" si="29"/>
        <v>0</v>
      </c>
      <c r="I20" s="585">
        <f t="shared" si="29"/>
        <v>0</v>
      </c>
      <c r="J20" s="585">
        <f t="shared" si="29"/>
        <v>0</v>
      </c>
      <c r="K20" s="586">
        <f t="shared" si="1"/>
        <v>0</v>
      </c>
      <c r="L20" s="587">
        <f t="shared" ref="L20:S20" si="30">SUM(L17:L19)</f>
        <v>0</v>
      </c>
      <c r="M20" s="585">
        <f t="shared" si="30"/>
        <v>7464827.2867999803</v>
      </c>
      <c r="N20" s="585">
        <f t="shared" si="30"/>
        <v>0</v>
      </c>
      <c r="O20" s="585">
        <f t="shared" si="30"/>
        <v>6772150.513600002</v>
      </c>
      <c r="P20" s="585">
        <f t="shared" si="30"/>
        <v>0</v>
      </c>
      <c r="Q20" s="585">
        <f t="shared" si="30"/>
        <v>7698871.7811999759</v>
      </c>
      <c r="R20" s="585">
        <f t="shared" si="30"/>
        <v>0</v>
      </c>
      <c r="S20" s="585">
        <f t="shared" si="30"/>
        <v>7855480.8855999941</v>
      </c>
      <c r="T20" s="588">
        <f t="shared" si="2"/>
        <v>29791330.467199951</v>
      </c>
      <c r="U20" s="589">
        <f t="shared" si="3"/>
        <v>29791330.467199951</v>
      </c>
      <c r="V20" s="300">
        <v>2</v>
      </c>
      <c r="W20" s="585">
        <f t="shared" ref="W20:AD20" si="31">SUM(W17:W19)</f>
        <v>0</v>
      </c>
      <c r="X20" s="585">
        <f t="shared" si="31"/>
        <v>0</v>
      </c>
      <c r="Y20" s="585">
        <f t="shared" si="31"/>
        <v>0</v>
      </c>
      <c r="Z20" s="585">
        <f t="shared" si="31"/>
        <v>0</v>
      </c>
      <c r="AA20" s="585">
        <f t="shared" si="31"/>
        <v>0</v>
      </c>
      <c r="AB20" s="585">
        <f t="shared" si="31"/>
        <v>0</v>
      </c>
      <c r="AC20" s="585">
        <f t="shared" si="31"/>
        <v>0</v>
      </c>
      <c r="AD20" s="585">
        <f t="shared" si="31"/>
        <v>0</v>
      </c>
      <c r="AE20" s="586">
        <f t="shared" si="4"/>
        <v>0</v>
      </c>
      <c r="AF20" s="587">
        <f t="shared" ref="AF20:AM20" si="32">SUM(AF17:AF19)</f>
        <v>0</v>
      </c>
      <c r="AG20" s="585">
        <f t="shared" si="32"/>
        <v>2505443.1103999997</v>
      </c>
      <c r="AH20" s="585">
        <f t="shared" si="32"/>
        <v>0</v>
      </c>
      <c r="AI20" s="585">
        <f t="shared" si="32"/>
        <v>2060033.56</v>
      </c>
      <c r="AJ20" s="585">
        <f t="shared" si="32"/>
        <v>0</v>
      </c>
      <c r="AK20" s="585">
        <f t="shared" si="32"/>
        <v>2196415.4683999997</v>
      </c>
      <c r="AL20" s="585">
        <f t="shared" si="32"/>
        <v>0</v>
      </c>
      <c r="AM20" s="585">
        <f t="shared" si="32"/>
        <v>2245892.1363999997</v>
      </c>
      <c r="AN20" s="588">
        <f t="shared" si="5"/>
        <v>9007784.2751999982</v>
      </c>
      <c r="AO20" s="589">
        <f t="shared" si="6"/>
        <v>9007784.2751999982</v>
      </c>
      <c r="AP20" s="300">
        <v>2</v>
      </c>
      <c r="AQ20" s="585">
        <f t="shared" ref="AQ20:AX20" si="33">SUM(AQ17:AQ19)</f>
        <v>0</v>
      </c>
      <c r="AR20" s="585">
        <f t="shared" si="33"/>
        <v>0</v>
      </c>
      <c r="AS20" s="585">
        <f t="shared" si="33"/>
        <v>0</v>
      </c>
      <c r="AT20" s="585">
        <f t="shared" si="33"/>
        <v>0</v>
      </c>
      <c r="AU20" s="585">
        <f t="shared" si="33"/>
        <v>0</v>
      </c>
      <c r="AV20" s="585">
        <f t="shared" si="33"/>
        <v>0</v>
      </c>
      <c r="AW20" s="585">
        <f t="shared" si="33"/>
        <v>0</v>
      </c>
      <c r="AX20" s="585">
        <f t="shared" si="33"/>
        <v>0</v>
      </c>
      <c r="AY20" s="586">
        <f t="shared" si="7"/>
        <v>0</v>
      </c>
      <c r="AZ20" s="587">
        <f t="shared" ref="AZ20:BG20" si="34">SUM(AZ17:AZ19)</f>
        <v>0</v>
      </c>
      <c r="BA20" s="585">
        <f t="shared" si="34"/>
        <v>58179370.693999693</v>
      </c>
      <c r="BB20" s="585">
        <f t="shared" si="34"/>
        <v>0</v>
      </c>
      <c r="BC20" s="585">
        <f t="shared" si="34"/>
        <v>49546471.07119932</v>
      </c>
      <c r="BD20" s="585">
        <f t="shared" si="34"/>
        <v>0</v>
      </c>
      <c r="BE20" s="585">
        <f t="shared" si="34"/>
        <v>55944169.181000039</v>
      </c>
      <c r="BF20" s="585">
        <f t="shared" si="34"/>
        <v>0</v>
      </c>
      <c r="BG20" s="585">
        <f t="shared" si="34"/>
        <v>56457466.564799935</v>
      </c>
      <c r="BH20" s="588">
        <f t="shared" si="8"/>
        <v>220127477.51099899</v>
      </c>
      <c r="BI20" s="589">
        <f t="shared" si="9"/>
        <v>220127477.51099899</v>
      </c>
      <c r="BJ20" s="300">
        <v>2</v>
      </c>
      <c r="BK20" s="585">
        <f t="shared" ref="BK20:BR20" si="35">SUM(BK17:BK19)</f>
        <v>0</v>
      </c>
      <c r="BL20" s="585">
        <f t="shared" si="35"/>
        <v>0</v>
      </c>
      <c r="BM20" s="585">
        <f t="shared" si="35"/>
        <v>0</v>
      </c>
      <c r="BN20" s="585">
        <f t="shared" si="35"/>
        <v>0</v>
      </c>
      <c r="BO20" s="585">
        <f t="shared" si="35"/>
        <v>0</v>
      </c>
      <c r="BP20" s="585">
        <f t="shared" si="35"/>
        <v>0</v>
      </c>
      <c r="BQ20" s="585">
        <f t="shared" si="35"/>
        <v>0</v>
      </c>
      <c r="BR20" s="585">
        <f t="shared" si="35"/>
        <v>0</v>
      </c>
      <c r="BS20" s="586">
        <f t="shared" si="10"/>
        <v>0</v>
      </c>
      <c r="BT20" s="587">
        <f t="shared" ref="BT20:CA20" si="36">SUM(BT17:BT19)</f>
        <v>0</v>
      </c>
      <c r="BU20" s="585">
        <f t="shared" si="36"/>
        <v>2322220.7237999998</v>
      </c>
      <c r="BV20" s="585">
        <f t="shared" si="36"/>
        <v>0</v>
      </c>
      <c r="BW20" s="585">
        <f t="shared" si="36"/>
        <v>2227961.8092</v>
      </c>
      <c r="BX20" s="585">
        <f t="shared" si="36"/>
        <v>0</v>
      </c>
      <c r="BY20" s="585">
        <f t="shared" si="36"/>
        <v>2223152.9809999997</v>
      </c>
      <c r="BZ20" s="585">
        <f t="shared" si="36"/>
        <v>0</v>
      </c>
      <c r="CA20" s="585">
        <f t="shared" si="36"/>
        <v>2386006.5951999999</v>
      </c>
      <c r="CB20" s="588">
        <f t="shared" si="11"/>
        <v>9159342.1091999989</v>
      </c>
      <c r="CC20" s="589">
        <f t="shared" si="12"/>
        <v>9159342.1091999989</v>
      </c>
      <c r="CD20" s="300">
        <v>2</v>
      </c>
      <c r="CE20" s="414">
        <f t="shared" si="14"/>
        <v>0</v>
      </c>
      <c r="CF20" s="414">
        <f t="shared" si="15"/>
        <v>0</v>
      </c>
      <c r="CG20" s="414">
        <f t="shared" si="16"/>
        <v>0</v>
      </c>
      <c r="CH20" s="414">
        <f t="shared" si="17"/>
        <v>0</v>
      </c>
      <c r="CI20" s="416">
        <f t="shared" si="18"/>
        <v>0</v>
      </c>
      <c r="CJ20" s="414">
        <f t="shared" si="19"/>
        <v>70471861.81499967</v>
      </c>
      <c r="CK20" s="414">
        <f t="shared" si="20"/>
        <v>60606616.953999326</v>
      </c>
      <c r="CL20" s="414">
        <f t="shared" si="21"/>
        <v>68062609.411600024</v>
      </c>
      <c r="CM20" s="414">
        <f t="shared" si="22"/>
        <v>68944846.181999922</v>
      </c>
      <c r="CN20" s="416">
        <f t="shared" si="23"/>
        <v>268085934.36259896</v>
      </c>
      <c r="CO20" s="414">
        <f t="shared" si="24"/>
        <v>70471861.81499967</v>
      </c>
      <c r="CP20" s="414">
        <f t="shared" si="25"/>
        <v>60606616.953999326</v>
      </c>
      <c r="CQ20" s="414">
        <f t="shared" si="26"/>
        <v>68062609.411600024</v>
      </c>
      <c r="CR20" s="414">
        <f t="shared" si="27"/>
        <v>68944846.181999922</v>
      </c>
      <c r="CS20" s="416">
        <f t="shared" si="13"/>
        <v>268085934.36259896</v>
      </c>
    </row>
    <row r="21" spans="1:99" ht="15.75" customHeight="1">
      <c r="A21" s="88" t="s">
        <v>175</v>
      </c>
      <c r="B21" s="300">
        <v>3</v>
      </c>
      <c r="C21" s="585">
        <f>SUM('Schedule 3B_Income_Eastern:Schedule 3D_Income_The Cape'!C21)</f>
        <v>0</v>
      </c>
      <c r="D21" s="585">
        <f>SUM('Schedule 3B_Income_Eastern:Schedule 3D_Income_The Cape'!D21)</f>
        <v>0</v>
      </c>
      <c r="E21" s="585">
        <f>SUM('Schedule 3B_Income_Eastern:Schedule 3D_Income_The Cape'!E21)</f>
        <v>0</v>
      </c>
      <c r="F21" s="585">
        <f>SUM('Schedule 3B_Income_Eastern:Schedule 3D_Income_The Cape'!F21)</f>
        <v>0</v>
      </c>
      <c r="G21" s="585">
        <f>SUM('Schedule 3B_Income_Eastern:Schedule 3D_Income_The Cape'!G21)</f>
        <v>0</v>
      </c>
      <c r="H21" s="585">
        <f>SUM('Schedule 3B_Income_Eastern:Schedule 3D_Income_The Cape'!H21)</f>
        <v>0</v>
      </c>
      <c r="I21" s="585">
        <f>SUM('Schedule 3B_Income_Eastern:Schedule 3D_Income_The Cape'!I21)</f>
        <v>0</v>
      </c>
      <c r="J21" s="585">
        <f>SUM('Schedule 3B_Income_Eastern:Schedule 3D_Income_The Cape'!J21)</f>
        <v>0</v>
      </c>
      <c r="K21" s="586">
        <f t="shared" si="1"/>
        <v>0</v>
      </c>
      <c r="L21" s="587">
        <f>SUM('Schedule 3B_Income_Eastern:Schedule 3D_Income_The Cape'!L21)</f>
        <v>0</v>
      </c>
      <c r="M21" s="585">
        <f>SUM('Schedule 3B_Income_Eastern:Schedule 3D_Income_The Cape'!M21)</f>
        <v>0</v>
      </c>
      <c r="N21" s="585">
        <f>SUM('Schedule 3B_Income_Eastern:Schedule 3D_Income_The Cape'!N21)</f>
        <v>0</v>
      </c>
      <c r="O21" s="585">
        <f>SUM('Schedule 3B_Income_Eastern:Schedule 3D_Income_The Cape'!O21)</f>
        <v>0</v>
      </c>
      <c r="P21" s="585">
        <f>SUM('Schedule 3B_Income_Eastern:Schedule 3D_Income_The Cape'!P21)</f>
        <v>0</v>
      </c>
      <c r="Q21" s="585">
        <f>SUM('Schedule 3B_Income_Eastern:Schedule 3D_Income_The Cape'!Q21)</f>
        <v>0</v>
      </c>
      <c r="R21" s="585">
        <f>SUM('Schedule 3B_Income_Eastern:Schedule 3D_Income_The Cape'!R21)</f>
        <v>0</v>
      </c>
      <c r="S21" s="585">
        <f>SUM('Schedule 3B_Income_Eastern:Schedule 3D_Income_The Cape'!S21)</f>
        <v>0</v>
      </c>
      <c r="T21" s="588">
        <f t="shared" si="2"/>
        <v>0</v>
      </c>
      <c r="U21" s="589">
        <f t="shared" si="3"/>
        <v>0</v>
      </c>
      <c r="V21" s="300">
        <v>3</v>
      </c>
      <c r="W21" s="585">
        <f>SUM('Schedule 3B_Income_Eastern:Schedule 3D_Income_The Cape'!W21)</f>
        <v>0</v>
      </c>
      <c r="X21" s="585">
        <f>SUM('Schedule 3B_Income_Eastern:Schedule 3D_Income_The Cape'!X21)</f>
        <v>0</v>
      </c>
      <c r="Y21" s="585">
        <f>SUM('Schedule 3B_Income_Eastern:Schedule 3D_Income_The Cape'!Y21)</f>
        <v>0</v>
      </c>
      <c r="Z21" s="585">
        <f>SUM('Schedule 3B_Income_Eastern:Schedule 3D_Income_The Cape'!Z21)</f>
        <v>0</v>
      </c>
      <c r="AA21" s="585">
        <f>SUM('Schedule 3B_Income_Eastern:Schedule 3D_Income_The Cape'!AA21)</f>
        <v>0</v>
      </c>
      <c r="AB21" s="585">
        <f>SUM('Schedule 3B_Income_Eastern:Schedule 3D_Income_The Cape'!AB21)</f>
        <v>0</v>
      </c>
      <c r="AC21" s="585">
        <f>SUM('Schedule 3B_Income_Eastern:Schedule 3D_Income_The Cape'!AC21)</f>
        <v>0</v>
      </c>
      <c r="AD21" s="585">
        <f>SUM('Schedule 3B_Income_Eastern:Schedule 3D_Income_The Cape'!AD21)</f>
        <v>0</v>
      </c>
      <c r="AE21" s="586">
        <f t="shared" si="4"/>
        <v>0</v>
      </c>
      <c r="AF21" s="587">
        <f>SUM('Schedule 3B_Income_Eastern:Schedule 3D_Income_The Cape'!AF21)</f>
        <v>0</v>
      </c>
      <c r="AG21" s="585">
        <f>SUM('Schedule 3B_Income_Eastern:Schedule 3D_Income_The Cape'!AG21)</f>
        <v>0</v>
      </c>
      <c r="AH21" s="585">
        <f>SUM('Schedule 3B_Income_Eastern:Schedule 3D_Income_The Cape'!AH21)</f>
        <v>0</v>
      </c>
      <c r="AI21" s="585">
        <f>SUM('Schedule 3B_Income_Eastern:Schedule 3D_Income_The Cape'!AI21)</f>
        <v>0</v>
      </c>
      <c r="AJ21" s="585">
        <f>SUM('Schedule 3B_Income_Eastern:Schedule 3D_Income_The Cape'!AJ21)</f>
        <v>0</v>
      </c>
      <c r="AK21" s="585">
        <f>SUM('Schedule 3B_Income_Eastern:Schedule 3D_Income_The Cape'!AK21)</f>
        <v>0</v>
      </c>
      <c r="AL21" s="585">
        <f>SUM('Schedule 3B_Income_Eastern:Schedule 3D_Income_The Cape'!AL21)</f>
        <v>0</v>
      </c>
      <c r="AM21" s="585">
        <f>SUM('Schedule 3B_Income_Eastern:Schedule 3D_Income_The Cape'!AM21)</f>
        <v>0</v>
      </c>
      <c r="AN21" s="588">
        <f t="shared" si="5"/>
        <v>0</v>
      </c>
      <c r="AO21" s="589">
        <f t="shared" si="6"/>
        <v>0</v>
      </c>
      <c r="AP21" s="300">
        <v>3</v>
      </c>
      <c r="AQ21" s="585">
        <f>SUM('Schedule 3B_Income_Eastern:Schedule 3D_Income_The Cape'!AQ21)</f>
        <v>0</v>
      </c>
      <c r="AR21" s="585">
        <f>SUM('Schedule 3B_Income_Eastern:Schedule 3D_Income_The Cape'!AR21)</f>
        <v>0</v>
      </c>
      <c r="AS21" s="585">
        <f>SUM('Schedule 3B_Income_Eastern:Schedule 3D_Income_The Cape'!AS21)</f>
        <v>0</v>
      </c>
      <c r="AT21" s="585">
        <f>SUM('Schedule 3B_Income_Eastern:Schedule 3D_Income_The Cape'!AT21)</f>
        <v>0</v>
      </c>
      <c r="AU21" s="585">
        <f>SUM('Schedule 3B_Income_Eastern:Schedule 3D_Income_The Cape'!AU21)</f>
        <v>0</v>
      </c>
      <c r="AV21" s="585">
        <f>SUM('Schedule 3B_Income_Eastern:Schedule 3D_Income_The Cape'!AV21)</f>
        <v>0</v>
      </c>
      <c r="AW21" s="585">
        <f>SUM('Schedule 3B_Income_Eastern:Schedule 3D_Income_The Cape'!AW21)</f>
        <v>0</v>
      </c>
      <c r="AX21" s="585">
        <f>SUM('Schedule 3B_Income_Eastern:Schedule 3D_Income_The Cape'!AX21)</f>
        <v>0</v>
      </c>
      <c r="AY21" s="586">
        <f t="shared" si="7"/>
        <v>0</v>
      </c>
      <c r="AZ21" s="587">
        <f>SUM('Schedule 3B_Income_Eastern:Schedule 3D_Income_The Cape'!AZ21)</f>
        <v>0</v>
      </c>
      <c r="BA21" s="585">
        <f>SUM('Schedule 3B_Income_Eastern:Schedule 3D_Income_The Cape'!BA21)</f>
        <v>0</v>
      </c>
      <c r="BB21" s="585">
        <f>SUM('Schedule 3B_Income_Eastern:Schedule 3D_Income_The Cape'!BB21)</f>
        <v>0</v>
      </c>
      <c r="BC21" s="585">
        <f>SUM('Schedule 3B_Income_Eastern:Schedule 3D_Income_The Cape'!BC21)</f>
        <v>0</v>
      </c>
      <c r="BD21" s="585">
        <f>SUM('Schedule 3B_Income_Eastern:Schedule 3D_Income_The Cape'!BD21)</f>
        <v>0</v>
      </c>
      <c r="BE21" s="585">
        <f>SUM('Schedule 3B_Income_Eastern:Schedule 3D_Income_The Cape'!BE21)</f>
        <v>0</v>
      </c>
      <c r="BF21" s="585">
        <f>SUM('Schedule 3B_Income_Eastern:Schedule 3D_Income_The Cape'!BF21)</f>
        <v>0</v>
      </c>
      <c r="BG21" s="585">
        <f>SUM('Schedule 3B_Income_Eastern:Schedule 3D_Income_The Cape'!BG21)</f>
        <v>0</v>
      </c>
      <c r="BH21" s="588">
        <f t="shared" si="8"/>
        <v>0</v>
      </c>
      <c r="BI21" s="589">
        <f t="shared" si="9"/>
        <v>0</v>
      </c>
      <c r="BJ21" s="300">
        <v>3</v>
      </c>
      <c r="BK21" s="585">
        <f>SUM('Schedule 3B_Income_Eastern:Schedule 3D_Income_The Cape'!BK21)</f>
        <v>0</v>
      </c>
      <c r="BL21" s="585">
        <f>SUM('Schedule 3B_Income_Eastern:Schedule 3D_Income_The Cape'!BL21)</f>
        <v>0</v>
      </c>
      <c r="BM21" s="585">
        <f>SUM('Schedule 3B_Income_Eastern:Schedule 3D_Income_The Cape'!BM21)</f>
        <v>0</v>
      </c>
      <c r="BN21" s="585">
        <f>SUM('Schedule 3B_Income_Eastern:Schedule 3D_Income_The Cape'!BN21)</f>
        <v>0</v>
      </c>
      <c r="BO21" s="585">
        <f>SUM('Schedule 3B_Income_Eastern:Schedule 3D_Income_The Cape'!BO21)</f>
        <v>0</v>
      </c>
      <c r="BP21" s="585">
        <f>SUM('Schedule 3B_Income_Eastern:Schedule 3D_Income_The Cape'!BP21)</f>
        <v>0</v>
      </c>
      <c r="BQ21" s="585">
        <f>SUM('Schedule 3B_Income_Eastern:Schedule 3D_Income_The Cape'!BQ21)</f>
        <v>0</v>
      </c>
      <c r="BR21" s="585">
        <f>SUM('Schedule 3B_Income_Eastern:Schedule 3D_Income_The Cape'!BR21)</f>
        <v>0</v>
      </c>
      <c r="BS21" s="586">
        <f t="shared" si="10"/>
        <v>0</v>
      </c>
      <c r="BT21" s="587">
        <f>SUM('Schedule 3B_Income_Eastern:Schedule 3D_Income_The Cape'!BT21)</f>
        <v>0</v>
      </c>
      <c r="BU21" s="585">
        <f>SUM('Schedule 3B_Income_Eastern:Schedule 3D_Income_The Cape'!BU21)</f>
        <v>0</v>
      </c>
      <c r="BV21" s="585">
        <f>SUM('Schedule 3B_Income_Eastern:Schedule 3D_Income_The Cape'!BV21)</f>
        <v>0</v>
      </c>
      <c r="BW21" s="585">
        <f>SUM('Schedule 3B_Income_Eastern:Schedule 3D_Income_The Cape'!BW21)</f>
        <v>0</v>
      </c>
      <c r="BX21" s="585">
        <f>SUM('Schedule 3B_Income_Eastern:Schedule 3D_Income_The Cape'!BX21)</f>
        <v>0</v>
      </c>
      <c r="BY21" s="585">
        <f>SUM('Schedule 3B_Income_Eastern:Schedule 3D_Income_The Cape'!BY21)</f>
        <v>0</v>
      </c>
      <c r="BZ21" s="585">
        <f>SUM('Schedule 3B_Income_Eastern:Schedule 3D_Income_The Cape'!BZ21)</f>
        <v>0</v>
      </c>
      <c r="CA21" s="585">
        <f>SUM('Schedule 3B_Income_Eastern:Schedule 3D_Income_The Cape'!CA21)</f>
        <v>0</v>
      </c>
      <c r="CB21" s="588">
        <f t="shared" si="11"/>
        <v>0</v>
      </c>
      <c r="CC21" s="589">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13"/>
        <v>0</v>
      </c>
    </row>
    <row r="22" spans="1:99" ht="15.75" customHeight="1">
      <c r="A22" s="88" t="s">
        <v>177</v>
      </c>
      <c r="B22" s="300">
        <v>4</v>
      </c>
      <c r="C22" s="585">
        <f>SUM('Schedule 3B_Income_Eastern:Schedule 3D_Income_The Cape'!C22)</f>
        <v>0</v>
      </c>
      <c r="D22" s="585">
        <f>SUM('Schedule 3B_Income_Eastern:Schedule 3D_Income_The Cape'!D22)</f>
        <v>0</v>
      </c>
      <c r="E22" s="585">
        <f>SUM('Schedule 3B_Income_Eastern:Schedule 3D_Income_The Cape'!E22)</f>
        <v>0</v>
      </c>
      <c r="F22" s="585">
        <f>SUM('Schedule 3B_Income_Eastern:Schedule 3D_Income_The Cape'!F22)</f>
        <v>0</v>
      </c>
      <c r="G22" s="585">
        <f>SUM('Schedule 3B_Income_Eastern:Schedule 3D_Income_The Cape'!G22)</f>
        <v>0</v>
      </c>
      <c r="H22" s="585">
        <f>SUM('Schedule 3B_Income_Eastern:Schedule 3D_Income_The Cape'!H22)</f>
        <v>0</v>
      </c>
      <c r="I22" s="585">
        <f>SUM('Schedule 3B_Income_Eastern:Schedule 3D_Income_The Cape'!I22)</f>
        <v>0</v>
      </c>
      <c r="J22" s="585">
        <f>SUM('Schedule 3B_Income_Eastern:Schedule 3D_Income_The Cape'!J22)</f>
        <v>0</v>
      </c>
      <c r="K22" s="586">
        <f t="shared" si="1"/>
        <v>0</v>
      </c>
      <c r="L22" s="587">
        <f>SUM('Schedule 3B_Income_Eastern:Schedule 3D_Income_The Cape'!L22)</f>
        <v>0</v>
      </c>
      <c r="M22" s="585">
        <f>SUM('Schedule 3B_Income_Eastern:Schedule 3D_Income_The Cape'!M22)</f>
        <v>118702.15504499218</v>
      </c>
      <c r="N22" s="585">
        <f>SUM('Schedule 3B_Income_Eastern:Schedule 3D_Income_The Cape'!N22)</f>
        <v>0</v>
      </c>
      <c r="O22" s="585">
        <f>SUM('Schedule 3B_Income_Eastern:Schedule 3D_Income_The Cape'!O22)</f>
        <v>94687.392632571951</v>
      </c>
      <c r="P22" s="585">
        <f>SUM('Schedule 3B_Income_Eastern:Schedule 3D_Income_The Cape'!P22)</f>
        <v>0</v>
      </c>
      <c r="Q22" s="585">
        <f>SUM('Schedule 3B_Income_Eastern:Schedule 3D_Income_The Cape'!Q22)</f>
        <v>106807.20733328584</v>
      </c>
      <c r="R22" s="585">
        <f>SUM('Schedule 3B_Income_Eastern:Schedule 3D_Income_The Cape'!R22)</f>
        <v>0</v>
      </c>
      <c r="S22" s="585">
        <f>SUM('Schedule 3B_Income_Eastern:Schedule 3D_Income_The Cape'!S22)</f>
        <v>103877.66285237641</v>
      </c>
      <c r="T22" s="588">
        <f t="shared" si="2"/>
        <v>424074.41786322638</v>
      </c>
      <c r="U22" s="589">
        <f t="shared" si="3"/>
        <v>424074.41786322638</v>
      </c>
      <c r="V22" s="300">
        <v>4</v>
      </c>
      <c r="W22" s="585">
        <f>SUM('Schedule 3B_Income_Eastern:Schedule 3D_Income_The Cape'!W22)</f>
        <v>0</v>
      </c>
      <c r="X22" s="585">
        <f>SUM('Schedule 3B_Income_Eastern:Schedule 3D_Income_The Cape'!X22)</f>
        <v>0</v>
      </c>
      <c r="Y22" s="585">
        <f>SUM('Schedule 3B_Income_Eastern:Schedule 3D_Income_The Cape'!Y22)</f>
        <v>0</v>
      </c>
      <c r="Z22" s="585">
        <f>SUM('Schedule 3B_Income_Eastern:Schedule 3D_Income_The Cape'!Z22)</f>
        <v>0</v>
      </c>
      <c r="AA22" s="585">
        <f>SUM('Schedule 3B_Income_Eastern:Schedule 3D_Income_The Cape'!AA22)</f>
        <v>0</v>
      </c>
      <c r="AB22" s="585">
        <f>SUM('Schedule 3B_Income_Eastern:Schedule 3D_Income_The Cape'!AB22)</f>
        <v>0</v>
      </c>
      <c r="AC22" s="585">
        <f>SUM('Schedule 3B_Income_Eastern:Schedule 3D_Income_The Cape'!AC22)</f>
        <v>0</v>
      </c>
      <c r="AD22" s="585">
        <f>SUM('Schedule 3B_Income_Eastern:Schedule 3D_Income_The Cape'!AD22)</f>
        <v>0</v>
      </c>
      <c r="AE22" s="586">
        <f t="shared" si="4"/>
        <v>0</v>
      </c>
      <c r="AF22" s="587">
        <f>SUM('Schedule 3B_Income_Eastern:Schedule 3D_Income_The Cape'!AF22)</f>
        <v>0</v>
      </c>
      <c r="AG22" s="585">
        <f>SUM('Schedule 3B_Income_Eastern:Schedule 3D_Income_The Cape'!AG22)</f>
        <v>48151.901938110168</v>
      </c>
      <c r="AH22" s="585">
        <f>SUM('Schedule 3B_Income_Eastern:Schedule 3D_Income_The Cape'!AH22)</f>
        <v>0</v>
      </c>
      <c r="AI22" s="585">
        <f>SUM('Schedule 3B_Income_Eastern:Schedule 3D_Income_The Cape'!AI22)</f>
        <v>37983.004074698736</v>
      </c>
      <c r="AJ22" s="585">
        <f>SUM('Schedule 3B_Income_Eastern:Schedule 3D_Income_The Cape'!AJ22)</f>
        <v>0</v>
      </c>
      <c r="AK22" s="585">
        <f>SUM('Schedule 3B_Income_Eastern:Schedule 3D_Income_The Cape'!AK22)</f>
        <v>40401.276021268975</v>
      </c>
      <c r="AL22" s="585">
        <f>SUM('Schedule 3B_Income_Eastern:Schedule 3D_Income_The Cape'!AL22)</f>
        <v>0</v>
      </c>
      <c r="AM22" s="585">
        <f>SUM('Schedule 3B_Income_Eastern:Schedule 3D_Income_The Cape'!AM22)</f>
        <v>41013.597564541837</v>
      </c>
      <c r="AN22" s="588">
        <f t="shared" si="5"/>
        <v>167549.77959861973</v>
      </c>
      <c r="AO22" s="589">
        <f t="shared" si="6"/>
        <v>167549.77959861973</v>
      </c>
      <c r="AP22" s="300">
        <v>4</v>
      </c>
      <c r="AQ22" s="585">
        <f>SUM('Schedule 3B_Income_Eastern:Schedule 3D_Income_The Cape'!AQ22)</f>
        <v>0</v>
      </c>
      <c r="AR22" s="585">
        <f>SUM('Schedule 3B_Income_Eastern:Schedule 3D_Income_The Cape'!AR22)</f>
        <v>0</v>
      </c>
      <c r="AS22" s="585">
        <f>SUM('Schedule 3B_Income_Eastern:Schedule 3D_Income_The Cape'!AS22)</f>
        <v>0</v>
      </c>
      <c r="AT22" s="585">
        <f>SUM('Schedule 3B_Income_Eastern:Schedule 3D_Income_The Cape'!AT22)</f>
        <v>0</v>
      </c>
      <c r="AU22" s="585">
        <f>SUM('Schedule 3B_Income_Eastern:Schedule 3D_Income_The Cape'!AU22)</f>
        <v>0</v>
      </c>
      <c r="AV22" s="585">
        <f>SUM('Schedule 3B_Income_Eastern:Schedule 3D_Income_The Cape'!AV22)</f>
        <v>0</v>
      </c>
      <c r="AW22" s="585">
        <f>SUM('Schedule 3B_Income_Eastern:Schedule 3D_Income_The Cape'!AW22)</f>
        <v>0</v>
      </c>
      <c r="AX22" s="585">
        <f>SUM('Schedule 3B_Income_Eastern:Schedule 3D_Income_The Cape'!AX22)</f>
        <v>0</v>
      </c>
      <c r="AY22" s="586">
        <f t="shared" si="7"/>
        <v>0</v>
      </c>
      <c r="AZ22" s="587">
        <f>SUM('Schedule 3B_Income_Eastern:Schedule 3D_Income_The Cape'!AZ22)</f>
        <v>0</v>
      </c>
      <c r="BA22" s="585">
        <f>SUM('Schedule 3B_Income_Eastern:Schedule 3D_Income_The Cape'!BA22)</f>
        <v>869979.68037289579</v>
      </c>
      <c r="BB22" s="585">
        <f>SUM('Schedule 3B_Income_Eastern:Schedule 3D_Income_The Cape'!BB22)</f>
        <v>0</v>
      </c>
      <c r="BC22" s="585">
        <f>SUM('Schedule 3B_Income_Eastern:Schedule 3D_Income_The Cape'!BC22)</f>
        <v>747222.15587283333</v>
      </c>
      <c r="BD22" s="585">
        <f>SUM('Schedule 3B_Income_Eastern:Schedule 3D_Income_The Cape'!BD22)</f>
        <v>0</v>
      </c>
      <c r="BE22" s="585">
        <f>SUM('Schedule 3B_Income_Eastern:Schedule 3D_Income_The Cape'!BE22)</f>
        <v>825560.19318016176</v>
      </c>
      <c r="BF22" s="585">
        <f>SUM('Schedule 3B_Income_Eastern:Schedule 3D_Income_The Cape'!BF22)</f>
        <v>0</v>
      </c>
      <c r="BG22" s="585">
        <f>SUM('Schedule 3B_Income_Eastern:Schedule 3D_Income_The Cape'!BG22)</f>
        <v>844973.18865305127</v>
      </c>
      <c r="BH22" s="588">
        <f t="shared" si="8"/>
        <v>3287735.2180789425</v>
      </c>
      <c r="BI22" s="589">
        <f t="shared" si="9"/>
        <v>3287735.2180789425</v>
      </c>
      <c r="BJ22" s="300">
        <v>4</v>
      </c>
      <c r="BK22" s="585">
        <f>SUM('Schedule 3B_Income_Eastern:Schedule 3D_Income_The Cape'!BK22)</f>
        <v>0</v>
      </c>
      <c r="BL22" s="585">
        <f>SUM('Schedule 3B_Income_Eastern:Schedule 3D_Income_The Cape'!BL22)</f>
        <v>0</v>
      </c>
      <c r="BM22" s="585">
        <f>SUM('Schedule 3B_Income_Eastern:Schedule 3D_Income_The Cape'!BM22)</f>
        <v>0</v>
      </c>
      <c r="BN22" s="585">
        <f>SUM('Schedule 3B_Income_Eastern:Schedule 3D_Income_The Cape'!BN22)</f>
        <v>0</v>
      </c>
      <c r="BO22" s="585">
        <f>SUM('Schedule 3B_Income_Eastern:Schedule 3D_Income_The Cape'!BO22)</f>
        <v>0</v>
      </c>
      <c r="BP22" s="585">
        <f>SUM('Schedule 3B_Income_Eastern:Schedule 3D_Income_The Cape'!BP22)</f>
        <v>0</v>
      </c>
      <c r="BQ22" s="585">
        <f>SUM('Schedule 3B_Income_Eastern:Schedule 3D_Income_The Cape'!BQ22)</f>
        <v>0</v>
      </c>
      <c r="BR22" s="585">
        <f>SUM('Schedule 3B_Income_Eastern:Schedule 3D_Income_The Cape'!BR22)</f>
        <v>0</v>
      </c>
      <c r="BS22" s="586">
        <f t="shared" si="10"/>
        <v>0</v>
      </c>
      <c r="BT22" s="587">
        <f>SUM('Schedule 3B_Income_Eastern:Schedule 3D_Income_The Cape'!BT22)</f>
        <v>0</v>
      </c>
      <c r="BU22" s="585">
        <f>SUM('Schedule 3B_Income_Eastern:Schedule 3D_Income_The Cape'!BU22)</f>
        <v>41474.342506526307</v>
      </c>
      <c r="BV22" s="585">
        <f>SUM('Schedule 3B_Income_Eastern:Schedule 3D_Income_The Cape'!BV22)</f>
        <v>0</v>
      </c>
      <c r="BW22" s="585">
        <f>SUM('Schedule 3B_Income_Eastern:Schedule 3D_Income_The Cape'!BW22)</f>
        <v>34435.885333365215</v>
      </c>
      <c r="BX22" s="585">
        <f>SUM('Schedule 3B_Income_Eastern:Schedule 3D_Income_The Cape'!BX22)</f>
        <v>0</v>
      </c>
      <c r="BY22" s="585">
        <f>SUM('Schedule 3B_Income_Eastern:Schedule 3D_Income_The Cape'!BY22)</f>
        <v>34602.459370945959</v>
      </c>
      <c r="BZ22" s="585">
        <f>SUM('Schedule 3B_Income_Eastern:Schedule 3D_Income_The Cape'!BZ22)</f>
        <v>0</v>
      </c>
      <c r="CA22" s="585">
        <f>SUM('Schedule 3B_Income_Eastern:Schedule 3D_Income_The Cape'!CA22)</f>
        <v>33676.687508466355</v>
      </c>
      <c r="CB22" s="588">
        <f t="shared" si="11"/>
        <v>144189.37471930383</v>
      </c>
      <c r="CC22" s="589">
        <f t="shared" si="12"/>
        <v>144189.37471930383</v>
      </c>
      <c r="CD22" s="300">
        <v>4</v>
      </c>
      <c r="CE22" s="414">
        <f t="shared" si="14"/>
        <v>0</v>
      </c>
      <c r="CF22" s="414">
        <f t="shared" si="15"/>
        <v>0</v>
      </c>
      <c r="CG22" s="414">
        <f t="shared" si="16"/>
        <v>0</v>
      </c>
      <c r="CH22" s="414">
        <f t="shared" si="17"/>
        <v>0</v>
      </c>
      <c r="CI22" s="416">
        <f t="shared" si="18"/>
        <v>0</v>
      </c>
      <c r="CJ22" s="414">
        <f t="shared" si="19"/>
        <v>1078308.0798625245</v>
      </c>
      <c r="CK22" s="414">
        <f t="shared" si="20"/>
        <v>914328.43791346916</v>
      </c>
      <c r="CL22" s="414">
        <f t="shared" si="21"/>
        <v>1007371.1359056624</v>
      </c>
      <c r="CM22" s="414">
        <f t="shared" si="22"/>
        <v>1023541.1365784359</v>
      </c>
      <c r="CN22" s="416">
        <f t="shared" si="23"/>
        <v>4023548.7902600924</v>
      </c>
      <c r="CO22" s="414">
        <f t="shared" si="24"/>
        <v>1078308.0798625245</v>
      </c>
      <c r="CP22" s="414">
        <f t="shared" si="25"/>
        <v>914328.43791346916</v>
      </c>
      <c r="CQ22" s="414">
        <f t="shared" si="26"/>
        <v>1007371.1359056624</v>
      </c>
      <c r="CR22" s="414">
        <f t="shared" si="27"/>
        <v>1023541.1365784359</v>
      </c>
      <c r="CS22" s="416">
        <f t="shared" si="13"/>
        <v>4023548.7902600928</v>
      </c>
    </row>
    <row r="23" spans="1:99" ht="15.75" customHeight="1">
      <c r="A23" s="135" t="s">
        <v>179</v>
      </c>
      <c r="B23" s="300">
        <v>5</v>
      </c>
      <c r="C23" s="585">
        <f t="shared" ref="C23" si="37">SUM(C20:C22)+C16</f>
        <v>1310337.92000003</v>
      </c>
      <c r="D23" s="585">
        <f t="shared" ref="D23:J23" si="38">SUM(D20:D22)+D16</f>
        <v>2747294.470000241</v>
      </c>
      <c r="E23" s="585">
        <f t="shared" si="38"/>
        <v>1356647.0300000301</v>
      </c>
      <c r="F23" s="585">
        <f t="shared" si="38"/>
        <v>2841011.2500002612</v>
      </c>
      <c r="G23" s="585">
        <f t="shared" si="38"/>
        <v>1406455.43000004</v>
      </c>
      <c r="H23" s="585">
        <f t="shared" si="38"/>
        <v>2977048.2900002832</v>
      </c>
      <c r="I23" s="585">
        <f t="shared" si="38"/>
        <v>1473777.3300000401</v>
      </c>
      <c r="J23" s="585">
        <f t="shared" si="38"/>
        <v>3017302.880000283</v>
      </c>
      <c r="K23" s="586">
        <f t="shared" si="1"/>
        <v>17129874.600001208</v>
      </c>
      <c r="L23" s="587">
        <f t="shared" ref="L23:S23" si="39">SUM(L20:L22)+L16</f>
        <v>0</v>
      </c>
      <c r="M23" s="585">
        <f t="shared" si="39"/>
        <v>7583529.4418449728</v>
      </c>
      <c r="N23" s="585">
        <f t="shared" si="39"/>
        <v>0</v>
      </c>
      <c r="O23" s="585">
        <f t="shared" si="39"/>
        <v>6866837.906232574</v>
      </c>
      <c r="P23" s="585">
        <f t="shared" si="39"/>
        <v>0</v>
      </c>
      <c r="Q23" s="585">
        <f t="shared" si="39"/>
        <v>7805678.9885332622</v>
      </c>
      <c r="R23" s="585">
        <f t="shared" si="39"/>
        <v>0</v>
      </c>
      <c r="S23" s="585">
        <f t="shared" si="39"/>
        <v>7959358.5484523708</v>
      </c>
      <c r="T23" s="588">
        <f t="shared" si="2"/>
        <v>30215404.885063179</v>
      </c>
      <c r="U23" s="217">
        <f t="shared" si="3"/>
        <v>47345279.485064387</v>
      </c>
      <c r="V23" s="300">
        <v>5</v>
      </c>
      <c r="W23" s="585">
        <f t="shared" ref="W23:AD23" si="40">SUM(W20:W22)+W16</f>
        <v>211537.86</v>
      </c>
      <c r="X23" s="585">
        <f t="shared" si="40"/>
        <v>1419351.3100000189</v>
      </c>
      <c r="Y23" s="585">
        <f t="shared" si="40"/>
        <v>209881.93</v>
      </c>
      <c r="Z23" s="585">
        <f t="shared" si="40"/>
        <v>1356663.7700000182</v>
      </c>
      <c r="AA23" s="585">
        <f t="shared" si="40"/>
        <v>208417.22999999998</v>
      </c>
      <c r="AB23" s="585">
        <f t="shared" si="40"/>
        <v>1366160.390000019</v>
      </c>
      <c r="AC23" s="585">
        <f t="shared" si="40"/>
        <v>234610.53</v>
      </c>
      <c r="AD23" s="585">
        <f t="shared" si="40"/>
        <v>1416501.0300000201</v>
      </c>
      <c r="AE23" s="586">
        <f t="shared" si="4"/>
        <v>6423124.0500000762</v>
      </c>
      <c r="AF23" s="587">
        <f t="shared" ref="AF23:AM23" si="41">SUM(AF20:AF22)+AF16</f>
        <v>0</v>
      </c>
      <c r="AG23" s="585">
        <f t="shared" si="41"/>
        <v>2553595.0123381098</v>
      </c>
      <c r="AH23" s="585">
        <f t="shared" si="41"/>
        <v>0</v>
      </c>
      <c r="AI23" s="585">
        <f t="shared" si="41"/>
        <v>2098016.5640746988</v>
      </c>
      <c r="AJ23" s="585">
        <f t="shared" si="41"/>
        <v>0</v>
      </c>
      <c r="AK23" s="585">
        <f t="shared" si="41"/>
        <v>2236816.7444212688</v>
      </c>
      <c r="AL23" s="585">
        <f t="shared" si="41"/>
        <v>0</v>
      </c>
      <c r="AM23" s="585">
        <f t="shared" si="41"/>
        <v>2286905.7339645415</v>
      </c>
      <c r="AN23" s="588">
        <f t="shared" si="5"/>
        <v>9175334.054798618</v>
      </c>
      <c r="AO23" s="217">
        <f t="shared" si="6"/>
        <v>15598458.104798693</v>
      </c>
      <c r="AP23" s="300">
        <v>5</v>
      </c>
      <c r="AQ23" s="585">
        <f t="shared" ref="AQ23:AX23" si="42">SUM(AQ20:AQ22)+AQ16</f>
        <v>23415787.809998188</v>
      </c>
      <c r="AR23" s="585">
        <f t="shared" si="42"/>
        <v>55299210.130006224</v>
      </c>
      <c r="AS23" s="585">
        <f t="shared" si="42"/>
        <v>25063089.909998</v>
      </c>
      <c r="AT23" s="585">
        <f t="shared" si="42"/>
        <v>58194493.690009229</v>
      </c>
      <c r="AU23" s="585">
        <f t="shared" si="42"/>
        <v>26431821.770000603</v>
      </c>
      <c r="AV23" s="585">
        <f t="shared" si="42"/>
        <v>61460590.620016634</v>
      </c>
      <c r="AW23" s="585">
        <f t="shared" si="42"/>
        <v>29204724.680001199</v>
      </c>
      <c r="AX23" s="585">
        <f t="shared" si="42"/>
        <v>64214982.450019404</v>
      </c>
      <c r="AY23" s="586">
        <f t="shared" si="7"/>
        <v>343284701.06004947</v>
      </c>
      <c r="AZ23" s="587">
        <f t="shared" ref="AZ23:BG23" si="43">SUM(AZ20:AZ22)+AZ16</f>
        <v>0</v>
      </c>
      <c r="BA23" s="585">
        <f t="shared" si="43"/>
        <v>59049350.374372587</v>
      </c>
      <c r="BB23" s="585">
        <f t="shared" si="43"/>
        <v>0</v>
      </c>
      <c r="BC23" s="585">
        <f t="shared" si="43"/>
        <v>50293693.227072157</v>
      </c>
      <c r="BD23" s="585">
        <f t="shared" si="43"/>
        <v>0</v>
      </c>
      <c r="BE23" s="585">
        <f t="shared" si="43"/>
        <v>56769729.374180198</v>
      </c>
      <c r="BF23" s="585">
        <f t="shared" si="43"/>
        <v>0</v>
      </c>
      <c r="BG23" s="585">
        <f t="shared" si="43"/>
        <v>57302439.753452986</v>
      </c>
      <c r="BH23" s="588">
        <f t="shared" si="8"/>
        <v>223415212.72907794</v>
      </c>
      <c r="BI23" s="217">
        <f t="shared" si="9"/>
        <v>566699913.78912735</v>
      </c>
      <c r="BJ23" s="300">
        <v>5</v>
      </c>
      <c r="BK23" s="585">
        <f t="shared" ref="BK23:BR23" si="44">SUM(BK20:BK22)+BK16</f>
        <v>498971.45</v>
      </c>
      <c r="BL23" s="585">
        <f t="shared" si="44"/>
        <v>5725939.6699999999</v>
      </c>
      <c r="BM23" s="585">
        <f t="shared" si="44"/>
        <v>475705.26</v>
      </c>
      <c r="BN23" s="585">
        <f t="shared" si="44"/>
        <v>5446335.2999999998</v>
      </c>
      <c r="BO23" s="585">
        <f t="shared" si="44"/>
        <v>479600.67000000004</v>
      </c>
      <c r="BP23" s="585">
        <f t="shared" si="44"/>
        <v>5313797.7600000007</v>
      </c>
      <c r="BQ23" s="585">
        <f t="shared" si="44"/>
        <v>531472.93999999994</v>
      </c>
      <c r="BR23" s="585">
        <f t="shared" si="44"/>
        <v>5568984.9300000006</v>
      </c>
      <c r="BS23" s="586">
        <f t="shared" si="10"/>
        <v>24040807.98</v>
      </c>
      <c r="BT23" s="587">
        <f t="shared" ref="BT23:CA23" si="45">SUM(BT20:BT22)+BT16</f>
        <v>0</v>
      </c>
      <c r="BU23" s="585">
        <f t="shared" si="45"/>
        <v>2363695.0663065263</v>
      </c>
      <c r="BV23" s="585">
        <f t="shared" si="45"/>
        <v>0</v>
      </c>
      <c r="BW23" s="585">
        <f t="shared" si="45"/>
        <v>2262397.6945333653</v>
      </c>
      <c r="BX23" s="585">
        <f t="shared" si="45"/>
        <v>0</v>
      </c>
      <c r="BY23" s="585">
        <f t="shared" si="45"/>
        <v>2257755.4403709457</v>
      </c>
      <c r="BZ23" s="585">
        <f t="shared" si="45"/>
        <v>0</v>
      </c>
      <c r="CA23" s="585">
        <f t="shared" si="45"/>
        <v>2419683.2827084661</v>
      </c>
      <c r="CB23" s="588">
        <f t="shared" si="11"/>
        <v>9303531.4839193039</v>
      </c>
      <c r="CC23" s="217">
        <f t="shared" si="12"/>
        <v>33344339.463919304</v>
      </c>
      <c r="CD23" s="300">
        <v>5</v>
      </c>
      <c r="CE23" s="414">
        <f t="shared" si="14"/>
        <v>90628430.620004714</v>
      </c>
      <c r="CF23" s="414">
        <f t="shared" si="15"/>
        <v>94943828.140007541</v>
      </c>
      <c r="CG23" s="414">
        <f t="shared" si="16"/>
        <v>99643892.16001758</v>
      </c>
      <c r="CH23" s="414">
        <f t="shared" si="17"/>
        <v>105662356.77002096</v>
      </c>
      <c r="CI23" s="416">
        <f t="shared" si="18"/>
        <v>390878507.69005078</v>
      </c>
      <c r="CJ23" s="414">
        <f t="shared" si="19"/>
        <v>71550169.894862205</v>
      </c>
      <c r="CK23" s="414">
        <f t="shared" si="20"/>
        <v>61520945.391912788</v>
      </c>
      <c r="CL23" s="414">
        <f t="shared" si="21"/>
        <v>69069980.547505677</v>
      </c>
      <c r="CM23" s="414">
        <f t="shared" si="22"/>
        <v>69968387.318578362</v>
      </c>
      <c r="CN23" s="416">
        <f t="shared" si="23"/>
        <v>272109483.15285903</v>
      </c>
      <c r="CO23" s="414">
        <f t="shared" si="24"/>
        <v>162178600.51486686</v>
      </c>
      <c r="CP23" s="414">
        <f t="shared" si="25"/>
        <v>156464773.53192034</v>
      </c>
      <c r="CQ23" s="414">
        <f t="shared" si="26"/>
        <v>168713872.70752323</v>
      </c>
      <c r="CR23" s="414">
        <f t="shared" si="27"/>
        <v>175630744.08859932</v>
      </c>
      <c r="CS23" s="416">
        <f t="shared" si="13"/>
        <v>662987990.84290969</v>
      </c>
    </row>
    <row r="24" spans="1:99" ht="15.75" customHeight="1">
      <c r="A24" s="135" t="s">
        <v>1340</v>
      </c>
      <c r="B24" s="193"/>
      <c r="C24" s="104"/>
      <c r="D24" s="104"/>
      <c r="E24" s="104"/>
      <c r="F24" s="104"/>
      <c r="G24" s="104"/>
      <c r="H24" s="104"/>
      <c r="I24" s="104"/>
      <c r="J24" s="104"/>
      <c r="K24" s="375"/>
      <c r="L24" s="376"/>
      <c r="M24" s="104"/>
      <c r="N24" s="104"/>
      <c r="O24" s="104"/>
      <c r="P24" s="104"/>
      <c r="Q24" s="104"/>
      <c r="R24" s="104"/>
      <c r="S24" s="104"/>
      <c r="T24" s="104"/>
      <c r="U24" s="377"/>
      <c r="V24" s="193"/>
      <c r="W24" s="104"/>
      <c r="X24" s="104"/>
      <c r="Y24" s="104"/>
      <c r="Z24" s="104"/>
      <c r="AA24" s="104"/>
      <c r="AB24" s="104"/>
      <c r="AC24" s="104"/>
      <c r="AD24" s="104"/>
      <c r="AE24" s="375"/>
      <c r="AF24" s="376"/>
      <c r="AG24" s="104"/>
      <c r="AH24" s="104"/>
      <c r="AI24" s="104"/>
      <c r="AJ24" s="104"/>
      <c r="AK24" s="104"/>
      <c r="AL24" s="104"/>
      <c r="AM24" s="104"/>
      <c r="AN24" s="104"/>
      <c r="AO24" s="377"/>
      <c r="AP24" s="193"/>
      <c r="AQ24" s="104"/>
      <c r="AR24" s="104"/>
      <c r="AS24" s="104"/>
      <c r="AT24" s="104"/>
      <c r="AU24" s="104"/>
      <c r="AV24" s="104"/>
      <c r="AW24" s="104"/>
      <c r="AX24" s="104"/>
      <c r="AY24" s="375"/>
      <c r="AZ24" s="376"/>
      <c r="BA24" s="104"/>
      <c r="BB24" s="104"/>
      <c r="BC24" s="104"/>
      <c r="BD24" s="104"/>
      <c r="BE24" s="104"/>
      <c r="BF24" s="104"/>
      <c r="BG24" s="104"/>
      <c r="BH24" s="104"/>
      <c r="BI24" s="377"/>
      <c r="BJ24" s="193"/>
      <c r="BK24" s="104"/>
      <c r="BL24" s="104"/>
      <c r="BM24" s="104"/>
      <c r="BN24" s="104"/>
      <c r="BO24" s="104"/>
      <c r="BP24" s="104"/>
      <c r="BQ24" s="104"/>
      <c r="BR24" s="104"/>
      <c r="BS24" s="375"/>
      <c r="BT24" s="376"/>
      <c r="BU24" s="104"/>
      <c r="BV24" s="104"/>
      <c r="BW24" s="104"/>
      <c r="BX24" s="104"/>
      <c r="BY24" s="104"/>
      <c r="BZ24" s="104"/>
      <c r="CA24" s="104"/>
      <c r="CB24" s="104"/>
      <c r="CC24" s="377"/>
      <c r="CD24" s="193"/>
      <c r="CE24" s="178"/>
      <c r="CF24" s="178"/>
      <c r="CG24" s="178"/>
      <c r="CH24" s="178"/>
      <c r="CI24" s="419"/>
      <c r="CJ24" s="178"/>
      <c r="CK24" s="178"/>
      <c r="CL24" s="178"/>
      <c r="CM24" s="178"/>
      <c r="CN24" s="419"/>
      <c r="CO24" s="178"/>
      <c r="CP24" s="178"/>
      <c r="CQ24" s="178"/>
      <c r="CR24" s="178"/>
      <c r="CS24" s="419"/>
    </row>
    <row r="25" spans="1:99" ht="15.75" customHeight="1">
      <c r="A25" s="88" t="s">
        <v>181</v>
      </c>
      <c r="B25" s="300">
        <v>6</v>
      </c>
      <c r="C25" s="585">
        <f>SUM('Schedule 3B_Income_Eastern:Schedule 3D_Income_The Cape'!C25)</f>
        <v>0</v>
      </c>
      <c r="D25" s="585">
        <f>SUM('Schedule 3B_Income_Eastern:Schedule 3D_Income_The Cape'!D25)</f>
        <v>0</v>
      </c>
      <c r="E25" s="585">
        <f>SUM('Schedule 3B_Income_Eastern:Schedule 3D_Income_The Cape'!E25)</f>
        <v>0</v>
      </c>
      <c r="F25" s="585">
        <f>SUM('Schedule 3B_Income_Eastern:Schedule 3D_Income_The Cape'!F25)</f>
        <v>0</v>
      </c>
      <c r="G25" s="585">
        <f>SUM('Schedule 3B_Income_Eastern:Schedule 3D_Income_The Cape'!G25)</f>
        <v>0</v>
      </c>
      <c r="H25" s="585">
        <f>SUM('Schedule 3B_Income_Eastern:Schedule 3D_Income_The Cape'!H25)</f>
        <v>0</v>
      </c>
      <c r="I25" s="585">
        <f>SUM('Schedule 3B_Income_Eastern:Schedule 3D_Income_The Cape'!I25)</f>
        <v>0</v>
      </c>
      <c r="J25" s="585">
        <f>SUM('Schedule 3B_Income_Eastern:Schedule 3D_Income_The Cape'!J25)</f>
        <v>0</v>
      </c>
      <c r="K25" s="586">
        <f t="shared" ref="K25:K30" si="46">SUM(C25:J25)</f>
        <v>0</v>
      </c>
      <c r="L25" s="587">
        <f>SUM('Schedule 3B_Income_Eastern:Schedule 3D_Income_The Cape'!L25)</f>
        <v>0</v>
      </c>
      <c r="M25" s="585">
        <f>SUM('Schedule 3B_Income_Eastern:Schedule 3D_Income_The Cape'!M25)</f>
        <v>0</v>
      </c>
      <c r="N25" s="585">
        <f>SUM('Schedule 3B_Income_Eastern:Schedule 3D_Income_The Cape'!N25)</f>
        <v>0</v>
      </c>
      <c r="O25" s="585">
        <f>SUM('Schedule 3B_Income_Eastern:Schedule 3D_Income_The Cape'!O25)</f>
        <v>0</v>
      </c>
      <c r="P25" s="585">
        <f>SUM('Schedule 3B_Income_Eastern:Schedule 3D_Income_The Cape'!P25)</f>
        <v>0</v>
      </c>
      <c r="Q25" s="585">
        <f>SUM('Schedule 3B_Income_Eastern:Schedule 3D_Income_The Cape'!Q25)</f>
        <v>0</v>
      </c>
      <c r="R25" s="585">
        <f>SUM('Schedule 3B_Income_Eastern:Schedule 3D_Income_The Cape'!R25)</f>
        <v>0</v>
      </c>
      <c r="S25" s="585">
        <f>SUM('Schedule 3B_Income_Eastern:Schedule 3D_Income_The Cape'!S25)</f>
        <v>0</v>
      </c>
      <c r="T25" s="588">
        <f t="shared" ref="T25:T30" si="47">SUM(L25:S25)</f>
        <v>0</v>
      </c>
      <c r="U25" s="589">
        <f t="shared" ref="U25:U30" si="48">SUM(K25,T25)</f>
        <v>0</v>
      </c>
      <c r="V25" s="300">
        <v>6</v>
      </c>
      <c r="W25" s="585">
        <f>SUM('Schedule 3B_Income_Eastern:Schedule 3D_Income_The Cape'!W25)</f>
        <v>0</v>
      </c>
      <c r="X25" s="585">
        <f>SUM('Schedule 3B_Income_Eastern:Schedule 3D_Income_The Cape'!X25)</f>
        <v>0</v>
      </c>
      <c r="Y25" s="585">
        <f>SUM('Schedule 3B_Income_Eastern:Schedule 3D_Income_The Cape'!Y25)</f>
        <v>0</v>
      </c>
      <c r="Z25" s="585">
        <f>SUM('Schedule 3B_Income_Eastern:Schedule 3D_Income_The Cape'!Z25)</f>
        <v>0</v>
      </c>
      <c r="AA25" s="585">
        <f>SUM('Schedule 3B_Income_Eastern:Schedule 3D_Income_The Cape'!AA25)</f>
        <v>0</v>
      </c>
      <c r="AB25" s="585">
        <f>SUM('Schedule 3B_Income_Eastern:Schedule 3D_Income_The Cape'!AB25)</f>
        <v>0</v>
      </c>
      <c r="AC25" s="585">
        <f>SUM('Schedule 3B_Income_Eastern:Schedule 3D_Income_The Cape'!AC25)</f>
        <v>0</v>
      </c>
      <c r="AD25" s="585">
        <f>SUM('Schedule 3B_Income_Eastern:Schedule 3D_Income_The Cape'!AD25)</f>
        <v>0</v>
      </c>
      <c r="AE25" s="586">
        <f t="shared" ref="AE25:AE30" si="49">SUM(W25:AD25)</f>
        <v>0</v>
      </c>
      <c r="AF25" s="587">
        <f>SUM('Schedule 3B_Income_Eastern:Schedule 3D_Income_The Cape'!AF25)</f>
        <v>0</v>
      </c>
      <c r="AG25" s="585">
        <f>SUM('Schedule 3B_Income_Eastern:Schedule 3D_Income_The Cape'!AG25)</f>
        <v>0</v>
      </c>
      <c r="AH25" s="585">
        <f>SUM('Schedule 3B_Income_Eastern:Schedule 3D_Income_The Cape'!AH25)</f>
        <v>0</v>
      </c>
      <c r="AI25" s="585">
        <f>SUM('Schedule 3B_Income_Eastern:Schedule 3D_Income_The Cape'!AI25)</f>
        <v>0</v>
      </c>
      <c r="AJ25" s="585">
        <f>SUM('Schedule 3B_Income_Eastern:Schedule 3D_Income_The Cape'!AJ25)</f>
        <v>0</v>
      </c>
      <c r="AK25" s="585">
        <f>SUM('Schedule 3B_Income_Eastern:Schedule 3D_Income_The Cape'!AK25)</f>
        <v>0</v>
      </c>
      <c r="AL25" s="585">
        <f>SUM('Schedule 3B_Income_Eastern:Schedule 3D_Income_The Cape'!AL25)</f>
        <v>0</v>
      </c>
      <c r="AM25" s="585">
        <f>SUM('Schedule 3B_Income_Eastern:Schedule 3D_Income_The Cape'!AM25)</f>
        <v>0</v>
      </c>
      <c r="AN25" s="588">
        <f t="shared" ref="AN25:AN30" si="50">SUM(AF25:AM25)</f>
        <v>0</v>
      </c>
      <c r="AO25" s="589">
        <f t="shared" ref="AO25:AO30" si="51">SUM(AE25,AN25)</f>
        <v>0</v>
      </c>
      <c r="AP25" s="300">
        <v>6</v>
      </c>
      <c r="AQ25" s="585">
        <f>SUM('Schedule 3B_Income_Eastern:Schedule 3D_Income_The Cape'!AQ25)</f>
        <v>0</v>
      </c>
      <c r="AR25" s="585">
        <f>SUM('Schedule 3B_Income_Eastern:Schedule 3D_Income_The Cape'!AR25)</f>
        <v>0</v>
      </c>
      <c r="AS25" s="585">
        <f>SUM('Schedule 3B_Income_Eastern:Schedule 3D_Income_The Cape'!AS25)</f>
        <v>0</v>
      </c>
      <c r="AT25" s="585">
        <f>SUM('Schedule 3B_Income_Eastern:Schedule 3D_Income_The Cape'!AT25)</f>
        <v>0</v>
      </c>
      <c r="AU25" s="585">
        <f>SUM('Schedule 3B_Income_Eastern:Schedule 3D_Income_The Cape'!AU25)</f>
        <v>0</v>
      </c>
      <c r="AV25" s="585">
        <f>SUM('Schedule 3B_Income_Eastern:Schedule 3D_Income_The Cape'!AV25)</f>
        <v>0</v>
      </c>
      <c r="AW25" s="585">
        <f>SUM('Schedule 3B_Income_Eastern:Schedule 3D_Income_The Cape'!AW25)</f>
        <v>0</v>
      </c>
      <c r="AX25" s="585">
        <f>SUM('Schedule 3B_Income_Eastern:Schedule 3D_Income_The Cape'!AX25)</f>
        <v>0</v>
      </c>
      <c r="AY25" s="586">
        <f t="shared" ref="AY25:AY30" si="52">SUM(AQ25:AX25)</f>
        <v>0</v>
      </c>
      <c r="AZ25" s="587">
        <f>SUM('Schedule 3B_Income_Eastern:Schedule 3D_Income_The Cape'!AZ25)</f>
        <v>0</v>
      </c>
      <c r="BA25" s="585">
        <f>SUM('Schedule 3B_Income_Eastern:Schedule 3D_Income_The Cape'!BA25)</f>
        <v>0</v>
      </c>
      <c r="BB25" s="585">
        <f>SUM('Schedule 3B_Income_Eastern:Schedule 3D_Income_The Cape'!BB25)</f>
        <v>0</v>
      </c>
      <c r="BC25" s="585">
        <f>SUM('Schedule 3B_Income_Eastern:Schedule 3D_Income_The Cape'!BC25)</f>
        <v>0</v>
      </c>
      <c r="BD25" s="585">
        <f>SUM('Schedule 3B_Income_Eastern:Schedule 3D_Income_The Cape'!BD25)</f>
        <v>0</v>
      </c>
      <c r="BE25" s="585">
        <f>SUM('Schedule 3B_Income_Eastern:Schedule 3D_Income_The Cape'!BE25)</f>
        <v>0</v>
      </c>
      <c r="BF25" s="585">
        <f>SUM('Schedule 3B_Income_Eastern:Schedule 3D_Income_The Cape'!BF25)</f>
        <v>0</v>
      </c>
      <c r="BG25" s="585">
        <f>SUM('Schedule 3B_Income_Eastern:Schedule 3D_Income_The Cape'!BG25)</f>
        <v>0</v>
      </c>
      <c r="BH25" s="588">
        <f t="shared" ref="BH25:BH30" si="53">SUM(AZ25:BG25)</f>
        <v>0</v>
      </c>
      <c r="BI25" s="589">
        <f t="shared" ref="BI25:BI30" si="54">SUM(AY25,BH25)</f>
        <v>0</v>
      </c>
      <c r="BJ25" s="300">
        <v>6</v>
      </c>
      <c r="BK25" s="585">
        <f>SUM('Schedule 3B_Income_Eastern:Schedule 3D_Income_The Cape'!BK25)</f>
        <v>38342.796971540418</v>
      </c>
      <c r="BL25" s="585">
        <f>SUM('Schedule 3B_Income_Eastern:Schedule 3D_Income_The Cape'!BL25)</f>
        <v>440002.21302861953</v>
      </c>
      <c r="BM25" s="585">
        <f>SUM('Schedule 3B_Income_Eastern:Schedule 3D_Income_The Cape'!BM25)</f>
        <v>37971.815825354643</v>
      </c>
      <c r="BN25" s="585">
        <f>SUM('Schedule 3B_Income_Eastern:Schedule 3D_Income_The Cape'!BN25)</f>
        <v>434738.1841746454</v>
      </c>
      <c r="BO25" s="585">
        <f>SUM('Schedule 3B_Income_Eastern:Schedule 3D_Income_The Cape'!BO25)</f>
        <v>39132.822548802324</v>
      </c>
      <c r="BP25" s="585">
        <f>SUM('Schedule 3B_Income_Eastern:Schedule 3D_Income_The Cape'!BP25)</f>
        <v>433577.1774511977</v>
      </c>
      <c r="BQ25" s="585">
        <f>SUM('Schedule 3B_Income_Eastern:Schedule 3D_Income_The Cape'!BQ25)</f>
        <v>173165.20825070716</v>
      </c>
      <c r="BR25" s="585">
        <f>SUM('Schedule 3B_Income_Eastern:Schedule 3D_Income_The Cape'!BR25)</f>
        <v>1814493.9517494529</v>
      </c>
      <c r="BS25" s="586">
        <f t="shared" ref="BS25:BS30" si="55">SUM(BK25:BR25)</f>
        <v>3411424.1700003203</v>
      </c>
      <c r="BT25" s="587">
        <f>SUM('Schedule 3B_Income_Eastern:Schedule 3D_Income_The Cape'!BT25)</f>
        <v>0</v>
      </c>
      <c r="BU25" s="585">
        <f>SUM('Schedule 3B_Income_Eastern:Schedule 3D_Income_The Cape'!BU25)</f>
        <v>0</v>
      </c>
      <c r="BV25" s="585">
        <f>SUM('Schedule 3B_Income_Eastern:Schedule 3D_Income_The Cape'!BV25)</f>
        <v>0</v>
      </c>
      <c r="BW25" s="585">
        <f>SUM('Schedule 3B_Income_Eastern:Schedule 3D_Income_The Cape'!BW25)</f>
        <v>0</v>
      </c>
      <c r="BX25" s="585">
        <f>SUM('Schedule 3B_Income_Eastern:Schedule 3D_Income_The Cape'!BX25)</f>
        <v>0</v>
      </c>
      <c r="BY25" s="585">
        <f>SUM('Schedule 3B_Income_Eastern:Schedule 3D_Income_The Cape'!BY25)</f>
        <v>0</v>
      </c>
      <c r="BZ25" s="585">
        <f>SUM('Schedule 3B_Income_Eastern:Schedule 3D_Income_The Cape'!BZ25)</f>
        <v>0</v>
      </c>
      <c r="CA25" s="585">
        <f>SUM('Schedule 3B_Income_Eastern:Schedule 3D_Income_The Cape'!CA25)</f>
        <v>0</v>
      </c>
      <c r="CB25" s="588">
        <f t="shared" ref="CB25:CB30" si="56">SUM(BT25:CA25)</f>
        <v>0</v>
      </c>
      <c r="CC25" s="589">
        <f t="shared" ref="CC25:CC30" si="57">SUM(BS25,CB25)</f>
        <v>3411424.1700003203</v>
      </c>
      <c r="CD25" s="300">
        <v>6</v>
      </c>
      <c r="CE25" s="414">
        <f t="shared" ref="CE25:CE30" si="58">+C25+D25+W25+X25+AQ25+AR25+BK25+BL25</f>
        <v>478345.01000015996</v>
      </c>
      <c r="CF25" s="414">
        <f t="shared" ref="CF25:CF30" si="59">+E25+F25+Y25+Z25+AS25+AT25+BM25+BN25</f>
        <v>472710.00000000006</v>
      </c>
      <c r="CG25" s="414">
        <f t="shared" ref="CG25:CG30" si="60">+G25+H25+AA25+AB25+AU25+AV25+BO25+BP25</f>
        <v>472710</v>
      </c>
      <c r="CH25" s="414">
        <f t="shared" ref="CH25:CH30" si="61">+I25+J25+AC25+AD25+AW25+AX25+BQ25+BR25</f>
        <v>1987659.1600001601</v>
      </c>
      <c r="CI25" s="416">
        <f t="shared" ref="CI25:CI30" si="62">SUM(K25,AE25,AY25,BS25)</f>
        <v>3411424.1700003203</v>
      </c>
      <c r="CJ25" s="414">
        <f t="shared" ref="CJ25:CJ30" si="63">L25+M25+AF25+AG25+AZ25+BA25+BT25+BU25</f>
        <v>0</v>
      </c>
      <c r="CK25" s="414">
        <f t="shared" ref="CK25:CK30" si="64">N25+O25+AH25+AI25+BB25+BC25+BV25+BW25</f>
        <v>0</v>
      </c>
      <c r="CL25" s="414">
        <f t="shared" ref="CL25:CL30" si="65">P25+Q25+AJ25+AK25+BD25+BE25+BX25+BY25</f>
        <v>0</v>
      </c>
      <c r="CM25" s="414">
        <f t="shared" ref="CM25:CM30" si="66">+R25+S25+AL25+AM25+BF25+BG25+BZ25+CA25</f>
        <v>0</v>
      </c>
      <c r="CN25" s="416">
        <f t="shared" ref="CN25:CN30" si="67">SUM(T25,AN25,BH25,CB25)</f>
        <v>0</v>
      </c>
      <c r="CO25" s="414">
        <f t="shared" ref="CO25:CO30" si="68">+C25+D25+L25+M25+W25+X25+AF25+AG25+AQ25+AR25+AZ25+BA25+BK25+BL25+BT25+BU25</f>
        <v>478345.01000015996</v>
      </c>
      <c r="CP25" s="414">
        <f t="shared" ref="CP25:CP30" si="69">+E25+F25+N25+O25+Y25+Z25+AH25+AI25+AS25+AT25+BB25+BC25+BM25+BN25+BV25+BW25</f>
        <v>472710.00000000006</v>
      </c>
      <c r="CQ25" s="414">
        <f t="shared" ref="CQ25:CQ30" si="70">+G25+H25+P25+Q25+AA25+AB25+AJ25+AK25+AU25+AV25+BD25+BE25+BO25+BP25+BX25+BY25</f>
        <v>472710</v>
      </c>
      <c r="CR25" s="414">
        <f t="shared" ref="CR25:CR30" si="71">+I25+J25+R25+S25+AC25+AD25+AL25+AM25+AW25+AX25+BF25+BG25+BQ25+BR25+BZ25+CA25</f>
        <v>1987659.1600001601</v>
      </c>
      <c r="CS25" s="416">
        <f t="shared" ref="CS25:CS30" si="72">SUM(CC25,BI25,AO25,U25)</f>
        <v>3411424.1700003203</v>
      </c>
    </row>
    <row r="26" spans="1:99" ht="15.75" customHeight="1">
      <c r="A26" s="88" t="s">
        <v>183</v>
      </c>
      <c r="B26" s="300">
        <v>7</v>
      </c>
      <c r="C26" s="585">
        <f>SUM('Schedule 3B_Income_Eastern:Schedule 3D_Income_The Cape'!C26)</f>
        <v>0</v>
      </c>
      <c r="D26" s="585">
        <f>SUM('Schedule 3B_Income_Eastern:Schedule 3D_Income_The Cape'!D26)</f>
        <v>0</v>
      </c>
      <c r="E26" s="585">
        <f>SUM('Schedule 3B_Income_Eastern:Schedule 3D_Income_The Cape'!E26)</f>
        <v>0</v>
      </c>
      <c r="F26" s="585">
        <f>SUM('Schedule 3B_Income_Eastern:Schedule 3D_Income_The Cape'!F26)</f>
        <v>0</v>
      </c>
      <c r="G26" s="585">
        <f>SUM('Schedule 3B_Income_Eastern:Schedule 3D_Income_The Cape'!G26)</f>
        <v>0</v>
      </c>
      <c r="H26" s="585">
        <f>SUM('Schedule 3B_Income_Eastern:Schedule 3D_Income_The Cape'!H26)</f>
        <v>0</v>
      </c>
      <c r="I26" s="585">
        <f>SUM('Schedule 3B_Income_Eastern:Schedule 3D_Income_The Cape'!I26)</f>
        <v>0</v>
      </c>
      <c r="J26" s="585">
        <f>SUM('Schedule 3B_Income_Eastern:Schedule 3D_Income_The Cape'!J26)</f>
        <v>0</v>
      </c>
      <c r="K26" s="586">
        <f t="shared" si="46"/>
        <v>0</v>
      </c>
      <c r="L26" s="587">
        <f>SUM('Schedule 3B_Income_Eastern:Schedule 3D_Income_The Cape'!L26)</f>
        <v>0</v>
      </c>
      <c r="M26" s="585">
        <f>SUM('Schedule 3B_Income_Eastern:Schedule 3D_Income_The Cape'!M26)</f>
        <v>0</v>
      </c>
      <c r="N26" s="585">
        <f>SUM('Schedule 3B_Income_Eastern:Schedule 3D_Income_The Cape'!N26)</f>
        <v>0</v>
      </c>
      <c r="O26" s="585">
        <f>SUM('Schedule 3B_Income_Eastern:Schedule 3D_Income_The Cape'!O26)</f>
        <v>0</v>
      </c>
      <c r="P26" s="585">
        <f>SUM('Schedule 3B_Income_Eastern:Schedule 3D_Income_The Cape'!P26)</f>
        <v>0</v>
      </c>
      <c r="Q26" s="585">
        <f>SUM('Schedule 3B_Income_Eastern:Schedule 3D_Income_The Cape'!Q26)</f>
        <v>0</v>
      </c>
      <c r="R26" s="585">
        <f>SUM('Schedule 3B_Income_Eastern:Schedule 3D_Income_The Cape'!R26)</f>
        <v>0</v>
      </c>
      <c r="S26" s="585">
        <f>SUM('Schedule 3B_Income_Eastern:Schedule 3D_Income_The Cape'!S26)</f>
        <v>0</v>
      </c>
      <c r="T26" s="588">
        <f t="shared" si="47"/>
        <v>0</v>
      </c>
      <c r="U26" s="589">
        <f t="shared" si="48"/>
        <v>0</v>
      </c>
      <c r="V26" s="300">
        <v>7</v>
      </c>
      <c r="W26" s="585">
        <f>SUM('Schedule 3B_Income_Eastern:Schedule 3D_Income_The Cape'!W26)</f>
        <v>0</v>
      </c>
      <c r="X26" s="585">
        <f>SUM('Schedule 3B_Income_Eastern:Schedule 3D_Income_The Cape'!X26)</f>
        <v>0</v>
      </c>
      <c r="Y26" s="585">
        <f>SUM('Schedule 3B_Income_Eastern:Schedule 3D_Income_The Cape'!Y26)</f>
        <v>0</v>
      </c>
      <c r="Z26" s="585">
        <f>SUM('Schedule 3B_Income_Eastern:Schedule 3D_Income_The Cape'!Z26)</f>
        <v>0</v>
      </c>
      <c r="AA26" s="585">
        <f>SUM('Schedule 3B_Income_Eastern:Schedule 3D_Income_The Cape'!AA26)</f>
        <v>0</v>
      </c>
      <c r="AB26" s="585">
        <f>SUM('Schedule 3B_Income_Eastern:Schedule 3D_Income_The Cape'!AB26)</f>
        <v>0</v>
      </c>
      <c r="AC26" s="585">
        <f>SUM('Schedule 3B_Income_Eastern:Schedule 3D_Income_The Cape'!AC26)</f>
        <v>0</v>
      </c>
      <c r="AD26" s="585">
        <f>SUM('Schedule 3B_Income_Eastern:Schedule 3D_Income_The Cape'!AD26)</f>
        <v>0</v>
      </c>
      <c r="AE26" s="586">
        <f t="shared" si="49"/>
        <v>0</v>
      </c>
      <c r="AF26" s="587">
        <f>SUM('Schedule 3B_Income_Eastern:Schedule 3D_Income_The Cape'!AF26)</f>
        <v>0</v>
      </c>
      <c r="AG26" s="585">
        <f>SUM('Schedule 3B_Income_Eastern:Schedule 3D_Income_The Cape'!AG26)</f>
        <v>0</v>
      </c>
      <c r="AH26" s="585">
        <f>SUM('Schedule 3B_Income_Eastern:Schedule 3D_Income_The Cape'!AH26)</f>
        <v>0</v>
      </c>
      <c r="AI26" s="585">
        <f>SUM('Schedule 3B_Income_Eastern:Schedule 3D_Income_The Cape'!AI26)</f>
        <v>0</v>
      </c>
      <c r="AJ26" s="585">
        <f>SUM('Schedule 3B_Income_Eastern:Schedule 3D_Income_The Cape'!AJ26)</f>
        <v>0</v>
      </c>
      <c r="AK26" s="585">
        <f>SUM('Schedule 3B_Income_Eastern:Schedule 3D_Income_The Cape'!AK26)</f>
        <v>0</v>
      </c>
      <c r="AL26" s="585">
        <f>SUM('Schedule 3B_Income_Eastern:Schedule 3D_Income_The Cape'!AL26)</f>
        <v>0</v>
      </c>
      <c r="AM26" s="585">
        <f>SUM('Schedule 3B_Income_Eastern:Schedule 3D_Income_The Cape'!AM26)</f>
        <v>0</v>
      </c>
      <c r="AN26" s="588">
        <f t="shared" si="50"/>
        <v>0</v>
      </c>
      <c r="AO26" s="589">
        <f t="shared" si="51"/>
        <v>0</v>
      </c>
      <c r="AP26" s="300">
        <v>7</v>
      </c>
      <c r="AQ26" s="585">
        <f>SUM('Schedule 3B_Income_Eastern:Schedule 3D_Income_The Cape'!AQ26)</f>
        <v>0</v>
      </c>
      <c r="AR26" s="585">
        <f>SUM('Schedule 3B_Income_Eastern:Schedule 3D_Income_The Cape'!AR26)</f>
        <v>0</v>
      </c>
      <c r="AS26" s="585">
        <f>SUM('Schedule 3B_Income_Eastern:Schedule 3D_Income_The Cape'!AS26)</f>
        <v>0</v>
      </c>
      <c r="AT26" s="585">
        <f>SUM('Schedule 3B_Income_Eastern:Schedule 3D_Income_The Cape'!AT26)</f>
        <v>0</v>
      </c>
      <c r="AU26" s="585">
        <f>SUM('Schedule 3B_Income_Eastern:Schedule 3D_Income_The Cape'!AU26)</f>
        <v>0</v>
      </c>
      <c r="AV26" s="585">
        <f>SUM('Schedule 3B_Income_Eastern:Schedule 3D_Income_The Cape'!AV26)</f>
        <v>0</v>
      </c>
      <c r="AW26" s="585">
        <f>SUM('Schedule 3B_Income_Eastern:Schedule 3D_Income_The Cape'!AW26)</f>
        <v>0</v>
      </c>
      <c r="AX26" s="585">
        <f>SUM('Schedule 3B_Income_Eastern:Schedule 3D_Income_The Cape'!AX26)</f>
        <v>0</v>
      </c>
      <c r="AY26" s="586">
        <f t="shared" si="52"/>
        <v>0</v>
      </c>
      <c r="AZ26" s="587">
        <f>SUM('Schedule 3B_Income_Eastern:Schedule 3D_Income_The Cape'!AZ26)</f>
        <v>0</v>
      </c>
      <c r="BA26" s="585">
        <f>SUM('Schedule 3B_Income_Eastern:Schedule 3D_Income_The Cape'!BA26)</f>
        <v>0</v>
      </c>
      <c r="BB26" s="585">
        <f>SUM('Schedule 3B_Income_Eastern:Schedule 3D_Income_The Cape'!BB26)</f>
        <v>0</v>
      </c>
      <c r="BC26" s="585">
        <f>SUM('Schedule 3B_Income_Eastern:Schedule 3D_Income_The Cape'!BC26)</f>
        <v>0</v>
      </c>
      <c r="BD26" s="585">
        <f>SUM('Schedule 3B_Income_Eastern:Schedule 3D_Income_The Cape'!BD26)</f>
        <v>0</v>
      </c>
      <c r="BE26" s="585">
        <f>SUM('Schedule 3B_Income_Eastern:Schedule 3D_Income_The Cape'!BE26)</f>
        <v>0</v>
      </c>
      <c r="BF26" s="585">
        <f>SUM('Schedule 3B_Income_Eastern:Schedule 3D_Income_The Cape'!BF26)</f>
        <v>0</v>
      </c>
      <c r="BG26" s="585">
        <f>SUM('Schedule 3B_Income_Eastern:Schedule 3D_Income_The Cape'!BG26)</f>
        <v>0</v>
      </c>
      <c r="BH26" s="588">
        <f t="shared" si="53"/>
        <v>0</v>
      </c>
      <c r="BI26" s="589">
        <f t="shared" si="54"/>
        <v>0</v>
      </c>
      <c r="BJ26" s="300">
        <v>7</v>
      </c>
      <c r="BK26" s="585">
        <f>SUM('Schedule 3B_Income_Eastern:Schedule 3D_Income_The Cape'!BK26)</f>
        <v>0</v>
      </c>
      <c r="BL26" s="585">
        <f>SUM('Schedule 3B_Income_Eastern:Schedule 3D_Income_The Cape'!BL26)</f>
        <v>0</v>
      </c>
      <c r="BM26" s="585">
        <f>SUM('Schedule 3B_Income_Eastern:Schedule 3D_Income_The Cape'!BM26)</f>
        <v>0</v>
      </c>
      <c r="BN26" s="585">
        <f>SUM('Schedule 3B_Income_Eastern:Schedule 3D_Income_The Cape'!BN26)</f>
        <v>0</v>
      </c>
      <c r="BO26" s="585">
        <f>SUM('Schedule 3B_Income_Eastern:Schedule 3D_Income_The Cape'!BO26)</f>
        <v>0</v>
      </c>
      <c r="BP26" s="585">
        <f>SUM('Schedule 3B_Income_Eastern:Schedule 3D_Income_The Cape'!BP26)</f>
        <v>0</v>
      </c>
      <c r="BQ26" s="585">
        <f>SUM('Schedule 3B_Income_Eastern:Schedule 3D_Income_The Cape'!BQ26)</f>
        <v>0</v>
      </c>
      <c r="BR26" s="585">
        <f>SUM('Schedule 3B_Income_Eastern:Schedule 3D_Income_The Cape'!BR26)</f>
        <v>0</v>
      </c>
      <c r="BS26" s="586">
        <f t="shared" si="55"/>
        <v>0</v>
      </c>
      <c r="BT26" s="587">
        <f>SUM('Schedule 3B_Income_Eastern:Schedule 3D_Income_The Cape'!BT26)</f>
        <v>0</v>
      </c>
      <c r="BU26" s="585">
        <f>SUM('Schedule 3B_Income_Eastern:Schedule 3D_Income_The Cape'!BU26)</f>
        <v>0</v>
      </c>
      <c r="BV26" s="585">
        <f>SUM('Schedule 3B_Income_Eastern:Schedule 3D_Income_The Cape'!BV26)</f>
        <v>0</v>
      </c>
      <c r="BW26" s="585">
        <f>SUM('Schedule 3B_Income_Eastern:Schedule 3D_Income_The Cape'!BW26)</f>
        <v>0</v>
      </c>
      <c r="BX26" s="585">
        <f>SUM('Schedule 3B_Income_Eastern:Schedule 3D_Income_The Cape'!BX26)</f>
        <v>0</v>
      </c>
      <c r="BY26" s="585">
        <f>SUM('Schedule 3B_Income_Eastern:Schedule 3D_Income_The Cape'!BY26)</f>
        <v>0</v>
      </c>
      <c r="BZ26" s="585">
        <f>SUM('Schedule 3B_Income_Eastern:Schedule 3D_Income_The Cape'!BZ26)</f>
        <v>0</v>
      </c>
      <c r="CA26" s="585">
        <f>SUM('Schedule 3B_Income_Eastern:Schedule 3D_Income_The Cape'!CA26)</f>
        <v>0</v>
      </c>
      <c r="CB26" s="588">
        <f t="shared" si="56"/>
        <v>0</v>
      </c>
      <c r="CC26" s="589">
        <f t="shared" si="57"/>
        <v>0</v>
      </c>
      <c r="CD26" s="300">
        <v>7</v>
      </c>
      <c r="CE26" s="414">
        <f t="shared" si="58"/>
        <v>0</v>
      </c>
      <c r="CF26" s="414">
        <f t="shared" si="59"/>
        <v>0</v>
      </c>
      <c r="CG26" s="414">
        <f t="shared" si="60"/>
        <v>0</v>
      </c>
      <c r="CH26" s="414">
        <f t="shared" si="61"/>
        <v>0</v>
      </c>
      <c r="CI26" s="416">
        <f t="shared" si="62"/>
        <v>0</v>
      </c>
      <c r="CJ26" s="414">
        <f t="shared" si="63"/>
        <v>0</v>
      </c>
      <c r="CK26" s="414">
        <f t="shared" si="64"/>
        <v>0</v>
      </c>
      <c r="CL26" s="414">
        <f t="shared" si="65"/>
        <v>0</v>
      </c>
      <c r="CM26" s="414">
        <f t="shared" si="66"/>
        <v>0</v>
      </c>
      <c r="CN26" s="416">
        <f t="shared" si="67"/>
        <v>0</v>
      </c>
      <c r="CO26" s="414">
        <f t="shared" si="68"/>
        <v>0</v>
      </c>
      <c r="CP26" s="414">
        <f t="shared" si="69"/>
        <v>0</v>
      </c>
      <c r="CQ26" s="414">
        <f t="shared" si="70"/>
        <v>0</v>
      </c>
      <c r="CR26" s="414">
        <f t="shared" si="71"/>
        <v>0</v>
      </c>
      <c r="CS26" s="416">
        <f t="shared" si="72"/>
        <v>0</v>
      </c>
    </row>
    <row r="27" spans="1:99" ht="15.75" customHeight="1">
      <c r="A27" s="88" t="s">
        <v>185</v>
      </c>
      <c r="B27" s="300">
        <v>8</v>
      </c>
      <c r="C27" s="585">
        <f>SUM('Schedule 3B_Income_Eastern:Schedule 3D_Income_The Cape'!C27)</f>
        <v>0</v>
      </c>
      <c r="D27" s="585">
        <f>SUM('Schedule 3B_Income_Eastern:Schedule 3D_Income_The Cape'!D27)</f>
        <v>0</v>
      </c>
      <c r="E27" s="585">
        <f>SUM('Schedule 3B_Income_Eastern:Schedule 3D_Income_The Cape'!E27)</f>
        <v>0</v>
      </c>
      <c r="F27" s="585">
        <f>SUM('Schedule 3B_Income_Eastern:Schedule 3D_Income_The Cape'!F27)</f>
        <v>0</v>
      </c>
      <c r="G27" s="585">
        <f>SUM('Schedule 3B_Income_Eastern:Schedule 3D_Income_The Cape'!G27)</f>
        <v>0</v>
      </c>
      <c r="H27" s="585">
        <f>SUM('Schedule 3B_Income_Eastern:Schedule 3D_Income_The Cape'!H27)</f>
        <v>0</v>
      </c>
      <c r="I27" s="585">
        <f>SUM('Schedule 3B_Income_Eastern:Schedule 3D_Income_The Cape'!I27)</f>
        <v>0</v>
      </c>
      <c r="J27" s="585">
        <f>SUM('Schedule 3B_Income_Eastern:Schedule 3D_Income_The Cape'!J27)</f>
        <v>0</v>
      </c>
      <c r="K27" s="586">
        <f t="shared" si="46"/>
        <v>0</v>
      </c>
      <c r="L27" s="587">
        <f>SUM('Schedule 3B_Income_Eastern:Schedule 3D_Income_The Cape'!L27)</f>
        <v>0</v>
      </c>
      <c r="M27" s="585">
        <f>SUM('Schedule 3B_Income_Eastern:Schedule 3D_Income_The Cape'!M27)</f>
        <v>0</v>
      </c>
      <c r="N27" s="585">
        <f>SUM('Schedule 3B_Income_Eastern:Schedule 3D_Income_The Cape'!N27)</f>
        <v>0</v>
      </c>
      <c r="O27" s="585">
        <f>SUM('Schedule 3B_Income_Eastern:Schedule 3D_Income_The Cape'!O27)</f>
        <v>0</v>
      </c>
      <c r="P27" s="585">
        <f>SUM('Schedule 3B_Income_Eastern:Schedule 3D_Income_The Cape'!P27)</f>
        <v>0</v>
      </c>
      <c r="Q27" s="585">
        <f>SUM('Schedule 3B_Income_Eastern:Schedule 3D_Income_The Cape'!Q27)</f>
        <v>0</v>
      </c>
      <c r="R27" s="585">
        <f>SUM('Schedule 3B_Income_Eastern:Schedule 3D_Income_The Cape'!R27)</f>
        <v>0</v>
      </c>
      <c r="S27" s="585">
        <f>SUM('Schedule 3B_Income_Eastern:Schedule 3D_Income_The Cape'!S27)</f>
        <v>0</v>
      </c>
      <c r="T27" s="588">
        <f t="shared" si="47"/>
        <v>0</v>
      </c>
      <c r="U27" s="589">
        <f t="shared" si="48"/>
        <v>0</v>
      </c>
      <c r="V27" s="300">
        <v>8</v>
      </c>
      <c r="W27" s="585">
        <f>SUM('Schedule 3B_Income_Eastern:Schedule 3D_Income_The Cape'!W27)</f>
        <v>0</v>
      </c>
      <c r="X27" s="585">
        <f>SUM('Schedule 3B_Income_Eastern:Schedule 3D_Income_The Cape'!X27)</f>
        <v>0</v>
      </c>
      <c r="Y27" s="585">
        <f>SUM('Schedule 3B_Income_Eastern:Schedule 3D_Income_The Cape'!Y27)</f>
        <v>0</v>
      </c>
      <c r="Z27" s="585">
        <f>SUM('Schedule 3B_Income_Eastern:Schedule 3D_Income_The Cape'!Z27)</f>
        <v>0</v>
      </c>
      <c r="AA27" s="585">
        <f>SUM('Schedule 3B_Income_Eastern:Schedule 3D_Income_The Cape'!AA27)</f>
        <v>0</v>
      </c>
      <c r="AB27" s="585">
        <f>SUM('Schedule 3B_Income_Eastern:Schedule 3D_Income_The Cape'!AB27)</f>
        <v>0</v>
      </c>
      <c r="AC27" s="585">
        <f>SUM('Schedule 3B_Income_Eastern:Schedule 3D_Income_The Cape'!AC27)</f>
        <v>0</v>
      </c>
      <c r="AD27" s="585">
        <f>SUM('Schedule 3B_Income_Eastern:Schedule 3D_Income_The Cape'!AD27)</f>
        <v>0</v>
      </c>
      <c r="AE27" s="586">
        <f t="shared" si="49"/>
        <v>0</v>
      </c>
      <c r="AF27" s="587">
        <f>SUM('Schedule 3B_Income_Eastern:Schedule 3D_Income_The Cape'!AF27)</f>
        <v>0</v>
      </c>
      <c r="AG27" s="585">
        <f>SUM('Schedule 3B_Income_Eastern:Schedule 3D_Income_The Cape'!AG27)</f>
        <v>0</v>
      </c>
      <c r="AH27" s="585">
        <f>SUM('Schedule 3B_Income_Eastern:Schedule 3D_Income_The Cape'!AH27)</f>
        <v>0</v>
      </c>
      <c r="AI27" s="585">
        <f>SUM('Schedule 3B_Income_Eastern:Schedule 3D_Income_The Cape'!AI27)</f>
        <v>0</v>
      </c>
      <c r="AJ27" s="585">
        <f>SUM('Schedule 3B_Income_Eastern:Schedule 3D_Income_The Cape'!AJ27)</f>
        <v>0</v>
      </c>
      <c r="AK27" s="585">
        <f>SUM('Schedule 3B_Income_Eastern:Schedule 3D_Income_The Cape'!AK27)</f>
        <v>0</v>
      </c>
      <c r="AL27" s="585">
        <f>SUM('Schedule 3B_Income_Eastern:Schedule 3D_Income_The Cape'!AL27)</f>
        <v>0</v>
      </c>
      <c r="AM27" s="585">
        <f>SUM('Schedule 3B_Income_Eastern:Schedule 3D_Income_The Cape'!AM27)</f>
        <v>0</v>
      </c>
      <c r="AN27" s="588">
        <f t="shared" si="50"/>
        <v>0</v>
      </c>
      <c r="AO27" s="589">
        <f t="shared" si="51"/>
        <v>0</v>
      </c>
      <c r="AP27" s="300">
        <v>8</v>
      </c>
      <c r="AQ27" s="585">
        <f>SUM('Schedule 3B_Income_Eastern:Schedule 3D_Income_The Cape'!AQ27)</f>
        <v>0</v>
      </c>
      <c r="AR27" s="585">
        <f>SUM('Schedule 3B_Income_Eastern:Schedule 3D_Income_The Cape'!AR27)</f>
        <v>0</v>
      </c>
      <c r="AS27" s="585">
        <f>SUM('Schedule 3B_Income_Eastern:Schedule 3D_Income_The Cape'!AS27)</f>
        <v>0</v>
      </c>
      <c r="AT27" s="585">
        <f>SUM('Schedule 3B_Income_Eastern:Schedule 3D_Income_The Cape'!AT27)</f>
        <v>0</v>
      </c>
      <c r="AU27" s="585">
        <f>SUM('Schedule 3B_Income_Eastern:Schedule 3D_Income_The Cape'!AU27)</f>
        <v>0</v>
      </c>
      <c r="AV27" s="585">
        <f>SUM('Schedule 3B_Income_Eastern:Schedule 3D_Income_The Cape'!AV27)</f>
        <v>0</v>
      </c>
      <c r="AW27" s="585">
        <f>SUM('Schedule 3B_Income_Eastern:Schedule 3D_Income_The Cape'!AW27)</f>
        <v>0</v>
      </c>
      <c r="AX27" s="585">
        <f>SUM('Schedule 3B_Income_Eastern:Schedule 3D_Income_The Cape'!AX27)</f>
        <v>0</v>
      </c>
      <c r="AY27" s="586">
        <f t="shared" si="52"/>
        <v>0</v>
      </c>
      <c r="AZ27" s="587">
        <f>SUM('Schedule 3B_Income_Eastern:Schedule 3D_Income_The Cape'!AZ27)</f>
        <v>0</v>
      </c>
      <c r="BA27" s="585">
        <f>SUM('Schedule 3B_Income_Eastern:Schedule 3D_Income_The Cape'!BA27)</f>
        <v>0</v>
      </c>
      <c r="BB27" s="585">
        <f>SUM('Schedule 3B_Income_Eastern:Schedule 3D_Income_The Cape'!BB27)</f>
        <v>0</v>
      </c>
      <c r="BC27" s="585">
        <f>SUM('Schedule 3B_Income_Eastern:Schedule 3D_Income_The Cape'!BC27)</f>
        <v>0</v>
      </c>
      <c r="BD27" s="585">
        <f>SUM('Schedule 3B_Income_Eastern:Schedule 3D_Income_The Cape'!BD27)</f>
        <v>0</v>
      </c>
      <c r="BE27" s="585">
        <f>SUM('Schedule 3B_Income_Eastern:Schedule 3D_Income_The Cape'!BE27)</f>
        <v>0</v>
      </c>
      <c r="BF27" s="585">
        <f>SUM('Schedule 3B_Income_Eastern:Schedule 3D_Income_The Cape'!BF27)</f>
        <v>0</v>
      </c>
      <c r="BG27" s="585">
        <f>SUM('Schedule 3B_Income_Eastern:Schedule 3D_Income_The Cape'!BG27)</f>
        <v>0</v>
      </c>
      <c r="BH27" s="588">
        <f t="shared" si="53"/>
        <v>0</v>
      </c>
      <c r="BI27" s="589">
        <f t="shared" si="54"/>
        <v>0</v>
      </c>
      <c r="BJ27" s="300">
        <v>8</v>
      </c>
      <c r="BK27" s="585">
        <f>SUM('Schedule 3B_Income_Eastern:Schedule 3D_Income_The Cape'!BK27)</f>
        <v>0</v>
      </c>
      <c r="BL27" s="585">
        <f>SUM('Schedule 3B_Income_Eastern:Schedule 3D_Income_The Cape'!BL27)</f>
        <v>0</v>
      </c>
      <c r="BM27" s="585">
        <f>SUM('Schedule 3B_Income_Eastern:Schedule 3D_Income_The Cape'!BM27)</f>
        <v>0</v>
      </c>
      <c r="BN27" s="585">
        <f>SUM('Schedule 3B_Income_Eastern:Schedule 3D_Income_The Cape'!BN27)</f>
        <v>0</v>
      </c>
      <c r="BO27" s="585">
        <f>SUM('Schedule 3B_Income_Eastern:Schedule 3D_Income_The Cape'!BO27)</f>
        <v>0</v>
      </c>
      <c r="BP27" s="585">
        <f>SUM('Schedule 3B_Income_Eastern:Schedule 3D_Income_The Cape'!BP27)</f>
        <v>0</v>
      </c>
      <c r="BQ27" s="585">
        <f>SUM('Schedule 3B_Income_Eastern:Schedule 3D_Income_The Cape'!BQ27)</f>
        <v>0</v>
      </c>
      <c r="BR27" s="585">
        <f>SUM('Schedule 3B_Income_Eastern:Schedule 3D_Income_The Cape'!BR27)</f>
        <v>0</v>
      </c>
      <c r="BS27" s="586">
        <f t="shared" si="55"/>
        <v>0</v>
      </c>
      <c r="BT27" s="587">
        <f>SUM('Schedule 3B_Income_Eastern:Schedule 3D_Income_The Cape'!BT27)</f>
        <v>0</v>
      </c>
      <c r="BU27" s="585">
        <f>SUM('Schedule 3B_Income_Eastern:Schedule 3D_Income_The Cape'!BU27)</f>
        <v>0</v>
      </c>
      <c r="BV27" s="585">
        <f>SUM('Schedule 3B_Income_Eastern:Schedule 3D_Income_The Cape'!BV27)</f>
        <v>0</v>
      </c>
      <c r="BW27" s="585">
        <f>SUM('Schedule 3B_Income_Eastern:Schedule 3D_Income_The Cape'!BW27)</f>
        <v>0</v>
      </c>
      <c r="BX27" s="585">
        <f>SUM('Schedule 3B_Income_Eastern:Schedule 3D_Income_The Cape'!BX27)</f>
        <v>0</v>
      </c>
      <c r="BY27" s="585">
        <f>SUM('Schedule 3B_Income_Eastern:Schedule 3D_Income_The Cape'!BY27)</f>
        <v>0</v>
      </c>
      <c r="BZ27" s="585">
        <f>SUM('Schedule 3B_Income_Eastern:Schedule 3D_Income_The Cape'!BZ27)</f>
        <v>0</v>
      </c>
      <c r="CA27" s="585">
        <f>SUM('Schedule 3B_Income_Eastern:Schedule 3D_Income_The Cape'!CA27)</f>
        <v>0</v>
      </c>
      <c r="CB27" s="588">
        <f t="shared" si="56"/>
        <v>0</v>
      </c>
      <c r="CC27" s="589">
        <f t="shared" si="57"/>
        <v>0</v>
      </c>
      <c r="CD27" s="300">
        <v>8</v>
      </c>
      <c r="CE27" s="414">
        <f t="shared" si="58"/>
        <v>0</v>
      </c>
      <c r="CF27" s="414">
        <f t="shared" si="59"/>
        <v>0</v>
      </c>
      <c r="CG27" s="414">
        <f t="shared" si="60"/>
        <v>0</v>
      </c>
      <c r="CH27" s="414">
        <f t="shared" si="61"/>
        <v>0</v>
      </c>
      <c r="CI27" s="416">
        <f t="shared" si="62"/>
        <v>0</v>
      </c>
      <c r="CJ27" s="414">
        <f t="shared" si="63"/>
        <v>0</v>
      </c>
      <c r="CK27" s="414">
        <f t="shared" si="64"/>
        <v>0</v>
      </c>
      <c r="CL27" s="414">
        <f t="shared" si="65"/>
        <v>0</v>
      </c>
      <c r="CM27" s="414">
        <f t="shared" si="66"/>
        <v>0</v>
      </c>
      <c r="CN27" s="416">
        <f t="shared" si="67"/>
        <v>0</v>
      </c>
      <c r="CO27" s="414">
        <f t="shared" si="68"/>
        <v>0</v>
      </c>
      <c r="CP27" s="414">
        <f t="shared" si="69"/>
        <v>0</v>
      </c>
      <c r="CQ27" s="414">
        <f t="shared" si="70"/>
        <v>0</v>
      </c>
      <c r="CR27" s="414">
        <f t="shared" si="71"/>
        <v>0</v>
      </c>
      <c r="CS27" s="416">
        <f t="shared" si="72"/>
        <v>0</v>
      </c>
    </row>
    <row r="28" spans="1:99" ht="15.75" customHeight="1">
      <c r="A28" s="88" t="s">
        <v>187</v>
      </c>
      <c r="B28" s="300">
        <v>9</v>
      </c>
      <c r="C28" s="585">
        <f>SUM('Schedule 3B_Income_Eastern:Schedule 3D_Income_The Cape'!C28)</f>
        <v>0</v>
      </c>
      <c r="D28" s="585">
        <f>SUM('Schedule 3B_Income_Eastern:Schedule 3D_Income_The Cape'!D28)</f>
        <v>0</v>
      </c>
      <c r="E28" s="585">
        <f>SUM('Schedule 3B_Income_Eastern:Schedule 3D_Income_The Cape'!E28)</f>
        <v>0</v>
      </c>
      <c r="F28" s="585">
        <f>SUM('Schedule 3B_Income_Eastern:Schedule 3D_Income_The Cape'!F28)</f>
        <v>0</v>
      </c>
      <c r="G28" s="585">
        <f>SUM('Schedule 3B_Income_Eastern:Schedule 3D_Income_The Cape'!G28)</f>
        <v>0</v>
      </c>
      <c r="H28" s="585">
        <f>SUM('Schedule 3B_Income_Eastern:Schedule 3D_Income_The Cape'!H28)</f>
        <v>0</v>
      </c>
      <c r="I28" s="585">
        <f>SUM('Schedule 3B_Income_Eastern:Schedule 3D_Income_The Cape'!I28)</f>
        <v>0</v>
      </c>
      <c r="J28" s="585">
        <f>SUM('Schedule 3B_Income_Eastern:Schedule 3D_Income_The Cape'!J28)</f>
        <v>0</v>
      </c>
      <c r="K28" s="586">
        <f t="shared" si="46"/>
        <v>0</v>
      </c>
      <c r="L28" s="587">
        <f>SUM('Schedule 3B_Income_Eastern:Schedule 3D_Income_The Cape'!L28)</f>
        <v>0</v>
      </c>
      <c r="M28" s="585">
        <f>SUM('Schedule 3B_Income_Eastern:Schedule 3D_Income_The Cape'!M28)</f>
        <v>0</v>
      </c>
      <c r="N28" s="585">
        <f>SUM('Schedule 3B_Income_Eastern:Schedule 3D_Income_The Cape'!N28)</f>
        <v>0</v>
      </c>
      <c r="O28" s="585">
        <f>SUM('Schedule 3B_Income_Eastern:Schedule 3D_Income_The Cape'!O28)</f>
        <v>0</v>
      </c>
      <c r="P28" s="585">
        <f>SUM('Schedule 3B_Income_Eastern:Schedule 3D_Income_The Cape'!P28)</f>
        <v>0</v>
      </c>
      <c r="Q28" s="585">
        <f>SUM('Schedule 3B_Income_Eastern:Schedule 3D_Income_The Cape'!Q28)</f>
        <v>0</v>
      </c>
      <c r="R28" s="585">
        <f>SUM('Schedule 3B_Income_Eastern:Schedule 3D_Income_The Cape'!R28)</f>
        <v>0</v>
      </c>
      <c r="S28" s="585">
        <f>SUM('Schedule 3B_Income_Eastern:Schedule 3D_Income_The Cape'!S28)</f>
        <v>0</v>
      </c>
      <c r="T28" s="588">
        <f t="shared" si="47"/>
        <v>0</v>
      </c>
      <c r="U28" s="589">
        <f t="shared" si="48"/>
        <v>0</v>
      </c>
      <c r="V28" s="300">
        <v>9</v>
      </c>
      <c r="W28" s="585">
        <f>SUM('Schedule 3B_Income_Eastern:Schedule 3D_Income_The Cape'!W28)</f>
        <v>0</v>
      </c>
      <c r="X28" s="585">
        <f>SUM('Schedule 3B_Income_Eastern:Schedule 3D_Income_The Cape'!X28)</f>
        <v>0</v>
      </c>
      <c r="Y28" s="585">
        <f>SUM('Schedule 3B_Income_Eastern:Schedule 3D_Income_The Cape'!Y28)</f>
        <v>0</v>
      </c>
      <c r="Z28" s="585">
        <f>SUM('Schedule 3B_Income_Eastern:Schedule 3D_Income_The Cape'!Z28)</f>
        <v>0</v>
      </c>
      <c r="AA28" s="585">
        <f>SUM('Schedule 3B_Income_Eastern:Schedule 3D_Income_The Cape'!AA28)</f>
        <v>0</v>
      </c>
      <c r="AB28" s="585">
        <f>SUM('Schedule 3B_Income_Eastern:Schedule 3D_Income_The Cape'!AB28)</f>
        <v>0</v>
      </c>
      <c r="AC28" s="585">
        <f>SUM('Schedule 3B_Income_Eastern:Schedule 3D_Income_The Cape'!AC28)</f>
        <v>0</v>
      </c>
      <c r="AD28" s="585">
        <f>SUM('Schedule 3B_Income_Eastern:Schedule 3D_Income_The Cape'!AD28)</f>
        <v>0</v>
      </c>
      <c r="AE28" s="586">
        <f t="shared" si="49"/>
        <v>0</v>
      </c>
      <c r="AF28" s="587">
        <f>SUM('Schedule 3B_Income_Eastern:Schedule 3D_Income_The Cape'!AF28)</f>
        <v>0</v>
      </c>
      <c r="AG28" s="585">
        <f>SUM('Schedule 3B_Income_Eastern:Schedule 3D_Income_The Cape'!AG28)</f>
        <v>0</v>
      </c>
      <c r="AH28" s="585">
        <f>SUM('Schedule 3B_Income_Eastern:Schedule 3D_Income_The Cape'!AH28)</f>
        <v>0</v>
      </c>
      <c r="AI28" s="585">
        <f>SUM('Schedule 3B_Income_Eastern:Schedule 3D_Income_The Cape'!AI28)</f>
        <v>0</v>
      </c>
      <c r="AJ28" s="585">
        <f>SUM('Schedule 3B_Income_Eastern:Schedule 3D_Income_The Cape'!AJ28)</f>
        <v>0</v>
      </c>
      <c r="AK28" s="585">
        <f>SUM('Schedule 3B_Income_Eastern:Schedule 3D_Income_The Cape'!AK28)</f>
        <v>0</v>
      </c>
      <c r="AL28" s="585">
        <f>SUM('Schedule 3B_Income_Eastern:Schedule 3D_Income_The Cape'!AL28)</f>
        <v>0</v>
      </c>
      <c r="AM28" s="585">
        <f>SUM('Schedule 3B_Income_Eastern:Schedule 3D_Income_The Cape'!AM28)</f>
        <v>0</v>
      </c>
      <c r="AN28" s="588">
        <f t="shared" si="50"/>
        <v>0</v>
      </c>
      <c r="AO28" s="589">
        <f t="shared" si="51"/>
        <v>0</v>
      </c>
      <c r="AP28" s="300">
        <v>9</v>
      </c>
      <c r="AQ28" s="585">
        <f>SUM('Schedule 3B_Income_Eastern:Schedule 3D_Income_The Cape'!AQ28)</f>
        <v>0</v>
      </c>
      <c r="AR28" s="585">
        <f>SUM('Schedule 3B_Income_Eastern:Schedule 3D_Income_The Cape'!AR28)</f>
        <v>0</v>
      </c>
      <c r="AS28" s="585">
        <f>SUM('Schedule 3B_Income_Eastern:Schedule 3D_Income_The Cape'!AS28)</f>
        <v>0</v>
      </c>
      <c r="AT28" s="585">
        <f>SUM('Schedule 3B_Income_Eastern:Schedule 3D_Income_The Cape'!AT28)</f>
        <v>0</v>
      </c>
      <c r="AU28" s="585">
        <f>SUM('Schedule 3B_Income_Eastern:Schedule 3D_Income_The Cape'!AU28)</f>
        <v>0</v>
      </c>
      <c r="AV28" s="585">
        <f>SUM('Schedule 3B_Income_Eastern:Schedule 3D_Income_The Cape'!AV28)</f>
        <v>0</v>
      </c>
      <c r="AW28" s="585">
        <f>SUM('Schedule 3B_Income_Eastern:Schedule 3D_Income_The Cape'!AW28)</f>
        <v>0</v>
      </c>
      <c r="AX28" s="585">
        <f>SUM('Schedule 3B_Income_Eastern:Schedule 3D_Income_The Cape'!AX28)</f>
        <v>0</v>
      </c>
      <c r="AY28" s="586">
        <f t="shared" si="52"/>
        <v>0</v>
      </c>
      <c r="AZ28" s="587">
        <f>SUM('Schedule 3B_Income_Eastern:Schedule 3D_Income_The Cape'!AZ28)</f>
        <v>0</v>
      </c>
      <c r="BA28" s="585">
        <f>SUM('Schedule 3B_Income_Eastern:Schedule 3D_Income_The Cape'!BA28)</f>
        <v>0</v>
      </c>
      <c r="BB28" s="585">
        <f>SUM('Schedule 3B_Income_Eastern:Schedule 3D_Income_The Cape'!BB28)</f>
        <v>0</v>
      </c>
      <c r="BC28" s="585">
        <f>SUM('Schedule 3B_Income_Eastern:Schedule 3D_Income_The Cape'!BC28)</f>
        <v>0</v>
      </c>
      <c r="BD28" s="585">
        <f>SUM('Schedule 3B_Income_Eastern:Schedule 3D_Income_The Cape'!BD28)</f>
        <v>0</v>
      </c>
      <c r="BE28" s="585">
        <f>SUM('Schedule 3B_Income_Eastern:Schedule 3D_Income_The Cape'!BE28)</f>
        <v>0</v>
      </c>
      <c r="BF28" s="585">
        <f>SUM('Schedule 3B_Income_Eastern:Schedule 3D_Income_The Cape'!BF28)</f>
        <v>0</v>
      </c>
      <c r="BG28" s="585">
        <f>SUM('Schedule 3B_Income_Eastern:Schedule 3D_Income_The Cape'!BG28)</f>
        <v>0</v>
      </c>
      <c r="BH28" s="588">
        <f t="shared" si="53"/>
        <v>0</v>
      </c>
      <c r="BI28" s="589">
        <f t="shared" si="54"/>
        <v>0</v>
      </c>
      <c r="BJ28" s="300">
        <v>9</v>
      </c>
      <c r="BK28" s="585">
        <f>SUM('Schedule 3B_Income_Eastern:Schedule 3D_Income_The Cape'!BK28)</f>
        <v>0</v>
      </c>
      <c r="BL28" s="585">
        <f>SUM('Schedule 3B_Income_Eastern:Schedule 3D_Income_The Cape'!BL28)</f>
        <v>0</v>
      </c>
      <c r="BM28" s="585">
        <f>SUM('Schedule 3B_Income_Eastern:Schedule 3D_Income_The Cape'!BM28)</f>
        <v>0</v>
      </c>
      <c r="BN28" s="585">
        <f>SUM('Schedule 3B_Income_Eastern:Schedule 3D_Income_The Cape'!BN28)</f>
        <v>0</v>
      </c>
      <c r="BO28" s="585">
        <f>SUM('Schedule 3B_Income_Eastern:Schedule 3D_Income_The Cape'!BO28)</f>
        <v>0</v>
      </c>
      <c r="BP28" s="585">
        <f>SUM('Schedule 3B_Income_Eastern:Schedule 3D_Income_The Cape'!BP28)</f>
        <v>0</v>
      </c>
      <c r="BQ28" s="585">
        <f>SUM('Schedule 3B_Income_Eastern:Schedule 3D_Income_The Cape'!BQ28)</f>
        <v>0</v>
      </c>
      <c r="BR28" s="585">
        <f>SUM('Schedule 3B_Income_Eastern:Schedule 3D_Income_The Cape'!BR28)</f>
        <v>0</v>
      </c>
      <c r="BS28" s="586">
        <f t="shared" si="55"/>
        <v>0</v>
      </c>
      <c r="BT28" s="587">
        <f>SUM('Schedule 3B_Income_Eastern:Schedule 3D_Income_The Cape'!BT28)</f>
        <v>0</v>
      </c>
      <c r="BU28" s="585">
        <f>SUM('Schedule 3B_Income_Eastern:Schedule 3D_Income_The Cape'!BU28)</f>
        <v>0</v>
      </c>
      <c r="BV28" s="585">
        <f>SUM('Schedule 3B_Income_Eastern:Schedule 3D_Income_The Cape'!BV28)</f>
        <v>0</v>
      </c>
      <c r="BW28" s="585">
        <f>SUM('Schedule 3B_Income_Eastern:Schedule 3D_Income_The Cape'!BW28)</f>
        <v>0</v>
      </c>
      <c r="BX28" s="585">
        <f>SUM('Schedule 3B_Income_Eastern:Schedule 3D_Income_The Cape'!BX28)</f>
        <v>0</v>
      </c>
      <c r="BY28" s="585">
        <f>SUM('Schedule 3B_Income_Eastern:Schedule 3D_Income_The Cape'!BY28)</f>
        <v>0</v>
      </c>
      <c r="BZ28" s="585">
        <f>SUM('Schedule 3B_Income_Eastern:Schedule 3D_Income_The Cape'!BZ28)</f>
        <v>0</v>
      </c>
      <c r="CA28" s="585">
        <f>SUM('Schedule 3B_Income_Eastern:Schedule 3D_Income_The Cape'!CA28)</f>
        <v>0</v>
      </c>
      <c r="CB28" s="588">
        <f t="shared" si="56"/>
        <v>0</v>
      </c>
      <c r="CC28" s="589">
        <f t="shared" si="57"/>
        <v>0</v>
      </c>
      <c r="CD28" s="300">
        <v>9</v>
      </c>
      <c r="CE28" s="414">
        <f t="shared" si="58"/>
        <v>0</v>
      </c>
      <c r="CF28" s="414">
        <f t="shared" si="59"/>
        <v>0</v>
      </c>
      <c r="CG28" s="414">
        <f t="shared" si="60"/>
        <v>0</v>
      </c>
      <c r="CH28" s="414">
        <f t="shared" si="61"/>
        <v>0</v>
      </c>
      <c r="CI28" s="416">
        <f t="shared" si="62"/>
        <v>0</v>
      </c>
      <c r="CJ28" s="414">
        <f t="shared" si="63"/>
        <v>0</v>
      </c>
      <c r="CK28" s="414">
        <f t="shared" si="64"/>
        <v>0</v>
      </c>
      <c r="CL28" s="414">
        <f t="shared" si="65"/>
        <v>0</v>
      </c>
      <c r="CM28" s="414">
        <f t="shared" si="66"/>
        <v>0</v>
      </c>
      <c r="CN28" s="416">
        <f t="shared" si="67"/>
        <v>0</v>
      </c>
      <c r="CO28" s="414">
        <f t="shared" si="68"/>
        <v>0</v>
      </c>
      <c r="CP28" s="414">
        <f t="shared" si="69"/>
        <v>0</v>
      </c>
      <c r="CQ28" s="414">
        <f t="shared" si="70"/>
        <v>0</v>
      </c>
      <c r="CR28" s="414">
        <f t="shared" si="71"/>
        <v>0</v>
      </c>
      <c r="CS28" s="416">
        <f t="shared" si="72"/>
        <v>0</v>
      </c>
    </row>
    <row r="29" spans="1:99" ht="15.75" customHeight="1">
      <c r="A29" s="88" t="s">
        <v>189</v>
      </c>
      <c r="B29" s="300">
        <v>10</v>
      </c>
      <c r="C29" s="585">
        <f>SUM('Schedule 3B_Income_Eastern:Schedule 3D_Income_The Cape'!C29)</f>
        <v>0</v>
      </c>
      <c r="D29" s="585">
        <f>SUM('Schedule 3B_Income_Eastern:Schedule 3D_Income_The Cape'!D29)</f>
        <v>0</v>
      </c>
      <c r="E29" s="585">
        <f>SUM('Schedule 3B_Income_Eastern:Schedule 3D_Income_The Cape'!E29)</f>
        <v>0</v>
      </c>
      <c r="F29" s="585">
        <f>SUM('Schedule 3B_Income_Eastern:Schedule 3D_Income_The Cape'!F29)</f>
        <v>0</v>
      </c>
      <c r="G29" s="585">
        <f>SUM('Schedule 3B_Income_Eastern:Schedule 3D_Income_The Cape'!G29)</f>
        <v>0</v>
      </c>
      <c r="H29" s="585">
        <f>SUM('Schedule 3B_Income_Eastern:Schedule 3D_Income_The Cape'!H29)</f>
        <v>0</v>
      </c>
      <c r="I29" s="585">
        <f>SUM('Schedule 3B_Income_Eastern:Schedule 3D_Income_The Cape'!I29)</f>
        <v>0</v>
      </c>
      <c r="J29" s="585">
        <f>SUM('Schedule 3B_Income_Eastern:Schedule 3D_Income_The Cape'!J29)</f>
        <v>0</v>
      </c>
      <c r="K29" s="586">
        <f t="shared" si="46"/>
        <v>0</v>
      </c>
      <c r="L29" s="587">
        <f>SUM('Schedule 3B_Income_Eastern:Schedule 3D_Income_The Cape'!L29)</f>
        <v>0</v>
      </c>
      <c r="M29" s="585">
        <f>SUM('Schedule 3B_Income_Eastern:Schedule 3D_Income_The Cape'!M29)</f>
        <v>207909.82373013304</v>
      </c>
      <c r="N29" s="585">
        <f>SUM('Schedule 3B_Income_Eastern:Schedule 3D_Income_The Cape'!N29)</f>
        <v>0</v>
      </c>
      <c r="O29" s="585">
        <f>SUM('Schedule 3B_Income_Eastern:Schedule 3D_Income_The Cape'!O29)</f>
        <v>188021.84746529133</v>
      </c>
      <c r="P29" s="585">
        <f>SUM('Schedule 3B_Income_Eastern:Schedule 3D_Income_The Cape'!P29)</f>
        <v>0</v>
      </c>
      <c r="Q29" s="585">
        <f>SUM('Schedule 3B_Income_Eastern:Schedule 3D_Income_The Cape'!Q29)</f>
        <v>205172.10625728196</v>
      </c>
      <c r="R29" s="585">
        <f>SUM('Schedule 3B_Income_Eastern:Schedule 3D_Income_The Cape'!R29)</f>
        <v>0</v>
      </c>
      <c r="S29" s="585">
        <f>SUM('Schedule 3B_Income_Eastern:Schedule 3D_Income_The Cape'!S29)</f>
        <v>206035.84317396462</v>
      </c>
      <c r="T29" s="588">
        <f t="shared" si="47"/>
        <v>807139.62062667101</v>
      </c>
      <c r="U29" s="589">
        <f t="shared" si="48"/>
        <v>807139.62062667101</v>
      </c>
      <c r="V29" s="300">
        <v>10</v>
      </c>
      <c r="W29" s="585">
        <f>SUM('Schedule 3B_Income_Eastern:Schedule 3D_Income_The Cape'!W29)</f>
        <v>0</v>
      </c>
      <c r="X29" s="585">
        <f>SUM('Schedule 3B_Income_Eastern:Schedule 3D_Income_The Cape'!X29)</f>
        <v>0</v>
      </c>
      <c r="Y29" s="585">
        <f>SUM('Schedule 3B_Income_Eastern:Schedule 3D_Income_The Cape'!Y29)</f>
        <v>0</v>
      </c>
      <c r="Z29" s="585">
        <f>SUM('Schedule 3B_Income_Eastern:Schedule 3D_Income_The Cape'!Z29)</f>
        <v>0</v>
      </c>
      <c r="AA29" s="585">
        <f>SUM('Schedule 3B_Income_Eastern:Schedule 3D_Income_The Cape'!AA29)</f>
        <v>0</v>
      </c>
      <c r="AB29" s="585">
        <f>SUM('Schedule 3B_Income_Eastern:Schedule 3D_Income_The Cape'!AB29)</f>
        <v>0</v>
      </c>
      <c r="AC29" s="585">
        <f>SUM('Schedule 3B_Income_Eastern:Schedule 3D_Income_The Cape'!AC29)</f>
        <v>0</v>
      </c>
      <c r="AD29" s="585">
        <f>SUM('Schedule 3B_Income_Eastern:Schedule 3D_Income_The Cape'!AD29)</f>
        <v>0</v>
      </c>
      <c r="AE29" s="586">
        <f t="shared" si="49"/>
        <v>0</v>
      </c>
      <c r="AF29" s="587">
        <f>SUM('Schedule 3B_Income_Eastern:Schedule 3D_Income_The Cape'!AF29)</f>
        <v>0</v>
      </c>
      <c r="AG29" s="585">
        <f>SUM('Schedule 3B_Income_Eastern:Schedule 3D_Income_The Cape'!AG29)</f>
        <v>69175.563383670422</v>
      </c>
      <c r="AH29" s="585">
        <f>SUM('Schedule 3B_Income_Eastern:Schedule 3D_Income_The Cape'!AH29)</f>
        <v>0</v>
      </c>
      <c r="AI29" s="585">
        <f>SUM('Schedule 3B_Income_Eastern:Schedule 3D_Income_The Cape'!AI29)</f>
        <v>57489.451517220703</v>
      </c>
      <c r="AJ29" s="585">
        <f>SUM('Schedule 3B_Income_Eastern:Schedule 3D_Income_The Cape'!AJ29)</f>
        <v>0</v>
      </c>
      <c r="AK29" s="585">
        <f>SUM('Schedule 3B_Income_Eastern:Schedule 3D_Income_The Cape'!AK29)</f>
        <v>60799.442139742932</v>
      </c>
      <c r="AL29" s="585">
        <f>SUM('Schedule 3B_Income_Eastern:Schedule 3D_Income_The Cape'!AL29)</f>
        <v>0</v>
      </c>
      <c r="AM29" s="585">
        <f>SUM('Schedule 3B_Income_Eastern:Schedule 3D_Income_The Cape'!AM29)</f>
        <v>61967.233876618469</v>
      </c>
      <c r="AN29" s="588">
        <f t="shared" si="50"/>
        <v>249431.69091725253</v>
      </c>
      <c r="AO29" s="589">
        <f t="shared" si="51"/>
        <v>249431.69091725253</v>
      </c>
      <c r="AP29" s="300">
        <v>10</v>
      </c>
      <c r="AQ29" s="585">
        <f>SUM('Schedule 3B_Income_Eastern:Schedule 3D_Income_The Cape'!AQ29)</f>
        <v>0</v>
      </c>
      <c r="AR29" s="585">
        <f>SUM('Schedule 3B_Income_Eastern:Schedule 3D_Income_The Cape'!AR29)</f>
        <v>0</v>
      </c>
      <c r="AS29" s="585">
        <f>SUM('Schedule 3B_Income_Eastern:Schedule 3D_Income_The Cape'!AS29)</f>
        <v>0</v>
      </c>
      <c r="AT29" s="585">
        <f>SUM('Schedule 3B_Income_Eastern:Schedule 3D_Income_The Cape'!AT29)</f>
        <v>0</v>
      </c>
      <c r="AU29" s="585">
        <f>SUM('Schedule 3B_Income_Eastern:Schedule 3D_Income_The Cape'!AU29)</f>
        <v>0</v>
      </c>
      <c r="AV29" s="585">
        <f>SUM('Schedule 3B_Income_Eastern:Schedule 3D_Income_The Cape'!AV29)</f>
        <v>0</v>
      </c>
      <c r="AW29" s="585">
        <f>SUM('Schedule 3B_Income_Eastern:Schedule 3D_Income_The Cape'!AW29)</f>
        <v>0</v>
      </c>
      <c r="AX29" s="585">
        <f>SUM('Schedule 3B_Income_Eastern:Schedule 3D_Income_The Cape'!AX29)</f>
        <v>0</v>
      </c>
      <c r="AY29" s="586">
        <f t="shared" si="52"/>
        <v>0</v>
      </c>
      <c r="AZ29" s="587">
        <f>SUM('Schedule 3B_Income_Eastern:Schedule 3D_Income_The Cape'!AZ29)</f>
        <v>0</v>
      </c>
      <c r="BA29" s="585">
        <f>SUM('Schedule 3B_Income_Eastern:Schedule 3D_Income_The Cape'!BA29)</f>
        <v>1573839.7690402227</v>
      </c>
      <c r="BB29" s="585">
        <f>SUM('Schedule 3B_Income_Eastern:Schedule 3D_Income_The Cape'!BB29)</f>
        <v>0</v>
      </c>
      <c r="BC29" s="585">
        <f>SUM('Schedule 3B_Income_Eastern:Schedule 3D_Income_The Cape'!BC29)</f>
        <v>1303289.7481818739</v>
      </c>
      <c r="BD29" s="585">
        <f>SUM('Schedule 3B_Income_Eastern:Schedule 3D_Income_The Cape'!BD29)</f>
        <v>0</v>
      </c>
      <c r="BE29" s="585">
        <f>SUM('Schedule 3B_Income_Eastern:Schedule 3D_Income_The Cape'!BE29)</f>
        <v>1490471.2951118215</v>
      </c>
      <c r="BF29" s="585">
        <f>SUM('Schedule 3B_Income_Eastern:Schedule 3D_Income_The Cape'!BF29)</f>
        <v>0</v>
      </c>
      <c r="BG29" s="585">
        <f>SUM('Schedule 3B_Income_Eastern:Schedule 3D_Income_The Cape'!BG29)</f>
        <v>1513634.7824124668</v>
      </c>
      <c r="BH29" s="588">
        <f t="shared" si="53"/>
        <v>5881235.5947463848</v>
      </c>
      <c r="BI29" s="589">
        <f t="shared" si="54"/>
        <v>5881235.5947463848</v>
      </c>
      <c r="BJ29" s="300">
        <v>10</v>
      </c>
      <c r="BK29" s="585">
        <f>SUM('Schedule 3B_Income_Eastern:Schedule 3D_Income_The Cape'!BK29)</f>
        <v>0</v>
      </c>
      <c r="BL29" s="585">
        <f>SUM('Schedule 3B_Income_Eastern:Schedule 3D_Income_The Cape'!BL29)</f>
        <v>0</v>
      </c>
      <c r="BM29" s="585">
        <f>SUM('Schedule 3B_Income_Eastern:Schedule 3D_Income_The Cape'!BM29)</f>
        <v>0</v>
      </c>
      <c r="BN29" s="585">
        <f>SUM('Schedule 3B_Income_Eastern:Schedule 3D_Income_The Cape'!BN29)</f>
        <v>0</v>
      </c>
      <c r="BO29" s="585">
        <f>SUM('Schedule 3B_Income_Eastern:Schedule 3D_Income_The Cape'!BO29)</f>
        <v>0</v>
      </c>
      <c r="BP29" s="585">
        <f>SUM('Schedule 3B_Income_Eastern:Schedule 3D_Income_The Cape'!BP29)</f>
        <v>0</v>
      </c>
      <c r="BQ29" s="585">
        <f>SUM('Schedule 3B_Income_Eastern:Schedule 3D_Income_The Cape'!BQ29)</f>
        <v>0</v>
      </c>
      <c r="BR29" s="585">
        <f>SUM('Schedule 3B_Income_Eastern:Schedule 3D_Income_The Cape'!BR29)</f>
        <v>0</v>
      </c>
      <c r="BS29" s="586">
        <f t="shared" si="55"/>
        <v>0</v>
      </c>
      <c r="BT29" s="587">
        <f>SUM('Schedule 3B_Income_Eastern:Schedule 3D_Income_The Cape'!BT29)</f>
        <v>0</v>
      </c>
      <c r="BU29" s="585">
        <f>SUM('Schedule 3B_Income_Eastern:Schedule 3D_Income_The Cape'!BU29)</f>
        <v>62123.032470624064</v>
      </c>
      <c r="BV29" s="585">
        <f>SUM('Schedule 3B_Income_Eastern:Schedule 3D_Income_The Cape'!BV29)</f>
        <v>0</v>
      </c>
      <c r="BW29" s="585">
        <f>SUM('Schedule 3B_Income_Eastern:Schedule 3D_Income_The Cape'!BW29)</f>
        <v>54971.183127264361</v>
      </c>
      <c r="BX29" s="585">
        <f>SUM('Schedule 3B_Income_Eastern:Schedule 3D_Income_The Cape'!BX29)</f>
        <v>0</v>
      </c>
      <c r="BY29" s="585">
        <f>SUM('Schedule 3B_Income_Eastern:Schedule 3D_Income_The Cape'!BY29)</f>
        <v>58799.021765095131</v>
      </c>
      <c r="BZ29" s="585">
        <f>SUM('Schedule 3B_Income_Eastern:Schedule 3D_Income_The Cape'!BZ29)</f>
        <v>0</v>
      </c>
      <c r="CA29" s="585">
        <f>SUM('Schedule 3B_Income_Eastern:Schedule 3D_Income_The Cape'!CA29)</f>
        <v>66636.02461278782</v>
      </c>
      <c r="CB29" s="588">
        <f t="shared" si="56"/>
        <v>242529.26197577137</v>
      </c>
      <c r="CC29" s="589">
        <f t="shared" si="57"/>
        <v>242529.26197577137</v>
      </c>
      <c r="CD29" s="300">
        <v>10</v>
      </c>
      <c r="CE29" s="414">
        <f t="shared" si="58"/>
        <v>0</v>
      </c>
      <c r="CF29" s="414">
        <f t="shared" si="59"/>
        <v>0</v>
      </c>
      <c r="CG29" s="414">
        <f t="shared" si="60"/>
        <v>0</v>
      </c>
      <c r="CH29" s="414">
        <f t="shared" si="61"/>
        <v>0</v>
      </c>
      <c r="CI29" s="416">
        <f t="shared" si="62"/>
        <v>0</v>
      </c>
      <c r="CJ29" s="414">
        <f t="shared" si="63"/>
        <v>1913048.1886246502</v>
      </c>
      <c r="CK29" s="414">
        <f t="shared" si="64"/>
        <v>1603772.2302916502</v>
      </c>
      <c r="CL29" s="414">
        <f t="shared" si="65"/>
        <v>1815241.8652739415</v>
      </c>
      <c r="CM29" s="414">
        <f t="shared" si="66"/>
        <v>1848273.8840758379</v>
      </c>
      <c r="CN29" s="416">
        <f t="shared" si="67"/>
        <v>7180336.1682660803</v>
      </c>
      <c r="CO29" s="414">
        <f t="shared" si="68"/>
        <v>1913048.1886246502</v>
      </c>
      <c r="CP29" s="414">
        <f t="shared" si="69"/>
        <v>1603772.2302916502</v>
      </c>
      <c r="CQ29" s="414">
        <f t="shared" si="70"/>
        <v>1815241.8652739415</v>
      </c>
      <c r="CR29" s="414">
        <f t="shared" si="71"/>
        <v>1848273.8840758379</v>
      </c>
      <c r="CS29" s="416">
        <f t="shared" si="72"/>
        <v>7180336.1682660803</v>
      </c>
    </row>
    <row r="30" spans="1:99" ht="15.75" customHeight="1">
      <c r="A30" s="135" t="s">
        <v>191</v>
      </c>
      <c r="B30" s="300">
        <v>11</v>
      </c>
      <c r="C30" s="137">
        <f t="shared" ref="C30" si="73">SUM(C25:C29)</f>
        <v>0</v>
      </c>
      <c r="D30" s="137">
        <f t="shared" ref="D30:J30" si="74">SUM(D25:D29)</f>
        <v>0</v>
      </c>
      <c r="E30" s="137">
        <f t="shared" si="74"/>
        <v>0</v>
      </c>
      <c r="F30" s="137">
        <f t="shared" si="74"/>
        <v>0</v>
      </c>
      <c r="G30" s="137">
        <f t="shared" si="74"/>
        <v>0</v>
      </c>
      <c r="H30" s="137">
        <f t="shared" si="74"/>
        <v>0</v>
      </c>
      <c r="I30" s="137">
        <f t="shared" si="74"/>
        <v>0</v>
      </c>
      <c r="J30" s="137">
        <f t="shared" si="74"/>
        <v>0</v>
      </c>
      <c r="K30" s="586">
        <f t="shared" si="46"/>
        <v>0</v>
      </c>
      <c r="L30" s="217">
        <f t="shared" ref="L30:S30" si="75">SUM(L25:L29)</f>
        <v>0</v>
      </c>
      <c r="M30" s="137">
        <f t="shared" si="75"/>
        <v>207909.82373013304</v>
      </c>
      <c r="N30" s="137">
        <f t="shared" si="75"/>
        <v>0</v>
      </c>
      <c r="O30" s="137">
        <f t="shared" si="75"/>
        <v>188021.84746529133</v>
      </c>
      <c r="P30" s="137">
        <f t="shared" si="75"/>
        <v>0</v>
      </c>
      <c r="Q30" s="137">
        <f t="shared" si="75"/>
        <v>205172.10625728196</v>
      </c>
      <c r="R30" s="137">
        <f t="shared" si="75"/>
        <v>0</v>
      </c>
      <c r="S30" s="137">
        <f t="shared" si="75"/>
        <v>206035.84317396462</v>
      </c>
      <c r="T30" s="588">
        <f t="shared" si="47"/>
        <v>807139.62062667101</v>
      </c>
      <c r="U30" s="589">
        <f t="shared" si="48"/>
        <v>807139.62062667101</v>
      </c>
      <c r="V30" s="300">
        <v>11</v>
      </c>
      <c r="W30" s="137">
        <f t="shared" ref="W30:AD30" si="76">SUM(W25:W29)</f>
        <v>0</v>
      </c>
      <c r="X30" s="137">
        <f t="shared" si="76"/>
        <v>0</v>
      </c>
      <c r="Y30" s="137">
        <f t="shared" si="76"/>
        <v>0</v>
      </c>
      <c r="Z30" s="137">
        <f t="shared" si="76"/>
        <v>0</v>
      </c>
      <c r="AA30" s="137">
        <f t="shared" si="76"/>
        <v>0</v>
      </c>
      <c r="AB30" s="137">
        <f t="shared" si="76"/>
        <v>0</v>
      </c>
      <c r="AC30" s="137">
        <f t="shared" si="76"/>
        <v>0</v>
      </c>
      <c r="AD30" s="137">
        <f t="shared" si="76"/>
        <v>0</v>
      </c>
      <c r="AE30" s="586">
        <f t="shared" si="49"/>
        <v>0</v>
      </c>
      <c r="AF30" s="217">
        <f t="shared" ref="AF30:AM30" si="77">SUM(AF25:AF29)</f>
        <v>0</v>
      </c>
      <c r="AG30" s="137">
        <f t="shared" si="77"/>
        <v>69175.563383670422</v>
      </c>
      <c r="AH30" s="137">
        <f t="shared" si="77"/>
        <v>0</v>
      </c>
      <c r="AI30" s="137">
        <f t="shared" si="77"/>
        <v>57489.451517220703</v>
      </c>
      <c r="AJ30" s="137">
        <f t="shared" si="77"/>
        <v>0</v>
      </c>
      <c r="AK30" s="137">
        <f t="shared" si="77"/>
        <v>60799.442139742932</v>
      </c>
      <c r="AL30" s="137">
        <f t="shared" si="77"/>
        <v>0</v>
      </c>
      <c r="AM30" s="137">
        <f t="shared" si="77"/>
        <v>61967.233876618469</v>
      </c>
      <c r="AN30" s="588">
        <f t="shared" si="50"/>
        <v>249431.69091725253</v>
      </c>
      <c r="AO30" s="589">
        <f t="shared" si="51"/>
        <v>249431.69091725253</v>
      </c>
      <c r="AP30" s="300">
        <v>11</v>
      </c>
      <c r="AQ30" s="137">
        <f t="shared" ref="AQ30:AX30" si="78">SUM(AQ25:AQ29)</f>
        <v>0</v>
      </c>
      <c r="AR30" s="137">
        <f t="shared" si="78"/>
        <v>0</v>
      </c>
      <c r="AS30" s="137">
        <f t="shared" si="78"/>
        <v>0</v>
      </c>
      <c r="AT30" s="137">
        <f t="shared" si="78"/>
        <v>0</v>
      </c>
      <c r="AU30" s="137">
        <f t="shared" si="78"/>
        <v>0</v>
      </c>
      <c r="AV30" s="137">
        <f t="shared" si="78"/>
        <v>0</v>
      </c>
      <c r="AW30" s="137">
        <f t="shared" si="78"/>
        <v>0</v>
      </c>
      <c r="AX30" s="137">
        <f t="shared" si="78"/>
        <v>0</v>
      </c>
      <c r="AY30" s="586">
        <f t="shared" si="52"/>
        <v>0</v>
      </c>
      <c r="AZ30" s="217">
        <f t="shared" ref="AZ30:BG30" si="79">SUM(AZ25:AZ29)</f>
        <v>0</v>
      </c>
      <c r="BA30" s="137">
        <f t="shared" si="79"/>
        <v>1573839.7690402227</v>
      </c>
      <c r="BB30" s="137">
        <f t="shared" si="79"/>
        <v>0</v>
      </c>
      <c r="BC30" s="137">
        <f t="shared" si="79"/>
        <v>1303289.7481818739</v>
      </c>
      <c r="BD30" s="137">
        <f t="shared" si="79"/>
        <v>0</v>
      </c>
      <c r="BE30" s="137">
        <f t="shared" si="79"/>
        <v>1490471.2951118215</v>
      </c>
      <c r="BF30" s="137">
        <f t="shared" si="79"/>
        <v>0</v>
      </c>
      <c r="BG30" s="137">
        <f t="shared" si="79"/>
        <v>1513634.7824124668</v>
      </c>
      <c r="BH30" s="588">
        <f t="shared" si="53"/>
        <v>5881235.5947463848</v>
      </c>
      <c r="BI30" s="589">
        <f t="shared" si="54"/>
        <v>5881235.5947463848</v>
      </c>
      <c r="BJ30" s="300">
        <v>11</v>
      </c>
      <c r="BK30" s="137">
        <f t="shared" ref="BK30:BR30" si="80">SUM(BK25:BK29)</f>
        <v>38342.796971540418</v>
      </c>
      <c r="BL30" s="137">
        <f t="shared" si="80"/>
        <v>440002.21302861953</v>
      </c>
      <c r="BM30" s="137">
        <f t="shared" si="80"/>
        <v>37971.815825354643</v>
      </c>
      <c r="BN30" s="137">
        <f t="shared" si="80"/>
        <v>434738.1841746454</v>
      </c>
      <c r="BO30" s="137">
        <f t="shared" si="80"/>
        <v>39132.822548802324</v>
      </c>
      <c r="BP30" s="137">
        <f t="shared" si="80"/>
        <v>433577.1774511977</v>
      </c>
      <c r="BQ30" s="137">
        <f t="shared" si="80"/>
        <v>173165.20825070716</v>
      </c>
      <c r="BR30" s="137">
        <f t="shared" si="80"/>
        <v>1814493.9517494529</v>
      </c>
      <c r="BS30" s="586">
        <f t="shared" si="55"/>
        <v>3411424.1700003203</v>
      </c>
      <c r="BT30" s="217">
        <f t="shared" ref="BT30:CA30" si="81">SUM(BT25:BT29)</f>
        <v>0</v>
      </c>
      <c r="BU30" s="137">
        <f t="shared" si="81"/>
        <v>62123.032470624064</v>
      </c>
      <c r="BV30" s="137">
        <f t="shared" si="81"/>
        <v>0</v>
      </c>
      <c r="BW30" s="137">
        <f t="shared" si="81"/>
        <v>54971.183127264361</v>
      </c>
      <c r="BX30" s="137">
        <f t="shared" si="81"/>
        <v>0</v>
      </c>
      <c r="BY30" s="137">
        <f t="shared" si="81"/>
        <v>58799.021765095131</v>
      </c>
      <c r="BZ30" s="137">
        <f t="shared" si="81"/>
        <v>0</v>
      </c>
      <c r="CA30" s="137">
        <f t="shared" si="81"/>
        <v>66636.02461278782</v>
      </c>
      <c r="CB30" s="588">
        <f t="shared" si="56"/>
        <v>242529.26197577137</v>
      </c>
      <c r="CC30" s="589">
        <f t="shared" si="57"/>
        <v>3653953.4319760916</v>
      </c>
      <c r="CD30" s="300">
        <v>11</v>
      </c>
      <c r="CE30" s="414">
        <f t="shared" si="58"/>
        <v>478345.01000015996</v>
      </c>
      <c r="CF30" s="414">
        <f t="shared" si="59"/>
        <v>472710.00000000006</v>
      </c>
      <c r="CG30" s="414">
        <f t="shared" si="60"/>
        <v>472710</v>
      </c>
      <c r="CH30" s="414">
        <f t="shared" si="61"/>
        <v>1987659.1600001601</v>
      </c>
      <c r="CI30" s="416">
        <f t="shared" si="62"/>
        <v>3411424.1700003203</v>
      </c>
      <c r="CJ30" s="414">
        <f t="shared" si="63"/>
        <v>1913048.1886246502</v>
      </c>
      <c r="CK30" s="414">
        <f t="shared" si="64"/>
        <v>1603772.2302916502</v>
      </c>
      <c r="CL30" s="414">
        <f t="shared" si="65"/>
        <v>1815241.8652739415</v>
      </c>
      <c r="CM30" s="414">
        <f t="shared" si="66"/>
        <v>1848273.8840758379</v>
      </c>
      <c r="CN30" s="416">
        <f t="shared" si="67"/>
        <v>7180336.1682660803</v>
      </c>
      <c r="CO30" s="414">
        <f t="shared" si="68"/>
        <v>2391393.1986248102</v>
      </c>
      <c r="CP30" s="414">
        <f t="shared" si="69"/>
        <v>2076482.2302916502</v>
      </c>
      <c r="CQ30" s="414">
        <f t="shared" si="70"/>
        <v>2287951.8652739413</v>
      </c>
      <c r="CR30" s="414">
        <f t="shared" si="71"/>
        <v>3835933.044075998</v>
      </c>
      <c r="CS30" s="416">
        <f t="shared" si="72"/>
        <v>10591760.338266399</v>
      </c>
      <c r="CU30" s="689"/>
    </row>
    <row r="31" spans="1:99"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c r="CU31" s="319"/>
    </row>
    <row r="32" spans="1:99" s="318" customFormat="1" ht="15.75" customHeight="1">
      <c r="A32" s="16" t="s">
        <v>193</v>
      </c>
      <c r="B32" s="300">
        <v>12</v>
      </c>
      <c r="C32" s="216">
        <f t="shared" ref="C32:U32" si="82">C23+C30</f>
        <v>1310337.92000003</v>
      </c>
      <c r="D32" s="216">
        <f t="shared" si="82"/>
        <v>2747294.470000241</v>
      </c>
      <c r="E32" s="216">
        <f t="shared" si="82"/>
        <v>1356647.0300000301</v>
      </c>
      <c r="F32" s="216">
        <f t="shared" si="82"/>
        <v>2841011.2500002612</v>
      </c>
      <c r="G32" s="216">
        <f t="shared" si="82"/>
        <v>1406455.43000004</v>
      </c>
      <c r="H32" s="216">
        <f t="shared" si="82"/>
        <v>2977048.2900002832</v>
      </c>
      <c r="I32" s="216">
        <f t="shared" si="82"/>
        <v>1473777.3300000401</v>
      </c>
      <c r="J32" s="216">
        <f t="shared" si="82"/>
        <v>3017302.880000283</v>
      </c>
      <c r="K32" s="221">
        <f t="shared" si="82"/>
        <v>17129874.600001208</v>
      </c>
      <c r="L32" s="218">
        <f t="shared" si="82"/>
        <v>0</v>
      </c>
      <c r="M32" s="216">
        <f t="shared" si="82"/>
        <v>7791439.2655751063</v>
      </c>
      <c r="N32" s="216">
        <f t="shared" si="82"/>
        <v>0</v>
      </c>
      <c r="O32" s="216">
        <f t="shared" si="82"/>
        <v>7054859.7536978656</v>
      </c>
      <c r="P32" s="216">
        <f t="shared" si="82"/>
        <v>0</v>
      </c>
      <c r="Q32" s="216">
        <f t="shared" si="82"/>
        <v>8010851.0947905444</v>
      </c>
      <c r="R32" s="216">
        <f t="shared" si="82"/>
        <v>0</v>
      </c>
      <c r="S32" s="216">
        <f t="shared" si="82"/>
        <v>8165394.3916263357</v>
      </c>
      <c r="T32" s="219">
        <f t="shared" si="82"/>
        <v>31022544.505689848</v>
      </c>
      <c r="U32" s="218">
        <f t="shared" si="82"/>
        <v>48152419.10569106</v>
      </c>
      <c r="V32" s="300">
        <v>12</v>
      </c>
      <c r="W32" s="216">
        <f t="shared" ref="W32:AO32" si="83">W23+W30</f>
        <v>211537.86</v>
      </c>
      <c r="X32" s="216">
        <f t="shared" si="83"/>
        <v>1419351.3100000189</v>
      </c>
      <c r="Y32" s="216">
        <f t="shared" si="83"/>
        <v>209881.93</v>
      </c>
      <c r="Z32" s="216">
        <f t="shared" si="83"/>
        <v>1356663.7700000182</v>
      </c>
      <c r="AA32" s="216">
        <f t="shared" si="83"/>
        <v>208417.22999999998</v>
      </c>
      <c r="AB32" s="216">
        <f t="shared" si="83"/>
        <v>1366160.390000019</v>
      </c>
      <c r="AC32" s="216">
        <f t="shared" si="83"/>
        <v>234610.53</v>
      </c>
      <c r="AD32" s="216">
        <f t="shared" si="83"/>
        <v>1416501.0300000201</v>
      </c>
      <c r="AE32" s="221">
        <f t="shared" si="83"/>
        <v>6423124.0500000762</v>
      </c>
      <c r="AF32" s="218">
        <f t="shared" si="83"/>
        <v>0</v>
      </c>
      <c r="AG32" s="216">
        <f t="shared" si="83"/>
        <v>2622770.5757217803</v>
      </c>
      <c r="AH32" s="216">
        <f t="shared" si="83"/>
        <v>0</v>
      </c>
      <c r="AI32" s="216">
        <f t="shared" si="83"/>
        <v>2155506.0155919194</v>
      </c>
      <c r="AJ32" s="216">
        <f t="shared" si="83"/>
        <v>0</v>
      </c>
      <c r="AK32" s="216">
        <f t="shared" si="83"/>
        <v>2297616.1865610117</v>
      </c>
      <c r="AL32" s="216">
        <f t="shared" si="83"/>
        <v>0</v>
      </c>
      <c r="AM32" s="216">
        <f t="shared" si="83"/>
        <v>2348872.96784116</v>
      </c>
      <c r="AN32" s="219">
        <f t="shared" si="83"/>
        <v>9424765.7457158696</v>
      </c>
      <c r="AO32" s="218">
        <f t="shared" si="83"/>
        <v>15847889.795715945</v>
      </c>
      <c r="AP32" s="300">
        <v>12</v>
      </c>
      <c r="AQ32" s="216">
        <f t="shared" ref="AQ32:BI32" si="84">AQ23+AQ30</f>
        <v>23415787.809998188</v>
      </c>
      <c r="AR32" s="216">
        <f t="shared" si="84"/>
        <v>55299210.130006224</v>
      </c>
      <c r="AS32" s="216">
        <f t="shared" si="84"/>
        <v>25063089.909998</v>
      </c>
      <c r="AT32" s="216">
        <f t="shared" si="84"/>
        <v>58194493.690009229</v>
      </c>
      <c r="AU32" s="216">
        <f t="shared" si="84"/>
        <v>26431821.770000603</v>
      </c>
      <c r="AV32" s="216">
        <f t="shared" si="84"/>
        <v>61460590.620016634</v>
      </c>
      <c r="AW32" s="216">
        <f t="shared" si="84"/>
        <v>29204724.680001199</v>
      </c>
      <c r="AX32" s="216">
        <f t="shared" si="84"/>
        <v>64214982.450019404</v>
      </c>
      <c r="AY32" s="221">
        <f t="shared" si="84"/>
        <v>343284701.06004947</v>
      </c>
      <c r="AZ32" s="218">
        <f t="shared" si="84"/>
        <v>0</v>
      </c>
      <c r="BA32" s="216">
        <f t="shared" si="84"/>
        <v>60623190.143412806</v>
      </c>
      <c r="BB32" s="216">
        <f t="shared" si="84"/>
        <v>0</v>
      </c>
      <c r="BC32" s="216">
        <f t="shared" si="84"/>
        <v>51596982.975254029</v>
      </c>
      <c r="BD32" s="216">
        <f t="shared" si="84"/>
        <v>0</v>
      </c>
      <c r="BE32" s="216">
        <f t="shared" si="84"/>
        <v>58260200.669292018</v>
      </c>
      <c r="BF32" s="216">
        <f t="shared" si="84"/>
        <v>0</v>
      </c>
      <c r="BG32" s="216">
        <f t="shared" si="84"/>
        <v>58816074.535865456</v>
      </c>
      <c r="BH32" s="219">
        <f t="shared" si="84"/>
        <v>229296448.32382432</v>
      </c>
      <c r="BI32" s="218">
        <f t="shared" si="84"/>
        <v>572581149.3838737</v>
      </c>
      <c r="BJ32" s="300">
        <v>12</v>
      </c>
      <c r="BK32" s="216">
        <f t="shared" ref="BK32:CC32" si="85">BK23+BK30</f>
        <v>537314.24697154039</v>
      </c>
      <c r="BL32" s="216">
        <f t="shared" si="85"/>
        <v>6165941.883028619</v>
      </c>
      <c r="BM32" s="216">
        <f t="shared" si="85"/>
        <v>513677.07582535467</v>
      </c>
      <c r="BN32" s="216">
        <f t="shared" si="85"/>
        <v>5881073.4841746455</v>
      </c>
      <c r="BO32" s="216">
        <f t="shared" si="85"/>
        <v>518733.49254880234</v>
      </c>
      <c r="BP32" s="216">
        <f t="shared" si="85"/>
        <v>5747374.9374511987</v>
      </c>
      <c r="BQ32" s="216">
        <f t="shared" si="85"/>
        <v>704638.14825070708</v>
      </c>
      <c r="BR32" s="216">
        <f t="shared" si="85"/>
        <v>7383478.881749453</v>
      </c>
      <c r="BS32" s="221">
        <f t="shared" si="85"/>
        <v>27452232.150000319</v>
      </c>
      <c r="BT32" s="218">
        <f t="shared" si="85"/>
        <v>0</v>
      </c>
      <c r="BU32" s="216">
        <f t="shared" si="85"/>
        <v>2425818.0987771503</v>
      </c>
      <c r="BV32" s="216">
        <f t="shared" si="85"/>
        <v>0</v>
      </c>
      <c r="BW32" s="216">
        <f t="shared" si="85"/>
        <v>2317368.8776606298</v>
      </c>
      <c r="BX32" s="216">
        <f t="shared" si="85"/>
        <v>0</v>
      </c>
      <c r="BY32" s="216">
        <f t="shared" si="85"/>
        <v>2316554.4621360409</v>
      </c>
      <c r="BZ32" s="216">
        <f t="shared" si="85"/>
        <v>0</v>
      </c>
      <c r="CA32" s="216">
        <f t="shared" si="85"/>
        <v>2486319.3073212537</v>
      </c>
      <c r="CB32" s="219">
        <f t="shared" si="85"/>
        <v>9546060.7458950747</v>
      </c>
      <c r="CC32" s="218">
        <f t="shared" si="85"/>
        <v>36998292.895895399</v>
      </c>
      <c r="CD32" s="300">
        <v>12</v>
      </c>
      <c r="CE32" s="219">
        <f t="shared" ref="CE32:CH32" si="86">CE23+CE30</f>
        <v>91106775.630004868</v>
      </c>
      <c r="CF32" s="219">
        <f t="shared" si="86"/>
        <v>95416538.140007541</v>
      </c>
      <c r="CG32" s="219">
        <f t="shared" si="86"/>
        <v>100116602.16001758</v>
      </c>
      <c r="CH32" s="219">
        <f t="shared" si="86"/>
        <v>107650015.93002112</v>
      </c>
      <c r="CI32" s="216">
        <f>SUM(BS32,AY32,AE32,K32)</f>
        <v>394289931.8600511</v>
      </c>
      <c r="CJ32" s="219">
        <f t="shared" ref="CJ32:CM32" si="87">CJ23+CJ30</f>
        <v>73463218.083486855</v>
      </c>
      <c r="CK32" s="219">
        <f t="shared" si="87"/>
        <v>63124717.622204438</v>
      </c>
      <c r="CL32" s="219">
        <f t="shared" si="87"/>
        <v>70885222.412779614</v>
      </c>
      <c r="CM32" s="219">
        <f t="shared" si="87"/>
        <v>71816661.202654198</v>
      </c>
      <c r="CN32" s="216">
        <f>SUM(BX32,BD32,AJ32,P32)</f>
        <v>0</v>
      </c>
      <c r="CO32" s="219">
        <f t="shared" ref="CO32:CR32" si="88">CO23+CO30</f>
        <v>164569993.71349168</v>
      </c>
      <c r="CP32" s="219">
        <f t="shared" si="88"/>
        <v>158541255.76221201</v>
      </c>
      <c r="CQ32" s="219">
        <f t="shared" si="88"/>
        <v>171001824.57279718</v>
      </c>
      <c r="CR32" s="219">
        <f t="shared" si="88"/>
        <v>179466677.13267532</v>
      </c>
      <c r="CS32" s="216">
        <f>SUM(CC32,BI32,AO32,U32)</f>
        <v>673579751.18117607</v>
      </c>
      <c r="CU32" s="690"/>
    </row>
    <row r="33" spans="1:101" ht="15.75" customHeight="1">
      <c r="A33" s="136"/>
      <c r="B33" s="193"/>
      <c r="C33" s="104"/>
      <c r="D33" s="104"/>
      <c r="E33" s="104"/>
      <c r="F33" s="104"/>
      <c r="G33" s="104"/>
      <c r="H33" s="104"/>
      <c r="I33" s="104"/>
      <c r="J33" s="104"/>
      <c r="K33" s="375"/>
      <c r="L33" s="376"/>
      <c r="M33" s="104"/>
      <c r="N33" s="104"/>
      <c r="O33" s="104"/>
      <c r="P33" s="104"/>
      <c r="Q33" s="104"/>
      <c r="R33" s="104"/>
      <c r="S33" s="104"/>
      <c r="T33" s="104"/>
      <c r="U33" s="377"/>
      <c r="V33" s="193"/>
      <c r="W33" s="104"/>
      <c r="X33" s="104"/>
      <c r="Y33" s="104"/>
      <c r="Z33" s="104"/>
      <c r="AA33" s="104"/>
      <c r="AB33" s="104"/>
      <c r="AC33" s="104"/>
      <c r="AD33" s="104"/>
      <c r="AE33" s="375"/>
      <c r="AF33" s="376"/>
      <c r="AG33" s="104"/>
      <c r="AH33" s="104"/>
      <c r="AI33" s="104"/>
      <c r="AJ33" s="104"/>
      <c r="AK33" s="104"/>
      <c r="AL33" s="104"/>
      <c r="AM33" s="104"/>
      <c r="AN33" s="104"/>
      <c r="AO33" s="377"/>
      <c r="AP33" s="193"/>
      <c r="AQ33" s="104"/>
      <c r="AR33" s="104"/>
      <c r="AS33" s="104"/>
      <c r="AT33" s="104"/>
      <c r="AU33" s="104"/>
      <c r="AV33" s="104"/>
      <c r="AW33" s="104"/>
      <c r="AX33" s="104"/>
      <c r="AY33" s="375"/>
      <c r="AZ33" s="376"/>
      <c r="BA33" s="104"/>
      <c r="BB33" s="104"/>
      <c r="BC33" s="104"/>
      <c r="BD33" s="104"/>
      <c r="BE33" s="104"/>
      <c r="BF33" s="104"/>
      <c r="BG33" s="104"/>
      <c r="BH33" s="104"/>
      <c r="BI33" s="377"/>
      <c r="BJ33" s="193"/>
      <c r="BK33" s="104"/>
      <c r="BL33" s="104"/>
      <c r="BM33" s="104"/>
      <c r="BN33" s="104"/>
      <c r="BO33" s="104"/>
      <c r="BP33" s="104"/>
      <c r="BQ33" s="104"/>
      <c r="BR33" s="104"/>
      <c r="BS33" s="375"/>
      <c r="BT33" s="376"/>
      <c r="BU33" s="104"/>
      <c r="BV33" s="104"/>
      <c r="BW33" s="104"/>
      <c r="BX33" s="104"/>
      <c r="BY33" s="104"/>
      <c r="BZ33" s="104"/>
      <c r="CA33" s="104"/>
      <c r="CB33" s="104"/>
      <c r="CC33" s="377"/>
      <c r="CD33" s="193"/>
      <c r="CE33" s="178"/>
      <c r="CF33" s="178"/>
      <c r="CG33" s="178"/>
      <c r="CH33" s="178"/>
      <c r="CI33" s="419"/>
      <c r="CJ33" s="178"/>
      <c r="CK33" s="178"/>
      <c r="CL33" s="178"/>
      <c r="CM33" s="178"/>
      <c r="CN33" s="419"/>
      <c r="CO33" s="178"/>
      <c r="CP33" s="178"/>
      <c r="CQ33" s="178"/>
      <c r="CR33" s="178"/>
      <c r="CS33" s="419"/>
      <c r="CU33" s="691"/>
    </row>
    <row r="34" spans="1:101"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3"/>
      <c r="V34" s="193"/>
      <c r="W34" s="178"/>
      <c r="X34" s="178"/>
      <c r="Y34" s="178"/>
      <c r="Z34" s="178"/>
      <c r="AA34" s="178"/>
      <c r="AB34" s="178"/>
      <c r="AC34" s="178"/>
      <c r="AD34" s="178"/>
      <c r="AE34" s="381"/>
      <c r="AF34" s="382"/>
      <c r="AG34" s="178"/>
      <c r="AH34" s="178"/>
      <c r="AI34" s="178"/>
      <c r="AJ34" s="178"/>
      <c r="AK34" s="178"/>
      <c r="AL34" s="178"/>
      <c r="AM34" s="178"/>
      <c r="AN34" s="178"/>
      <c r="AO34" s="383"/>
      <c r="AP34" s="193"/>
      <c r="AQ34" s="178"/>
      <c r="AR34" s="178"/>
      <c r="AS34" s="178"/>
      <c r="AT34" s="178"/>
      <c r="AU34" s="178"/>
      <c r="AV34" s="178"/>
      <c r="AW34" s="178"/>
      <c r="AX34" s="178"/>
      <c r="AY34" s="381"/>
      <c r="AZ34" s="382"/>
      <c r="BA34" s="178"/>
      <c r="BB34" s="178"/>
      <c r="BC34" s="178"/>
      <c r="BD34" s="178"/>
      <c r="BE34" s="178"/>
      <c r="BF34" s="178"/>
      <c r="BG34" s="178"/>
      <c r="BH34" s="178"/>
      <c r="BI34" s="383"/>
      <c r="BJ34" s="193"/>
      <c r="BK34" s="178"/>
      <c r="BL34" s="178"/>
      <c r="BM34" s="178"/>
      <c r="BN34" s="178"/>
      <c r="BO34" s="178"/>
      <c r="BP34" s="178"/>
      <c r="BQ34" s="178"/>
      <c r="BR34" s="178"/>
      <c r="BS34" s="381"/>
      <c r="BT34" s="382"/>
      <c r="BU34" s="178"/>
      <c r="BV34" s="178"/>
      <c r="BW34" s="178"/>
      <c r="BX34" s="178"/>
      <c r="BY34" s="178"/>
      <c r="BZ34" s="178"/>
      <c r="CA34" s="178"/>
      <c r="CB34" s="178"/>
      <c r="CC34" s="383"/>
      <c r="CD34" s="193"/>
      <c r="CE34" s="178"/>
      <c r="CF34" s="178"/>
      <c r="CG34" s="178"/>
      <c r="CH34" s="178"/>
      <c r="CI34" s="419"/>
      <c r="CJ34" s="178"/>
      <c r="CK34" s="178"/>
      <c r="CL34" s="178"/>
      <c r="CM34" s="178"/>
      <c r="CN34" s="419"/>
      <c r="CO34" s="178"/>
      <c r="CP34" s="178"/>
      <c r="CQ34" s="178"/>
      <c r="CR34" s="178"/>
      <c r="CS34" s="419"/>
    </row>
    <row r="35" spans="1:101" ht="15.75" customHeight="1">
      <c r="A35" s="88" t="s">
        <v>197</v>
      </c>
      <c r="B35" s="300">
        <v>13</v>
      </c>
      <c r="C35" s="585">
        <f>SUM('Schedule 3B_Income_Eastern:Schedule 3D_Income_The Cape'!C35)</f>
        <v>56838.564825024878</v>
      </c>
      <c r="D35" s="585">
        <f>SUM('Schedule 3B_Income_Eastern:Schedule 3D_Income_The Cape'!D35)</f>
        <v>84364.598322133985</v>
      </c>
      <c r="E35" s="585">
        <f>SUM('Schedule 3B_Income_Eastern:Schedule 3D_Income_The Cape'!E35)</f>
        <v>355020.13874075538</v>
      </c>
      <c r="F35" s="585">
        <f>SUM('Schedule 3B_Income_Eastern:Schedule 3D_Income_The Cape'!F35)</f>
        <v>155232.46636558138</v>
      </c>
      <c r="G35" s="585">
        <f>SUM('Schedule 3B_Income_Eastern:Schedule 3D_Income_The Cape'!G35)</f>
        <v>341291.82481799502</v>
      </c>
      <c r="H35" s="585">
        <f>SUM('Schedule 3B_Income_Eastern:Schedule 3D_Income_The Cape'!H35)</f>
        <v>104465.49911705607</v>
      </c>
      <c r="I35" s="585">
        <f>SUM('Schedule 3B_Income_Eastern:Schedule 3D_Income_The Cape'!I35)</f>
        <v>257879.44069543935</v>
      </c>
      <c r="J35" s="585">
        <f>SUM('Schedule 3B_Income_Eastern:Schedule 3D_Income_The Cape'!J35)</f>
        <v>34735.93530738353</v>
      </c>
      <c r="K35" s="586">
        <f t="shared" ref="K35:K63" si="89">SUM(C35:J35)</f>
        <v>1389828.4681913699</v>
      </c>
      <c r="L35" s="587">
        <f>SUM('Schedule 3B_Income_Eastern:Schedule 3D_Income_The Cape'!L35)</f>
        <v>0</v>
      </c>
      <c r="M35" s="585">
        <f>SUM('Schedule 3B_Income_Eastern:Schedule 3D_Income_The Cape'!M35)</f>
        <v>968765.08126121049</v>
      </c>
      <c r="N35" s="585">
        <f>SUM('Schedule 3B_Income_Eastern:Schedule 3D_Income_The Cape'!N35)</f>
        <v>0</v>
      </c>
      <c r="O35" s="585">
        <f>SUM('Schedule 3B_Income_Eastern:Schedule 3D_Income_The Cape'!O35)</f>
        <v>2770512.4083041968</v>
      </c>
      <c r="P35" s="585">
        <f>SUM('Schedule 3B_Income_Eastern:Schedule 3D_Income_The Cape'!P35)</f>
        <v>0</v>
      </c>
      <c r="Q35" s="585">
        <f>SUM('Schedule 3B_Income_Eastern:Schedule 3D_Income_The Cape'!Q35)</f>
        <v>2585245.4702694584</v>
      </c>
      <c r="R35" s="585">
        <f>SUM('Schedule 3B_Income_Eastern:Schedule 3D_Income_The Cape'!R35)</f>
        <v>0</v>
      </c>
      <c r="S35" s="585">
        <f>SUM('Schedule 3B_Income_Eastern:Schedule 3D_Income_The Cape'!S35)</f>
        <v>1987443.9037784794</v>
      </c>
      <c r="T35" s="588">
        <f t="shared" ref="T35:T63" si="90">SUM(L35:S35)</f>
        <v>8311966.8636133457</v>
      </c>
      <c r="U35" s="589">
        <f t="shared" ref="U35:U63" si="91">SUM(T35,K35)</f>
        <v>9701795.3318047151</v>
      </c>
      <c r="V35" s="300">
        <v>13</v>
      </c>
      <c r="W35" s="585">
        <f>SUM('Schedule 3B_Income_Eastern:Schedule 3D_Income_The Cape'!W35)</f>
        <v>0</v>
      </c>
      <c r="X35" s="585">
        <f>SUM('Schedule 3B_Income_Eastern:Schedule 3D_Income_The Cape'!X35)</f>
        <v>23219.424970150209</v>
      </c>
      <c r="Y35" s="585">
        <f>SUM('Schedule 3B_Income_Eastern:Schedule 3D_Income_The Cape'!Y35)</f>
        <v>0</v>
      </c>
      <c r="Z35" s="585">
        <f>SUM('Schedule 3B_Income_Eastern:Schedule 3D_Income_The Cape'!Z35)</f>
        <v>16391.363602666639</v>
      </c>
      <c r="AA35" s="585">
        <f>SUM('Schedule 3B_Income_Eastern:Schedule 3D_Income_The Cape'!AA35)</f>
        <v>6749.1095850437396</v>
      </c>
      <c r="AB35" s="585">
        <f>SUM('Schedule 3B_Income_Eastern:Schedule 3D_Income_The Cape'!AB35)</f>
        <v>9975.4541760786888</v>
      </c>
      <c r="AC35" s="585">
        <f>SUM('Schedule 3B_Income_Eastern:Schedule 3D_Income_The Cape'!AC35)</f>
        <v>60902.425352318802</v>
      </c>
      <c r="AD35" s="585">
        <f>SUM('Schedule 3B_Income_Eastern:Schedule 3D_Income_The Cape'!AD35)</f>
        <v>6837.1227906700378</v>
      </c>
      <c r="AE35" s="586">
        <f t="shared" ref="AE35:AE63" si="92">SUM(W35:AD35)</f>
        <v>124074.90047692812</v>
      </c>
      <c r="AF35" s="587">
        <f>SUM('Schedule 3B_Income_Eastern:Schedule 3D_Income_The Cape'!AF35)</f>
        <v>0</v>
      </c>
      <c r="AG35" s="585">
        <f>SUM('Schedule 3B_Income_Eastern:Schedule 3D_Income_The Cape'!AG35)</f>
        <v>364302.01938117773</v>
      </c>
      <c r="AH35" s="585">
        <f>SUM('Schedule 3B_Income_Eastern:Schedule 3D_Income_The Cape'!AH35)</f>
        <v>0</v>
      </c>
      <c r="AI35" s="585">
        <f>SUM('Schedule 3B_Income_Eastern:Schedule 3D_Income_The Cape'!AI35)</f>
        <v>360801.4780983692</v>
      </c>
      <c r="AJ35" s="585">
        <f>SUM('Schedule 3B_Income_Eastern:Schedule 3D_Income_The Cape'!AJ35)</f>
        <v>0</v>
      </c>
      <c r="AK35" s="585">
        <f>SUM('Schedule 3B_Income_Eastern:Schedule 3D_Income_The Cape'!AK35)</f>
        <v>287706.08797516546</v>
      </c>
      <c r="AL35" s="585">
        <f>SUM('Schedule 3B_Income_Eastern:Schedule 3D_Income_The Cape'!AL35)</f>
        <v>0</v>
      </c>
      <c r="AM35" s="585">
        <f>SUM('Schedule 3B_Income_Eastern:Schedule 3D_Income_The Cape'!AM35)</f>
        <v>395425.85982678819</v>
      </c>
      <c r="AN35" s="588">
        <f t="shared" ref="AN35:AN63" si="93">SUM(AF35:AM35)</f>
        <v>1408235.4452815005</v>
      </c>
      <c r="AO35" s="589">
        <f t="shared" ref="AO35:AO63" si="94">SUM(AN35,AE35)</f>
        <v>1532310.3457584286</v>
      </c>
      <c r="AP35" s="300">
        <v>13</v>
      </c>
      <c r="AQ35" s="585">
        <f>SUM('Schedule 3B_Income_Eastern:Schedule 3D_Income_The Cape'!AQ35)</f>
        <v>2140755.1295895134</v>
      </c>
      <c r="AR35" s="585">
        <f>SUM('Schedule 3B_Income_Eastern:Schedule 3D_Income_The Cape'!AR35)</f>
        <v>734888.23141497455</v>
      </c>
      <c r="AS35" s="585">
        <f>SUM('Schedule 3B_Income_Eastern:Schedule 3D_Income_The Cape'!AS35)</f>
        <v>967676.6908829785</v>
      </c>
      <c r="AT35" s="585">
        <f>SUM('Schedule 3B_Income_Eastern:Schedule 3D_Income_The Cape'!AT35)</f>
        <v>691663.00133560412</v>
      </c>
      <c r="AU35" s="585">
        <f>SUM('Schedule 3B_Income_Eastern:Schedule 3D_Income_The Cape'!AU35)</f>
        <v>1310356.1407004879</v>
      </c>
      <c r="AV35" s="585">
        <f>SUM('Schedule 3B_Income_Eastern:Schedule 3D_Income_The Cape'!AV35)</f>
        <v>545271.17787657178</v>
      </c>
      <c r="AW35" s="585">
        <f>SUM('Schedule 3B_Income_Eastern:Schedule 3D_Income_The Cape'!AW35)</f>
        <v>2328184.2689436711</v>
      </c>
      <c r="AX35" s="585">
        <f>SUM('Schedule 3B_Income_Eastern:Schedule 3D_Income_The Cape'!AX35)</f>
        <v>460209.21726748394</v>
      </c>
      <c r="AY35" s="586">
        <f t="shared" ref="AY35:AY63" si="95">SUM(AQ35:AX35)</f>
        <v>9179003.8580112867</v>
      </c>
      <c r="AZ35" s="587">
        <f>SUM('Schedule 3B_Income_Eastern:Schedule 3D_Income_The Cape'!AZ35)</f>
        <v>0</v>
      </c>
      <c r="BA35" s="585">
        <f>SUM('Schedule 3B_Income_Eastern:Schedule 3D_Income_The Cape'!BA35)</f>
        <v>10213837.16657912</v>
      </c>
      <c r="BB35" s="585">
        <f>SUM('Schedule 3B_Income_Eastern:Schedule 3D_Income_The Cape'!BB35)</f>
        <v>0</v>
      </c>
      <c r="BC35" s="585">
        <f>SUM('Schedule 3B_Income_Eastern:Schedule 3D_Income_The Cape'!BC35)</f>
        <v>9142768.5047211163</v>
      </c>
      <c r="BD35" s="585">
        <f>SUM('Schedule 3B_Income_Eastern:Schedule 3D_Income_The Cape'!BD35)</f>
        <v>0</v>
      </c>
      <c r="BE35" s="585">
        <f>SUM('Schedule 3B_Income_Eastern:Schedule 3D_Income_The Cape'!BE35)</f>
        <v>10126923.490607137</v>
      </c>
      <c r="BF35" s="585">
        <f>SUM('Schedule 3B_Income_Eastern:Schedule 3D_Income_The Cape'!BF35)</f>
        <v>0</v>
      </c>
      <c r="BG35" s="585">
        <f>SUM('Schedule 3B_Income_Eastern:Schedule 3D_Income_The Cape'!BG35)</f>
        <v>11058175.322702011</v>
      </c>
      <c r="BH35" s="588">
        <f t="shared" ref="BH35:BH63" si="96">SUM(AZ35:BG35)</f>
        <v>40541704.484609388</v>
      </c>
      <c r="BI35" s="589">
        <f t="shared" ref="BI35:BI63" si="97">SUM(BH35,AY35)</f>
        <v>49720708.342620671</v>
      </c>
      <c r="BJ35" s="300">
        <v>13</v>
      </c>
      <c r="BK35" s="585">
        <f>SUM('Schedule 3B_Income_Eastern:Schedule 3D_Income_The Cape'!BK35)</f>
        <v>74800.604495104781</v>
      </c>
      <c r="BL35" s="585">
        <f>SUM('Schedule 3B_Income_Eastern:Schedule 3D_Income_The Cape'!BL35)</f>
        <v>55439.030707581347</v>
      </c>
      <c r="BM35" s="585">
        <f>SUM('Schedule 3B_Income_Eastern:Schedule 3D_Income_The Cape'!BM35)</f>
        <v>48701.81234233328</v>
      </c>
      <c r="BN35" s="585">
        <f>SUM('Schedule 3B_Income_Eastern:Schedule 3D_Income_The Cape'!BN35)</f>
        <v>36549.540890826713</v>
      </c>
      <c r="BO35" s="585">
        <f>SUM('Schedule 3B_Income_Eastern:Schedule 3D_Income_The Cape'!BO35)</f>
        <v>8366.0733160922682</v>
      </c>
      <c r="BP35" s="585">
        <f>SUM('Schedule 3B_Income_Eastern:Schedule 3D_Income_The Cape'!BP35)</f>
        <v>20913.163553545903</v>
      </c>
      <c r="BQ35" s="585">
        <f>SUM('Schedule 3B_Income_Eastern:Schedule 3D_Income_The Cape'!BQ35)</f>
        <v>64784.084513144429</v>
      </c>
      <c r="BR35" s="585">
        <f>SUM('Schedule 3B_Income_Eastern:Schedule 3D_Income_The Cape'!BR35)</f>
        <v>14730.501453642577</v>
      </c>
      <c r="BS35" s="586">
        <f t="shared" ref="BS35:BS63" si="98">SUM(BK35:BR35)</f>
        <v>324284.81127227127</v>
      </c>
      <c r="BT35" s="587">
        <f>SUM('Schedule 3B_Income_Eastern:Schedule 3D_Income_The Cape'!BT35)</f>
        <v>0</v>
      </c>
      <c r="BU35" s="585">
        <f>SUM('Schedule 3B_Income_Eastern:Schedule 3D_Income_The Cape'!BU35)</f>
        <v>747788.99751077115</v>
      </c>
      <c r="BV35" s="585">
        <f>SUM('Schedule 3B_Income_Eastern:Schedule 3D_Income_The Cape'!BV35)</f>
        <v>0</v>
      </c>
      <c r="BW35" s="585">
        <f>SUM('Schedule 3B_Income_Eastern:Schedule 3D_Income_The Cape'!BW35)</f>
        <v>754875.56862107699</v>
      </c>
      <c r="BX35" s="585">
        <f>SUM('Schedule 3B_Income_Eastern:Schedule 3D_Income_The Cape'!BX35)</f>
        <v>0</v>
      </c>
      <c r="BY35" s="585">
        <f>SUM('Schedule 3B_Income_Eastern:Schedule 3D_Income_The Cape'!BY35)</f>
        <v>740526.17296171095</v>
      </c>
      <c r="BZ35" s="585">
        <f>SUM('Schedule 3B_Income_Eastern:Schedule 3D_Income_The Cape'!BZ35)</f>
        <v>0</v>
      </c>
      <c r="CA35" s="585">
        <f>SUM('Schedule 3B_Income_Eastern:Schedule 3D_Income_The Cape'!CA35)</f>
        <v>990912.68585245369</v>
      </c>
      <c r="CB35" s="588">
        <f t="shared" ref="CB35:CB63" si="99">SUM(BT35:CA35)</f>
        <v>3234103.4249460124</v>
      </c>
      <c r="CC35" s="589">
        <f t="shared" ref="CC35:CC63" si="100">SUM(CB35,BS35)</f>
        <v>3558388.2362182839</v>
      </c>
      <c r="CD35" s="300">
        <v>13</v>
      </c>
      <c r="CE35" s="414">
        <f t="shared" ref="CE35:CE64" si="101">+C35+D35+W35+X35+AQ35+AR35+BK35+BL35</f>
        <v>3170305.5843244833</v>
      </c>
      <c r="CF35" s="414">
        <f t="shared" ref="CF35:CF64" si="102">+E35+F35+Y35+Z35+AS35+AT35+BM35+BN35</f>
        <v>2271235.0141607462</v>
      </c>
      <c r="CG35" s="414">
        <f t="shared" ref="CG35:CG64" si="103">+G35+H35+AA35+AB35+AU35+AV35+BO35+BP35</f>
        <v>2347388.4431428709</v>
      </c>
      <c r="CH35" s="414">
        <f t="shared" ref="CH35:CH64" si="104">+I35+J35+AC35+AD35+AW35+AX35+BQ35+BR35</f>
        <v>3228262.9963237541</v>
      </c>
      <c r="CI35" s="416">
        <f t="shared" ref="CI35:CI64" si="105">SUM(K35,AE35,AY35,BS35)</f>
        <v>11017192.037951855</v>
      </c>
      <c r="CJ35" s="414">
        <f t="shared" ref="CJ35:CJ64" si="106">L35+M35+AF35+AG35+AZ35+BA35+BT35+BU35</f>
        <v>12294693.264732279</v>
      </c>
      <c r="CK35" s="414">
        <f t="shared" ref="CK35:CK64" si="107">N35+O35+AH35+AI35+BB35+BC35+BV35+BW35</f>
        <v>13028957.959744759</v>
      </c>
      <c r="CL35" s="414">
        <f t="shared" ref="CL35:CL64" si="108">P35+Q35+AJ35+AK35+BD35+BE35+BX35+BY35</f>
        <v>13740401.22181347</v>
      </c>
      <c r="CM35" s="414">
        <f t="shared" ref="CM35:CM64" si="109">+R35+S35+AL35+AM35+BF35+BG35+BZ35+CA35</f>
        <v>14431957.772159733</v>
      </c>
      <c r="CN35" s="416">
        <f t="shared" ref="CN35:CN64" si="110">SUM(T35,AN35,BH35,CB35)</f>
        <v>53496010.218450248</v>
      </c>
      <c r="CO35" s="414">
        <f t="shared" ref="CO35:CO64" si="111">+C35+D35+L35+M35+W35+X35+AF35+AG35+AQ35+AR35+AZ35+BA35+BK35+BL35+BT35+BU35</f>
        <v>15464998.849056762</v>
      </c>
      <c r="CP35" s="414">
        <f t="shared" ref="CP35:CP64" si="112">+E35+F35+N35+O35+Y35+Z35+AH35+AI35+AS35+AT35+BB35+BC35+BM35+BN35+BV35+BW35</f>
        <v>15300192.973905504</v>
      </c>
      <c r="CQ35" s="414">
        <f t="shared" ref="CQ35:CQ64" si="113">+G35+H35+P35+Q35+AA35+AB35+AJ35+AK35+AU35+AV35+BD35+BE35+BO35+BP35+BX35+BY35</f>
        <v>16087789.664956342</v>
      </c>
      <c r="CR35" s="414">
        <f t="shared" ref="CR35:CR64" si="114">+I35+J35+R35+S35+AC35+AD35+AL35+AM35+AW35+AX35+BF35+BG35+BQ35+BR35+BZ35+CA35</f>
        <v>17660220.768483486</v>
      </c>
      <c r="CS35" s="416">
        <f t="shared" ref="CS35:CS64" si="115">SUM(CC35,BI35,AO35,U35)</f>
        <v>64513202.256402098</v>
      </c>
      <c r="CU35" s="319"/>
      <c r="CV35" s="691"/>
      <c r="CW35" s="689"/>
    </row>
    <row r="36" spans="1:101" ht="15.75" customHeight="1">
      <c r="A36" s="88" t="s">
        <v>199</v>
      </c>
      <c r="B36" s="300">
        <v>14</v>
      </c>
      <c r="C36" s="585">
        <f>SUM('Schedule 3B_Income_Eastern:Schedule 3D_Income_The Cape'!C36)</f>
        <v>0</v>
      </c>
      <c r="D36" s="585">
        <f>SUM('Schedule 3B_Income_Eastern:Schedule 3D_Income_The Cape'!D36)</f>
        <v>6829.2426382794738</v>
      </c>
      <c r="E36" s="585">
        <f>SUM('Schedule 3B_Income_Eastern:Schedule 3D_Income_The Cape'!E36)</f>
        <v>30143.215447551003</v>
      </c>
      <c r="F36" s="585">
        <f>SUM('Schedule 3B_Income_Eastern:Schedule 3D_Income_The Cape'!F36)</f>
        <v>9821.2898163137852</v>
      </c>
      <c r="G36" s="585">
        <f>SUM('Schedule 3B_Income_Eastern:Schedule 3D_Income_The Cape'!G36)</f>
        <v>9760.5825400010654</v>
      </c>
      <c r="H36" s="585">
        <f>SUM('Schedule 3B_Income_Eastern:Schedule 3D_Income_The Cape'!H36)</f>
        <v>3304.4714481594801</v>
      </c>
      <c r="I36" s="585">
        <f>SUM('Schedule 3B_Income_Eastern:Schedule 3D_Income_The Cape'!I36)</f>
        <v>0</v>
      </c>
      <c r="J36" s="585">
        <f>SUM('Schedule 3B_Income_Eastern:Schedule 3D_Income_The Cape'!J36)</f>
        <v>0</v>
      </c>
      <c r="K36" s="586">
        <f t="shared" si="89"/>
        <v>59858.801890304807</v>
      </c>
      <c r="L36" s="587">
        <f>SUM('Schedule 3B_Income_Eastern:Schedule 3D_Income_The Cape'!L36)</f>
        <v>0</v>
      </c>
      <c r="M36" s="585">
        <f>SUM('Schedule 3B_Income_Eastern:Schedule 3D_Income_The Cape'!M36)</f>
        <v>141856.56487128927</v>
      </c>
      <c r="N36" s="585">
        <f>SUM('Schedule 3B_Income_Eastern:Schedule 3D_Income_The Cape'!N36)</f>
        <v>0</v>
      </c>
      <c r="O36" s="585">
        <f>SUM('Schedule 3B_Income_Eastern:Schedule 3D_Income_The Cape'!O36)</f>
        <v>152020.92344985117</v>
      </c>
      <c r="P36" s="585">
        <f>SUM('Schedule 3B_Income_Eastern:Schedule 3D_Income_The Cape'!P36)</f>
        <v>0</v>
      </c>
      <c r="Q36" s="585">
        <f>SUM('Schedule 3B_Income_Eastern:Schedule 3D_Income_The Cape'!Q36)</f>
        <v>88303.234541267666</v>
      </c>
      <c r="R36" s="585">
        <f>SUM('Schedule 3B_Income_Eastern:Schedule 3D_Income_The Cape'!R36)</f>
        <v>0</v>
      </c>
      <c r="S36" s="585">
        <f>SUM('Schedule 3B_Income_Eastern:Schedule 3D_Income_The Cape'!S36)</f>
        <v>49681.872641170397</v>
      </c>
      <c r="T36" s="588">
        <f t="shared" si="90"/>
        <v>431862.59550357849</v>
      </c>
      <c r="U36" s="589">
        <f t="shared" si="91"/>
        <v>491721.39739388332</v>
      </c>
      <c r="V36" s="300">
        <v>14</v>
      </c>
      <c r="W36" s="585">
        <f>SUM('Schedule 3B_Income_Eastern:Schedule 3D_Income_The Cape'!W36)</f>
        <v>0</v>
      </c>
      <c r="X36" s="585">
        <f>SUM('Schedule 3B_Income_Eastern:Schedule 3D_Income_The Cape'!X36)</f>
        <v>4365.9087834162028</v>
      </c>
      <c r="Y36" s="585">
        <f>SUM('Schedule 3B_Income_Eastern:Schedule 3D_Income_The Cape'!Y36)</f>
        <v>1709.367809972334</v>
      </c>
      <c r="Z36" s="585">
        <f>SUM('Schedule 3B_Income_Eastern:Schedule 3D_Income_The Cape'!Z36)</f>
        <v>3273.7632721045952</v>
      </c>
      <c r="AA36" s="585">
        <f>SUM('Schedule 3B_Income_Eastern:Schedule 3D_Income_The Cape'!AA36)</f>
        <v>0</v>
      </c>
      <c r="AB36" s="585">
        <f>SUM('Schedule 3B_Income_Eastern:Schedule 3D_Income_The Cape'!AB36)</f>
        <v>0</v>
      </c>
      <c r="AC36" s="585">
        <f>SUM('Schedule 3B_Income_Eastern:Schedule 3D_Income_The Cape'!AC36)</f>
        <v>11780.505008382614</v>
      </c>
      <c r="AD36" s="585">
        <f>SUM('Schedule 3B_Income_Eastern:Schedule 3D_Income_The Cape'!AD36)</f>
        <v>0</v>
      </c>
      <c r="AE36" s="586">
        <f t="shared" si="92"/>
        <v>21129.544873875748</v>
      </c>
      <c r="AF36" s="587">
        <f>SUM('Schedule 3B_Income_Eastern:Schedule 3D_Income_The Cape'!AF36)</f>
        <v>0</v>
      </c>
      <c r="AG36" s="585">
        <f>SUM('Schedule 3B_Income_Eastern:Schedule 3D_Income_The Cape'!AG36)</f>
        <v>151545.70257338838</v>
      </c>
      <c r="AH36" s="585">
        <f>SUM('Schedule 3B_Income_Eastern:Schedule 3D_Income_The Cape'!AH36)</f>
        <v>0</v>
      </c>
      <c r="AI36" s="585">
        <f>SUM('Schedule 3B_Income_Eastern:Schedule 3D_Income_The Cape'!AI36)</f>
        <v>98550.194892842876</v>
      </c>
      <c r="AJ36" s="585">
        <f>SUM('Schedule 3B_Income_Eastern:Schedule 3D_Income_The Cape'!AJ36)</f>
        <v>0</v>
      </c>
      <c r="AK36" s="585">
        <f>SUM('Schedule 3B_Income_Eastern:Schedule 3D_Income_The Cape'!AK36)</f>
        <v>15104.194288567023</v>
      </c>
      <c r="AL36" s="585">
        <f>SUM('Schedule 3B_Income_Eastern:Schedule 3D_Income_The Cape'!AL36)</f>
        <v>0</v>
      </c>
      <c r="AM36" s="585">
        <f>SUM('Schedule 3B_Income_Eastern:Schedule 3D_Income_The Cape'!AM36)</f>
        <v>46816.154974659381</v>
      </c>
      <c r="AN36" s="588">
        <f t="shared" si="93"/>
        <v>312016.24672945763</v>
      </c>
      <c r="AO36" s="589">
        <f t="shared" si="94"/>
        <v>333145.79160333337</v>
      </c>
      <c r="AP36" s="300">
        <v>14</v>
      </c>
      <c r="AQ36" s="585">
        <f>SUM('Schedule 3B_Income_Eastern:Schedule 3D_Income_The Cape'!AQ36)</f>
        <v>0</v>
      </c>
      <c r="AR36" s="585">
        <f>SUM('Schedule 3B_Income_Eastern:Schedule 3D_Income_The Cape'!AR36)</f>
        <v>19658.605788079563</v>
      </c>
      <c r="AS36" s="585">
        <f>SUM('Schedule 3B_Income_Eastern:Schedule 3D_Income_The Cape'!AS36)</f>
        <v>0</v>
      </c>
      <c r="AT36" s="585">
        <f>SUM('Schedule 3B_Income_Eastern:Schedule 3D_Income_The Cape'!AT36)</f>
        <v>24388.854343164214</v>
      </c>
      <c r="AU36" s="585">
        <f>SUM('Schedule 3B_Income_Eastern:Schedule 3D_Income_The Cape'!AU36)</f>
        <v>10794.647226627932</v>
      </c>
      <c r="AV36" s="585">
        <f>SUM('Schedule 3B_Income_Eastern:Schedule 3D_Income_The Cape'!AV36)</f>
        <v>11565.650068558181</v>
      </c>
      <c r="AW36" s="585">
        <f>SUM('Schedule 3B_Income_Eastern:Schedule 3D_Income_The Cape'!AW36)</f>
        <v>14692.273055686166</v>
      </c>
      <c r="AX36" s="585">
        <f>SUM('Schedule 3B_Income_Eastern:Schedule 3D_Income_The Cape'!AX36)</f>
        <v>7738.8940410938894</v>
      </c>
      <c r="AY36" s="586">
        <f t="shared" si="95"/>
        <v>88838.924523209949</v>
      </c>
      <c r="AZ36" s="587">
        <f>SUM('Schedule 3B_Income_Eastern:Schedule 3D_Income_The Cape'!AZ36)</f>
        <v>0</v>
      </c>
      <c r="BA36" s="585">
        <f>SUM('Schedule 3B_Income_Eastern:Schedule 3D_Income_The Cape'!BA36)</f>
        <v>286947.6874894487</v>
      </c>
      <c r="BB36" s="585">
        <f>SUM('Schedule 3B_Income_Eastern:Schedule 3D_Income_The Cape'!BB36)</f>
        <v>0</v>
      </c>
      <c r="BC36" s="585">
        <f>SUM('Schedule 3B_Income_Eastern:Schedule 3D_Income_The Cape'!BC36)</f>
        <v>247038.66234594866</v>
      </c>
      <c r="BD36" s="585">
        <f>SUM('Schedule 3B_Income_Eastern:Schedule 3D_Income_The Cape'!BD36)</f>
        <v>0</v>
      </c>
      <c r="BE36" s="585">
        <f>SUM('Schedule 3B_Income_Eastern:Schedule 3D_Income_The Cape'!BE36)</f>
        <v>271199.17504874308</v>
      </c>
      <c r="BF36" s="585">
        <f>SUM('Schedule 3B_Income_Eastern:Schedule 3D_Income_The Cape'!BF36)</f>
        <v>0</v>
      </c>
      <c r="BG36" s="585">
        <f>SUM('Schedule 3B_Income_Eastern:Schedule 3D_Income_The Cape'!BG36)</f>
        <v>319775.05181802809</v>
      </c>
      <c r="BH36" s="588">
        <f t="shared" si="96"/>
        <v>1124960.5767021684</v>
      </c>
      <c r="BI36" s="589">
        <f t="shared" si="97"/>
        <v>1213799.5012253784</v>
      </c>
      <c r="BJ36" s="300">
        <v>14</v>
      </c>
      <c r="BK36" s="585">
        <f>SUM('Schedule 3B_Income_Eastern:Schedule 3D_Income_The Cape'!BK36)</f>
        <v>0</v>
      </c>
      <c r="BL36" s="585">
        <f>SUM('Schedule 3B_Income_Eastern:Schedule 3D_Income_The Cape'!BL36)</f>
        <v>1365.8485276558947</v>
      </c>
      <c r="BM36" s="585">
        <f>SUM('Schedule 3B_Income_Eastern:Schedule 3D_Income_The Cape'!BM36)</f>
        <v>0</v>
      </c>
      <c r="BN36" s="585">
        <f>SUM('Schedule 3B_Income_Eastern:Schedule 3D_Income_The Cape'!BN36)</f>
        <v>3273.7632721045952</v>
      </c>
      <c r="BO36" s="585">
        <f>SUM('Schedule 3B_Income_Eastern:Schedule 3D_Income_The Cape'!BO36)</f>
        <v>0</v>
      </c>
      <c r="BP36" s="585">
        <f>SUM('Schedule 3B_Income_Eastern:Schedule 3D_Income_The Cape'!BP36)</f>
        <v>1652.2357240797401</v>
      </c>
      <c r="BQ36" s="585">
        <f>SUM('Schedule 3B_Income_Eastern:Schedule 3D_Income_The Cape'!BQ36)</f>
        <v>12589.030388393881</v>
      </c>
      <c r="BR36" s="585">
        <f>SUM('Schedule 3B_Income_Eastern:Schedule 3D_Income_The Cape'!BR36)</f>
        <v>0</v>
      </c>
      <c r="BS36" s="586">
        <f t="shared" si="98"/>
        <v>18880.877912234111</v>
      </c>
      <c r="BT36" s="587">
        <f>SUM('Schedule 3B_Income_Eastern:Schedule 3D_Income_The Cape'!BT36)</f>
        <v>0</v>
      </c>
      <c r="BU36" s="585">
        <f>SUM('Schedule 3B_Income_Eastern:Schedule 3D_Income_The Cape'!BU36)</f>
        <v>12072.805846764257</v>
      </c>
      <c r="BV36" s="585">
        <f>SUM('Schedule 3B_Income_Eastern:Schedule 3D_Income_The Cape'!BV36)</f>
        <v>0</v>
      </c>
      <c r="BW36" s="585">
        <f>SUM('Schedule 3B_Income_Eastern:Schedule 3D_Income_The Cape'!BW36)</f>
        <v>27341.415533891435</v>
      </c>
      <c r="BX36" s="585">
        <f>SUM('Schedule 3B_Income_Eastern:Schedule 3D_Income_The Cape'!BX36)</f>
        <v>0</v>
      </c>
      <c r="BY36" s="585">
        <f>SUM('Schedule 3B_Income_Eastern:Schedule 3D_Income_The Cape'!BY36)</f>
        <v>32164.017781014598</v>
      </c>
      <c r="BZ36" s="585">
        <f>SUM('Schedule 3B_Income_Eastern:Schedule 3D_Income_The Cape'!BZ36)</f>
        <v>0</v>
      </c>
      <c r="CA36" s="585">
        <f>SUM('Schedule 3B_Income_Eastern:Schedule 3D_Income_The Cape'!CA36)</f>
        <v>0</v>
      </c>
      <c r="CB36" s="588">
        <f t="shared" si="99"/>
        <v>71578.239161670295</v>
      </c>
      <c r="CC36" s="589">
        <f t="shared" si="100"/>
        <v>90459.117073904403</v>
      </c>
      <c r="CD36" s="300">
        <v>14</v>
      </c>
      <c r="CE36" s="414">
        <f t="shared" si="101"/>
        <v>32219.605737431135</v>
      </c>
      <c r="CF36" s="414">
        <f t="shared" si="102"/>
        <v>72610.253961210532</v>
      </c>
      <c r="CG36" s="414">
        <f t="shared" si="103"/>
        <v>37077.587007426402</v>
      </c>
      <c r="CH36" s="414">
        <f t="shared" si="104"/>
        <v>46800.70249355655</v>
      </c>
      <c r="CI36" s="416">
        <f t="shared" si="105"/>
        <v>188708.1491996246</v>
      </c>
      <c r="CJ36" s="414">
        <f t="shared" si="106"/>
        <v>592422.76078089059</v>
      </c>
      <c r="CK36" s="414">
        <f t="shared" si="107"/>
        <v>524951.19622253417</v>
      </c>
      <c r="CL36" s="414">
        <f t="shared" si="108"/>
        <v>406770.62165959238</v>
      </c>
      <c r="CM36" s="414">
        <f t="shared" si="109"/>
        <v>416273.07943385787</v>
      </c>
      <c r="CN36" s="416">
        <f t="shared" si="110"/>
        <v>1940417.6580968748</v>
      </c>
      <c r="CO36" s="414">
        <f t="shared" si="111"/>
        <v>624642.3665183218</v>
      </c>
      <c r="CP36" s="414">
        <f t="shared" si="112"/>
        <v>597561.45018374454</v>
      </c>
      <c r="CQ36" s="414">
        <f t="shared" si="113"/>
        <v>443848.2086670188</v>
      </c>
      <c r="CR36" s="414">
        <f t="shared" si="114"/>
        <v>463073.78192741447</v>
      </c>
      <c r="CS36" s="416">
        <f t="shared" si="115"/>
        <v>2129125.8072964996</v>
      </c>
    </row>
    <row r="37" spans="1:101" ht="15.75" customHeight="1">
      <c r="A37" s="88" t="s">
        <v>200</v>
      </c>
      <c r="B37" s="300">
        <v>15</v>
      </c>
      <c r="C37" s="585">
        <f>SUM('Schedule 3B_Income_Eastern:Schedule 3D_Income_The Cape'!C37)</f>
        <v>183205.98941114976</v>
      </c>
      <c r="D37" s="585">
        <f>SUM('Schedule 3B_Income_Eastern:Schedule 3D_Income_The Cape'!D37)</f>
        <v>288090.86970650405</v>
      </c>
      <c r="E37" s="585">
        <f>SUM('Schedule 3B_Income_Eastern:Schedule 3D_Income_The Cape'!E37)</f>
        <v>397623.35336944374</v>
      </c>
      <c r="F37" s="585">
        <f>SUM('Schedule 3B_Income_Eastern:Schedule 3D_Income_The Cape'!F37)</f>
        <v>243988.30093625103</v>
      </c>
      <c r="G37" s="585">
        <f>SUM('Schedule 3B_Income_Eastern:Schedule 3D_Income_The Cape'!G37)</f>
        <v>339089.38042420615</v>
      </c>
      <c r="H37" s="585">
        <f>SUM('Schedule 3B_Income_Eastern:Schedule 3D_Income_The Cape'!H37)</f>
        <v>330408.48128512519</v>
      </c>
      <c r="I37" s="585">
        <f>SUM('Schedule 3B_Income_Eastern:Schedule 3D_Income_The Cape'!I37)</f>
        <v>299054.65114287031</v>
      </c>
      <c r="J37" s="585">
        <f>SUM('Schedule 3B_Income_Eastern:Schedule 3D_Income_The Cape'!J37)</f>
        <v>79165.901083289762</v>
      </c>
      <c r="K37" s="586">
        <f t="shared" si="89"/>
        <v>2160626.9273588401</v>
      </c>
      <c r="L37" s="587">
        <f>SUM('Schedule 3B_Income_Eastern:Schedule 3D_Income_The Cape'!L37)</f>
        <v>0</v>
      </c>
      <c r="M37" s="585">
        <f>SUM('Schedule 3B_Income_Eastern:Schedule 3D_Income_The Cape'!M37)</f>
        <v>1009062.6794514672</v>
      </c>
      <c r="N37" s="585">
        <f>SUM('Schedule 3B_Income_Eastern:Schedule 3D_Income_The Cape'!N37)</f>
        <v>0</v>
      </c>
      <c r="O37" s="585">
        <f>SUM('Schedule 3B_Income_Eastern:Schedule 3D_Income_The Cape'!O37)</f>
        <v>2056404.0161195137</v>
      </c>
      <c r="P37" s="585">
        <f>SUM('Schedule 3B_Income_Eastern:Schedule 3D_Income_The Cape'!P37)</f>
        <v>0</v>
      </c>
      <c r="Q37" s="585">
        <f>SUM('Schedule 3B_Income_Eastern:Schedule 3D_Income_The Cape'!Q37)</f>
        <v>1772047.3469301658</v>
      </c>
      <c r="R37" s="585">
        <f>SUM('Schedule 3B_Income_Eastern:Schedule 3D_Income_The Cape'!R37)</f>
        <v>0</v>
      </c>
      <c r="S37" s="585">
        <f>SUM('Schedule 3B_Income_Eastern:Schedule 3D_Income_The Cape'!S37)</f>
        <v>1692508.5763547826</v>
      </c>
      <c r="T37" s="588">
        <f t="shared" si="90"/>
        <v>6530022.618855929</v>
      </c>
      <c r="U37" s="589">
        <f t="shared" si="91"/>
        <v>8690649.5462147687</v>
      </c>
      <c r="V37" s="300">
        <v>15</v>
      </c>
      <c r="W37" s="585">
        <f>SUM('Schedule 3B_Income_Eastern:Schedule 3D_Income_The Cape'!W37)</f>
        <v>15180.605300714826</v>
      </c>
      <c r="X37" s="585">
        <f>SUM('Schedule 3B_Income_Eastern:Schedule 3D_Income_The Cape'!X37)</f>
        <v>94122.374412412435</v>
      </c>
      <c r="Y37" s="585">
        <f>SUM('Schedule 3B_Income_Eastern:Schedule 3D_Income_The Cape'!Y37)</f>
        <v>3230.985697485949</v>
      </c>
      <c r="Z37" s="585">
        <f>SUM('Schedule 3B_Income_Eastern:Schedule 3D_Income_The Cape'!Z37)</f>
        <v>27676.278355393224</v>
      </c>
      <c r="AA37" s="585">
        <f>SUM('Schedule 3B_Income_Eastern:Schedule 3D_Income_The Cape'!AA37)</f>
        <v>24453.756899945041</v>
      </c>
      <c r="AB37" s="585">
        <f>SUM('Schedule 3B_Income_Eastern:Schedule 3D_Income_The Cape'!AB37)</f>
        <v>53010.586096008257</v>
      </c>
      <c r="AC37" s="585">
        <f>SUM('Schedule 3B_Income_Eastern:Schedule 3D_Income_The Cape'!AC37)</f>
        <v>33286.324930410083</v>
      </c>
      <c r="AD37" s="585">
        <f>SUM('Schedule 3B_Income_Eastern:Schedule 3D_Income_The Cape'!AD37)</f>
        <v>14159.390135241159</v>
      </c>
      <c r="AE37" s="586">
        <f t="shared" si="92"/>
        <v>265120.30182761094</v>
      </c>
      <c r="AF37" s="587">
        <f>SUM('Schedule 3B_Income_Eastern:Schedule 3D_Income_The Cape'!AF37)</f>
        <v>0</v>
      </c>
      <c r="AG37" s="585">
        <f>SUM('Schedule 3B_Income_Eastern:Schedule 3D_Income_The Cape'!AG37)</f>
        <v>352843.48018634564</v>
      </c>
      <c r="AH37" s="585">
        <f>SUM('Schedule 3B_Income_Eastern:Schedule 3D_Income_The Cape'!AH37)</f>
        <v>0</v>
      </c>
      <c r="AI37" s="585">
        <f>SUM('Schedule 3B_Income_Eastern:Schedule 3D_Income_The Cape'!AI37)</f>
        <v>315173.09940347227</v>
      </c>
      <c r="AJ37" s="585">
        <f>SUM('Schedule 3B_Income_Eastern:Schedule 3D_Income_The Cape'!AJ37)</f>
        <v>0</v>
      </c>
      <c r="AK37" s="585">
        <f>SUM('Schedule 3B_Income_Eastern:Schedule 3D_Income_The Cape'!AK37)</f>
        <v>351688.13234500063</v>
      </c>
      <c r="AL37" s="585">
        <f>SUM('Schedule 3B_Income_Eastern:Schedule 3D_Income_The Cape'!AL37)</f>
        <v>0</v>
      </c>
      <c r="AM37" s="585">
        <f>SUM('Schedule 3B_Income_Eastern:Schedule 3D_Income_The Cape'!AM37)</f>
        <v>395985.85369793978</v>
      </c>
      <c r="AN37" s="588">
        <f t="shared" si="93"/>
        <v>1415690.5656327582</v>
      </c>
      <c r="AO37" s="589">
        <f t="shared" si="94"/>
        <v>1680810.8674603691</v>
      </c>
      <c r="AP37" s="300">
        <v>15</v>
      </c>
      <c r="AQ37" s="585">
        <f>SUM('Schedule 3B_Income_Eastern:Schedule 3D_Income_The Cape'!AQ37)</f>
        <v>1337991.0055249212</v>
      </c>
      <c r="AR37" s="585">
        <f>SUM('Schedule 3B_Income_Eastern:Schedule 3D_Income_The Cape'!AR37)</f>
        <v>1532421.646282705</v>
      </c>
      <c r="AS37" s="585">
        <f>SUM('Schedule 3B_Income_Eastern:Schedule 3D_Income_The Cape'!AS37)</f>
        <v>1609679.1607091925</v>
      </c>
      <c r="AT37" s="585">
        <f>SUM('Schedule 3B_Income_Eastern:Schedule 3D_Income_The Cape'!AT37)</f>
        <v>1311775.5092103987</v>
      </c>
      <c r="AU37" s="585">
        <f>SUM('Schedule 3B_Income_Eastern:Schedule 3D_Income_The Cape'!AU37)</f>
        <v>1639611.3472766145</v>
      </c>
      <c r="AV37" s="585">
        <f>SUM('Schedule 3B_Income_Eastern:Schedule 3D_Income_The Cape'!AV37)</f>
        <v>1342900.5577998711</v>
      </c>
      <c r="AW37" s="585">
        <f>SUM('Schedule 3B_Income_Eastern:Schedule 3D_Income_The Cape'!AW37)</f>
        <v>1904576.4909097096</v>
      </c>
      <c r="AX37" s="585">
        <f>SUM('Schedule 3B_Income_Eastern:Schedule 3D_Income_The Cape'!AX37)</f>
        <v>1127212.1777937519</v>
      </c>
      <c r="AY37" s="586">
        <f t="shared" si="95"/>
        <v>11806167.895507164</v>
      </c>
      <c r="AZ37" s="587">
        <f>SUM('Schedule 3B_Income_Eastern:Schedule 3D_Income_The Cape'!AZ37)</f>
        <v>0</v>
      </c>
      <c r="BA37" s="585">
        <f>SUM('Schedule 3B_Income_Eastern:Schedule 3D_Income_The Cape'!BA37)</f>
        <v>6760599.2502942011</v>
      </c>
      <c r="BB37" s="585">
        <f>SUM('Schedule 3B_Income_Eastern:Schedule 3D_Income_The Cape'!BB37)</f>
        <v>0</v>
      </c>
      <c r="BC37" s="585">
        <f>SUM('Schedule 3B_Income_Eastern:Schedule 3D_Income_The Cape'!BC37)</f>
        <v>7329568.4036724744</v>
      </c>
      <c r="BD37" s="585">
        <f>SUM('Schedule 3B_Income_Eastern:Schedule 3D_Income_The Cape'!BD37)</f>
        <v>0</v>
      </c>
      <c r="BE37" s="585">
        <f>SUM('Schedule 3B_Income_Eastern:Schedule 3D_Income_The Cape'!BE37)</f>
        <v>7865146.8773064045</v>
      </c>
      <c r="BF37" s="585">
        <f>SUM('Schedule 3B_Income_Eastern:Schedule 3D_Income_The Cape'!BF37)</f>
        <v>0</v>
      </c>
      <c r="BG37" s="585">
        <f>SUM('Schedule 3B_Income_Eastern:Schedule 3D_Income_The Cape'!BG37)</f>
        <v>8903507.8935566414</v>
      </c>
      <c r="BH37" s="588">
        <f t="shared" si="96"/>
        <v>30858822.424829721</v>
      </c>
      <c r="BI37" s="589">
        <f t="shared" si="97"/>
        <v>42664990.320336886</v>
      </c>
      <c r="BJ37" s="300">
        <v>15</v>
      </c>
      <c r="BK37" s="585">
        <f>SUM('Schedule 3B_Income_Eastern:Schedule 3D_Income_The Cape'!BK37)</f>
        <v>44924.460378485812</v>
      </c>
      <c r="BL37" s="585">
        <f>SUM('Schedule 3B_Income_Eastern:Schedule 3D_Income_The Cape'!BL37)</f>
        <v>27882.325699913548</v>
      </c>
      <c r="BM37" s="585">
        <f>SUM('Schedule 3B_Income_Eastern:Schedule 3D_Income_The Cape'!BM37)</f>
        <v>5775.1932315809127</v>
      </c>
      <c r="BN37" s="585">
        <f>SUM('Schedule 3B_Income_Eastern:Schedule 3D_Income_The Cape'!BN37)</f>
        <v>136802.41282280674</v>
      </c>
      <c r="BO37" s="585">
        <f>SUM('Schedule 3B_Income_Eastern:Schedule 3D_Income_The Cape'!BO37)</f>
        <v>41469.891671199184</v>
      </c>
      <c r="BP37" s="585">
        <f>SUM('Schedule 3B_Income_Eastern:Schedule 3D_Income_The Cape'!BP37)</f>
        <v>125600.71221800537</v>
      </c>
      <c r="BQ37" s="585">
        <f>SUM('Schedule 3B_Income_Eastern:Schedule 3D_Income_The Cape'!BQ37)</f>
        <v>35177.562328816428</v>
      </c>
      <c r="BR37" s="585">
        <f>SUM('Schedule 3B_Income_Eastern:Schedule 3D_Income_The Cape'!BR37)</f>
        <v>114086.25437182852</v>
      </c>
      <c r="BS37" s="586">
        <f t="shared" si="98"/>
        <v>531718.81272263662</v>
      </c>
      <c r="BT37" s="587">
        <f>SUM('Schedule 3B_Income_Eastern:Schedule 3D_Income_The Cape'!BT37)</f>
        <v>0</v>
      </c>
      <c r="BU37" s="585">
        <f>SUM('Schedule 3B_Income_Eastern:Schedule 3D_Income_The Cape'!BU37)</f>
        <v>142682.24752723254</v>
      </c>
      <c r="BV37" s="585">
        <f>SUM('Schedule 3B_Income_Eastern:Schedule 3D_Income_The Cape'!BV37)</f>
        <v>0</v>
      </c>
      <c r="BW37" s="585">
        <f>SUM('Schedule 3B_Income_Eastern:Schedule 3D_Income_The Cape'!BW37)</f>
        <v>179063.4262137062</v>
      </c>
      <c r="BX37" s="585">
        <f>SUM('Schedule 3B_Income_Eastern:Schedule 3D_Income_The Cape'!BX37)</f>
        <v>0</v>
      </c>
      <c r="BY37" s="585">
        <f>SUM('Schedule 3B_Income_Eastern:Schedule 3D_Income_The Cape'!BY37)</f>
        <v>197160.89157229246</v>
      </c>
      <c r="BZ37" s="585">
        <f>SUM('Schedule 3B_Income_Eastern:Schedule 3D_Income_The Cape'!BZ37)</f>
        <v>0</v>
      </c>
      <c r="CA37" s="585">
        <f>SUM('Schedule 3B_Income_Eastern:Schedule 3D_Income_The Cape'!CA37)</f>
        <v>172570.40758136718</v>
      </c>
      <c r="CB37" s="588">
        <f t="shared" si="99"/>
        <v>691476.97289459838</v>
      </c>
      <c r="CC37" s="589">
        <f t="shared" si="100"/>
        <v>1223195.7856172351</v>
      </c>
      <c r="CD37" s="300">
        <v>15</v>
      </c>
      <c r="CE37" s="414">
        <f t="shared" si="101"/>
        <v>3523819.2767168069</v>
      </c>
      <c r="CF37" s="414">
        <f t="shared" si="102"/>
        <v>3736551.1943325526</v>
      </c>
      <c r="CG37" s="414">
        <f t="shared" si="103"/>
        <v>3896544.7136709751</v>
      </c>
      <c r="CH37" s="414">
        <f t="shared" si="104"/>
        <v>3606718.7526959176</v>
      </c>
      <c r="CI37" s="416">
        <f t="shared" si="105"/>
        <v>14763633.937416252</v>
      </c>
      <c r="CJ37" s="414">
        <f t="shared" si="106"/>
        <v>8265187.657459246</v>
      </c>
      <c r="CK37" s="414">
        <f t="shared" si="107"/>
        <v>9880208.9454091657</v>
      </c>
      <c r="CL37" s="414">
        <f t="shared" si="108"/>
        <v>10186043.248153863</v>
      </c>
      <c r="CM37" s="414">
        <f t="shared" si="109"/>
        <v>11164572.73119073</v>
      </c>
      <c r="CN37" s="416">
        <f t="shared" si="110"/>
        <v>39496012.582213007</v>
      </c>
      <c r="CO37" s="414">
        <f t="shared" si="111"/>
        <v>11789006.934176056</v>
      </c>
      <c r="CP37" s="414">
        <f t="shared" si="112"/>
        <v>13616760.139741719</v>
      </c>
      <c r="CQ37" s="414">
        <f t="shared" si="113"/>
        <v>14082587.961824838</v>
      </c>
      <c r="CR37" s="414">
        <f t="shared" si="114"/>
        <v>14771291.48388665</v>
      </c>
      <c r="CS37" s="416">
        <f t="shared" si="115"/>
        <v>54259646.519629255</v>
      </c>
    </row>
    <row r="38" spans="1:101" ht="15.75" customHeight="1">
      <c r="A38" s="88" t="s">
        <v>201</v>
      </c>
      <c r="B38" s="300">
        <v>16</v>
      </c>
      <c r="C38" s="585">
        <f>SUM('Schedule 3B_Income_Eastern:Schedule 3D_Income_The Cape'!C38)</f>
        <v>9264.4083706479068</v>
      </c>
      <c r="D38" s="585">
        <f>SUM('Schedule 3B_Income_Eastern:Schedule 3D_Income_The Cape'!D38)</f>
        <v>20520.832718595233</v>
      </c>
      <c r="E38" s="585">
        <f>SUM('Schedule 3B_Income_Eastern:Schedule 3D_Income_The Cape'!E38)</f>
        <v>14666.058262549161</v>
      </c>
      <c r="F38" s="585">
        <f>SUM('Schedule 3B_Income_Eastern:Schedule 3D_Income_The Cape'!F38)</f>
        <v>25845.799358194585</v>
      </c>
      <c r="G38" s="585">
        <f>SUM('Schedule 3B_Income_Eastern:Schedule 3D_Income_The Cape'!G38)</f>
        <v>11549.725026928418</v>
      </c>
      <c r="H38" s="585">
        <f>SUM('Schedule 3B_Income_Eastern:Schedule 3D_Income_The Cape'!H38)</f>
        <v>56542.037476360565</v>
      </c>
      <c r="I38" s="585">
        <f>SUM('Schedule 3B_Income_Eastern:Schedule 3D_Income_The Cape'!I38)</f>
        <v>6496.9109959253456</v>
      </c>
      <c r="J38" s="585">
        <f>SUM('Schedule 3B_Income_Eastern:Schedule 3D_Income_The Cape'!J38)</f>
        <v>18566.370325190001</v>
      </c>
      <c r="K38" s="586">
        <f t="shared" si="89"/>
        <v>163452.1425343912</v>
      </c>
      <c r="L38" s="587">
        <f>SUM('Schedule 3B_Income_Eastern:Schedule 3D_Income_The Cape'!L38)</f>
        <v>0</v>
      </c>
      <c r="M38" s="585">
        <f>SUM('Schedule 3B_Income_Eastern:Schedule 3D_Income_The Cape'!M38)</f>
        <v>45788.157606147506</v>
      </c>
      <c r="N38" s="585">
        <f>SUM('Schedule 3B_Income_Eastern:Schedule 3D_Income_The Cape'!N38)</f>
        <v>0</v>
      </c>
      <c r="O38" s="585">
        <f>SUM('Schedule 3B_Income_Eastern:Schedule 3D_Income_The Cape'!O38)</f>
        <v>113022.54147511101</v>
      </c>
      <c r="P38" s="585">
        <f>SUM('Schedule 3B_Income_Eastern:Schedule 3D_Income_The Cape'!P38)</f>
        <v>0</v>
      </c>
      <c r="Q38" s="585">
        <f>SUM('Schedule 3B_Income_Eastern:Schedule 3D_Income_The Cape'!Q38)</f>
        <v>95024.419021435489</v>
      </c>
      <c r="R38" s="585">
        <f>SUM('Schedule 3B_Income_Eastern:Schedule 3D_Income_The Cape'!R38)</f>
        <v>0</v>
      </c>
      <c r="S38" s="585">
        <f>SUM('Schedule 3B_Income_Eastern:Schedule 3D_Income_The Cape'!S38)</f>
        <v>87830.813736803393</v>
      </c>
      <c r="T38" s="588">
        <f t="shared" si="90"/>
        <v>341665.93183949741</v>
      </c>
      <c r="U38" s="589">
        <f t="shared" si="91"/>
        <v>505118.07437388861</v>
      </c>
      <c r="V38" s="300">
        <v>16</v>
      </c>
      <c r="W38" s="585">
        <f>SUM('Schedule 3B_Income_Eastern:Schedule 3D_Income_The Cape'!W38)</f>
        <v>16744.932447627809</v>
      </c>
      <c r="X38" s="585">
        <f>SUM('Schedule 3B_Income_Eastern:Schedule 3D_Income_The Cape'!X38)</f>
        <v>34202.799775193445</v>
      </c>
      <c r="Y38" s="585">
        <f>SUM('Schedule 3B_Income_Eastern:Schedule 3D_Income_The Cape'!Y38)</f>
        <v>8753.2746983495908</v>
      </c>
      <c r="Z38" s="585">
        <f>SUM('Schedule 3B_Income_Eastern:Schedule 3D_Income_The Cape'!Z38)</f>
        <v>8915.8896613723591</v>
      </c>
      <c r="AA38" s="585">
        <f>SUM('Schedule 3B_Income_Eastern:Schedule 3D_Income_The Cape'!AA38)</f>
        <v>5325.7874758976222</v>
      </c>
      <c r="AB38" s="585">
        <f>SUM('Schedule 3B_Income_Eastern:Schedule 3D_Income_The Cape'!AB38)</f>
        <v>23566.095281981889</v>
      </c>
      <c r="AC38" s="585">
        <f>SUM('Schedule 3B_Income_Eastern:Schedule 3D_Income_The Cape'!AC38)</f>
        <v>6943.0416368435153</v>
      </c>
      <c r="AD38" s="585">
        <f>SUM('Schedule 3B_Income_Eastern:Schedule 3D_Income_The Cape'!AD38)</f>
        <v>12222.666180033528</v>
      </c>
      <c r="AE38" s="586">
        <f t="shared" si="92"/>
        <v>116674.48715729977</v>
      </c>
      <c r="AF38" s="587">
        <f>SUM('Schedule 3B_Income_Eastern:Schedule 3D_Income_The Cape'!AF38)</f>
        <v>0</v>
      </c>
      <c r="AG38" s="585">
        <f>SUM('Schedule 3B_Income_Eastern:Schedule 3D_Income_The Cape'!AG38)</f>
        <v>80141.871775862906</v>
      </c>
      <c r="AH38" s="585">
        <f>SUM('Schedule 3B_Income_Eastern:Schedule 3D_Income_The Cape'!AH38)</f>
        <v>0</v>
      </c>
      <c r="AI38" s="585">
        <f>SUM('Schedule 3B_Income_Eastern:Schedule 3D_Income_The Cape'!AI38)</f>
        <v>98676.513007360612</v>
      </c>
      <c r="AJ38" s="585">
        <f>SUM('Schedule 3B_Income_Eastern:Schedule 3D_Income_The Cape'!AJ38)</f>
        <v>0</v>
      </c>
      <c r="AK38" s="585">
        <f>SUM('Schedule 3B_Income_Eastern:Schedule 3D_Income_The Cape'!AK38)</f>
        <v>82988.135296477223</v>
      </c>
      <c r="AL38" s="585">
        <f>SUM('Schedule 3B_Income_Eastern:Schedule 3D_Income_The Cape'!AL38)</f>
        <v>0</v>
      </c>
      <c r="AM38" s="585">
        <f>SUM('Schedule 3B_Income_Eastern:Schedule 3D_Income_The Cape'!AM38)</f>
        <v>127663.93359308204</v>
      </c>
      <c r="AN38" s="588">
        <f t="shared" si="93"/>
        <v>389470.45367278275</v>
      </c>
      <c r="AO38" s="589">
        <f t="shared" si="94"/>
        <v>506144.94083008252</v>
      </c>
      <c r="AP38" s="300">
        <v>16</v>
      </c>
      <c r="AQ38" s="585">
        <f>SUM('Schedule 3B_Income_Eastern:Schedule 3D_Income_The Cape'!AQ38)</f>
        <v>32339.477971482222</v>
      </c>
      <c r="AR38" s="585">
        <f>SUM('Schedule 3B_Income_Eastern:Schedule 3D_Income_The Cape'!AR38)</f>
        <v>157242.19022853239</v>
      </c>
      <c r="AS38" s="585">
        <f>SUM('Schedule 3B_Income_Eastern:Schedule 3D_Income_The Cape'!AS38)</f>
        <v>32348.391896708217</v>
      </c>
      <c r="AT38" s="585">
        <f>SUM('Schedule 3B_Income_Eastern:Schedule 3D_Income_The Cape'!AT38)</f>
        <v>118777.06622865169</v>
      </c>
      <c r="AU38" s="585">
        <f>SUM('Schedule 3B_Income_Eastern:Schedule 3D_Income_The Cape'!AU38)</f>
        <v>39202.177891912928</v>
      </c>
      <c r="AV38" s="585">
        <f>SUM('Schedule 3B_Income_Eastern:Schedule 3D_Income_The Cape'!AV38)</f>
        <v>140085.30194177773</v>
      </c>
      <c r="AW38" s="585">
        <f>SUM('Schedule 3B_Income_Eastern:Schedule 3D_Income_The Cape'!AW38)</f>
        <v>48500.557010906043</v>
      </c>
      <c r="AX38" s="585">
        <f>SUM('Schedule 3B_Income_Eastern:Schedule 3D_Income_The Cape'!AX38)</f>
        <v>135863.70539002022</v>
      </c>
      <c r="AY38" s="586">
        <f t="shared" si="95"/>
        <v>704358.86855999148</v>
      </c>
      <c r="AZ38" s="587">
        <f>SUM('Schedule 3B_Income_Eastern:Schedule 3D_Income_The Cape'!AZ38)</f>
        <v>0</v>
      </c>
      <c r="BA38" s="585">
        <f>SUM('Schedule 3B_Income_Eastern:Schedule 3D_Income_The Cape'!BA38)</f>
        <v>441747.62884876598</v>
      </c>
      <c r="BB38" s="585">
        <f>SUM('Schedule 3B_Income_Eastern:Schedule 3D_Income_The Cape'!BB38)</f>
        <v>0</v>
      </c>
      <c r="BC38" s="585">
        <f>SUM('Schedule 3B_Income_Eastern:Schedule 3D_Income_The Cape'!BC38)</f>
        <v>449241.90294826147</v>
      </c>
      <c r="BD38" s="585">
        <f>SUM('Schedule 3B_Income_Eastern:Schedule 3D_Income_The Cape'!BD38)</f>
        <v>0</v>
      </c>
      <c r="BE38" s="585">
        <f>SUM('Schedule 3B_Income_Eastern:Schedule 3D_Income_The Cape'!BE38)</f>
        <v>461391.93766316178</v>
      </c>
      <c r="BF38" s="585">
        <f>SUM('Schedule 3B_Income_Eastern:Schedule 3D_Income_The Cape'!BF38)</f>
        <v>0</v>
      </c>
      <c r="BG38" s="585">
        <f>SUM('Schedule 3B_Income_Eastern:Schedule 3D_Income_The Cape'!BG38)</f>
        <v>552317.82407449</v>
      </c>
      <c r="BH38" s="588">
        <f t="shared" si="96"/>
        <v>1904699.2935346793</v>
      </c>
      <c r="BI38" s="589">
        <f t="shared" si="97"/>
        <v>2609058.1620946708</v>
      </c>
      <c r="BJ38" s="300">
        <v>16</v>
      </c>
      <c r="BK38" s="585">
        <f>SUM('Schedule 3B_Income_Eastern:Schedule 3D_Income_The Cape'!BK38)</f>
        <v>2268.7605209858384</v>
      </c>
      <c r="BL38" s="585">
        <f>SUM('Schedule 3B_Income_Eastern:Schedule 3D_Income_The Cape'!BL38)</f>
        <v>16832.65116538636</v>
      </c>
      <c r="BM38" s="585">
        <f>SUM('Schedule 3B_Income_Eastern:Schedule 3D_Income_The Cape'!BM38)</f>
        <v>1824.6315585110165</v>
      </c>
      <c r="BN38" s="585">
        <f>SUM('Schedule 3B_Income_Eastern:Schedule 3D_Income_The Cape'!BN38)</f>
        <v>29137.79701028901</v>
      </c>
      <c r="BO38" s="585">
        <f>SUM('Schedule 3B_Income_Eastern:Schedule 3D_Income_The Cape'!BO38)</f>
        <v>3224.9677279315506</v>
      </c>
      <c r="BP38" s="585">
        <f>SUM('Schedule 3B_Income_Eastern:Schedule 3D_Income_The Cape'!BP38)</f>
        <v>25028.283401818815</v>
      </c>
      <c r="BQ38" s="585">
        <f>SUM('Schedule 3B_Income_Eastern:Schedule 3D_Income_The Cape'!BQ38)</f>
        <v>3080.9156163435655</v>
      </c>
      <c r="BR38" s="585">
        <f>SUM('Schedule 3B_Income_Eastern:Schedule 3D_Income_The Cape'!BR38)</f>
        <v>20558.8239531445</v>
      </c>
      <c r="BS38" s="586">
        <f t="shared" si="98"/>
        <v>101956.83095441066</v>
      </c>
      <c r="BT38" s="587">
        <f>SUM('Schedule 3B_Income_Eastern:Schedule 3D_Income_The Cape'!BT38)</f>
        <v>0</v>
      </c>
      <c r="BU38" s="585">
        <f>SUM('Schedule 3B_Income_Eastern:Schedule 3D_Income_The Cape'!BU38)</f>
        <v>34688.972561416915</v>
      </c>
      <c r="BV38" s="585">
        <f>SUM('Schedule 3B_Income_Eastern:Schedule 3D_Income_The Cape'!BV38)</f>
        <v>0</v>
      </c>
      <c r="BW38" s="585">
        <f>SUM('Schedule 3B_Income_Eastern:Schedule 3D_Income_The Cape'!BW38)</f>
        <v>50540.088148714945</v>
      </c>
      <c r="BX38" s="585">
        <f>SUM('Schedule 3B_Income_Eastern:Schedule 3D_Income_The Cape'!BX38)</f>
        <v>0</v>
      </c>
      <c r="BY38" s="585">
        <f>SUM('Schedule 3B_Income_Eastern:Schedule 3D_Income_The Cape'!BY38)</f>
        <v>48884.95734270398</v>
      </c>
      <c r="BZ38" s="585">
        <f>SUM('Schedule 3B_Income_Eastern:Schedule 3D_Income_The Cape'!BZ38)</f>
        <v>0</v>
      </c>
      <c r="CA38" s="585">
        <f>SUM('Schedule 3B_Income_Eastern:Schedule 3D_Income_The Cape'!CA38)</f>
        <v>54948.799201646558</v>
      </c>
      <c r="CB38" s="588">
        <f t="shared" si="99"/>
        <v>189062.81725448239</v>
      </c>
      <c r="CC38" s="589">
        <f t="shared" si="100"/>
        <v>291019.64820889302</v>
      </c>
      <c r="CD38" s="300">
        <v>16</v>
      </c>
      <c r="CE38" s="414">
        <f t="shared" si="101"/>
        <v>289416.05319845118</v>
      </c>
      <c r="CF38" s="414">
        <f t="shared" si="102"/>
        <v>240268.90867462562</v>
      </c>
      <c r="CG38" s="414">
        <f t="shared" si="103"/>
        <v>304524.37622460956</v>
      </c>
      <c r="CH38" s="414">
        <f t="shared" si="104"/>
        <v>252232.99110840668</v>
      </c>
      <c r="CI38" s="416">
        <f t="shared" si="105"/>
        <v>1086442.329206093</v>
      </c>
      <c r="CJ38" s="414">
        <f t="shared" si="106"/>
        <v>602366.63079219335</v>
      </c>
      <c r="CK38" s="414">
        <f t="shared" si="107"/>
        <v>711481.04557944811</v>
      </c>
      <c r="CL38" s="414">
        <f t="shared" si="108"/>
        <v>688289.44932377839</v>
      </c>
      <c r="CM38" s="414">
        <f t="shared" si="109"/>
        <v>822761.37060602196</v>
      </c>
      <c r="CN38" s="416">
        <f t="shared" si="110"/>
        <v>2824898.4963014419</v>
      </c>
      <c r="CO38" s="414">
        <f t="shared" si="111"/>
        <v>891782.68399064441</v>
      </c>
      <c r="CP38" s="414">
        <f t="shared" si="112"/>
        <v>951749.95425407367</v>
      </c>
      <c r="CQ38" s="414">
        <f t="shared" si="113"/>
        <v>992813.82554838795</v>
      </c>
      <c r="CR38" s="414">
        <f t="shared" si="114"/>
        <v>1074994.3617144288</v>
      </c>
      <c r="CS38" s="416">
        <f t="shared" si="115"/>
        <v>3911340.8255075351</v>
      </c>
    </row>
    <row r="39" spans="1:101" ht="15.75" customHeight="1">
      <c r="A39" s="88" t="s">
        <v>202</v>
      </c>
      <c r="B39" s="300">
        <v>17</v>
      </c>
      <c r="C39" s="585">
        <f>SUM('Schedule 3B_Income_Eastern:Schedule 3D_Income_The Cape'!C39)</f>
        <v>179897.11120382865</v>
      </c>
      <c r="D39" s="585">
        <f>SUM('Schedule 3B_Income_Eastern:Schedule 3D_Income_The Cape'!D39)</f>
        <v>340422.54494590795</v>
      </c>
      <c r="E39" s="585">
        <f>SUM('Schedule 3B_Income_Eastern:Schedule 3D_Income_The Cape'!E39)</f>
        <v>327481.31029921304</v>
      </c>
      <c r="F39" s="585">
        <f>SUM('Schedule 3B_Income_Eastern:Schedule 3D_Income_The Cape'!F39)</f>
        <v>237423.05153756324</v>
      </c>
      <c r="G39" s="585">
        <f>SUM('Schedule 3B_Income_Eastern:Schedule 3D_Income_The Cape'!G39)</f>
        <v>316579.88583817577</v>
      </c>
      <c r="H39" s="585">
        <f>SUM('Schedule 3B_Income_Eastern:Schedule 3D_Income_The Cape'!H39)</f>
        <v>350069.31697817543</v>
      </c>
      <c r="I39" s="585">
        <f>SUM('Schedule 3B_Income_Eastern:Schedule 3D_Income_The Cape'!I39)</f>
        <v>248284.6155379969</v>
      </c>
      <c r="J39" s="585">
        <f>SUM('Schedule 3B_Income_Eastern:Schedule 3D_Income_The Cape'!J39)</f>
        <v>112868.48613654348</v>
      </c>
      <c r="K39" s="586">
        <f t="shared" si="89"/>
        <v>2113026.3224774045</v>
      </c>
      <c r="L39" s="587">
        <f>SUM('Schedule 3B_Income_Eastern:Schedule 3D_Income_The Cape'!L39)</f>
        <v>0</v>
      </c>
      <c r="M39" s="585">
        <f>SUM('Schedule 3B_Income_Eastern:Schedule 3D_Income_The Cape'!M39)</f>
        <v>735954.94689369167</v>
      </c>
      <c r="N39" s="585">
        <f>SUM('Schedule 3B_Income_Eastern:Schedule 3D_Income_The Cape'!N39)</f>
        <v>0</v>
      </c>
      <c r="O39" s="585">
        <f>SUM('Schedule 3B_Income_Eastern:Schedule 3D_Income_The Cape'!O39)</f>
        <v>1449464.4135539858</v>
      </c>
      <c r="P39" s="585">
        <f>SUM('Schedule 3B_Income_Eastern:Schedule 3D_Income_The Cape'!P39)</f>
        <v>0</v>
      </c>
      <c r="Q39" s="585">
        <f>SUM('Schedule 3B_Income_Eastern:Schedule 3D_Income_The Cape'!Q39)</f>
        <v>1212085.225031866</v>
      </c>
      <c r="R39" s="585">
        <f>SUM('Schedule 3B_Income_Eastern:Schedule 3D_Income_The Cape'!R39)</f>
        <v>0</v>
      </c>
      <c r="S39" s="585">
        <f>SUM('Schedule 3B_Income_Eastern:Schedule 3D_Income_The Cape'!S39)</f>
        <v>1227581.6315413595</v>
      </c>
      <c r="T39" s="588">
        <f t="shared" si="90"/>
        <v>4625086.2170209028</v>
      </c>
      <c r="U39" s="589">
        <f t="shared" si="91"/>
        <v>6738112.5394983068</v>
      </c>
      <c r="V39" s="300">
        <v>17</v>
      </c>
      <c r="W39" s="585">
        <f>SUM('Schedule 3B_Income_Eastern:Schedule 3D_Income_The Cape'!W39)</f>
        <v>18645.9853162379</v>
      </c>
      <c r="X39" s="585">
        <f>SUM('Schedule 3B_Income_Eastern:Schedule 3D_Income_The Cape'!X39)</f>
        <v>88696.140594209137</v>
      </c>
      <c r="Y39" s="585">
        <f>SUM('Schedule 3B_Income_Eastern:Schedule 3D_Income_The Cape'!Y39)</f>
        <v>9302.3120804421342</v>
      </c>
      <c r="Z39" s="585">
        <f>SUM('Schedule 3B_Income_Eastern:Schedule 3D_Income_The Cape'!Z39)</f>
        <v>33615.530857322825</v>
      </c>
      <c r="AA39" s="585">
        <f>SUM('Schedule 3B_Income_Eastern:Schedule 3D_Income_The Cape'!AA39)</f>
        <v>19296.898378042482</v>
      </c>
      <c r="AB39" s="585">
        <f>SUM('Schedule 3B_Income_Eastern:Schedule 3D_Income_The Cape'!AB39)</f>
        <v>50154.050736156991</v>
      </c>
      <c r="AC39" s="585">
        <f>SUM('Schedule 3B_Income_Eastern:Schedule 3D_Income_The Cape'!AC39)</f>
        <v>26515.897602256875</v>
      </c>
      <c r="AD39" s="585">
        <f>SUM('Schedule 3B_Income_Eastern:Schedule 3D_Income_The Cape'!AD39)</f>
        <v>17757.227006691224</v>
      </c>
      <c r="AE39" s="586">
        <f t="shared" si="92"/>
        <v>263984.04257135955</v>
      </c>
      <c r="AF39" s="587">
        <f>SUM('Schedule 3B_Income_Eastern:Schedule 3D_Income_The Cape'!AF39)</f>
        <v>0</v>
      </c>
      <c r="AG39" s="585">
        <f>SUM('Schedule 3B_Income_Eastern:Schedule 3D_Income_The Cape'!AG39)</f>
        <v>245140.65571252219</v>
      </c>
      <c r="AH39" s="585">
        <f>SUM('Schedule 3B_Income_Eastern:Schedule 3D_Income_The Cape'!AH39)</f>
        <v>0</v>
      </c>
      <c r="AI39" s="585">
        <f>SUM('Schedule 3B_Income_Eastern:Schedule 3D_Income_The Cape'!AI39)</f>
        <v>279903.72842176608</v>
      </c>
      <c r="AJ39" s="585">
        <f>SUM('Schedule 3B_Income_Eastern:Schedule 3D_Income_The Cape'!AJ39)</f>
        <v>0</v>
      </c>
      <c r="AK39" s="585">
        <f>SUM('Schedule 3B_Income_Eastern:Schedule 3D_Income_The Cape'!AK39)</f>
        <v>225082.36966144427</v>
      </c>
      <c r="AL39" s="585">
        <f>SUM('Schedule 3B_Income_Eastern:Schedule 3D_Income_The Cape'!AL39)</f>
        <v>0</v>
      </c>
      <c r="AM39" s="585">
        <f>SUM('Schedule 3B_Income_Eastern:Schedule 3D_Income_The Cape'!AM39)</f>
        <v>288892.82052657788</v>
      </c>
      <c r="AN39" s="588">
        <f t="shared" si="93"/>
        <v>1039019.5743223104</v>
      </c>
      <c r="AO39" s="589">
        <f t="shared" si="94"/>
        <v>1303003.6168936701</v>
      </c>
      <c r="AP39" s="300">
        <v>17</v>
      </c>
      <c r="AQ39" s="585">
        <f>SUM('Schedule 3B_Income_Eastern:Schedule 3D_Income_The Cape'!AQ39)</f>
        <v>1208824.3324599648</v>
      </c>
      <c r="AR39" s="585">
        <f>SUM('Schedule 3B_Income_Eastern:Schedule 3D_Income_The Cape'!AR39)</f>
        <v>1567411.4511838742</v>
      </c>
      <c r="AS39" s="585">
        <f>SUM('Schedule 3B_Income_Eastern:Schedule 3D_Income_The Cape'!AS39)</f>
        <v>1073168.5068022287</v>
      </c>
      <c r="AT39" s="585">
        <f>SUM('Schedule 3B_Income_Eastern:Schedule 3D_Income_The Cape'!AT39)</f>
        <v>1107645.7876375325</v>
      </c>
      <c r="AU39" s="585">
        <f>SUM('Schedule 3B_Income_Eastern:Schedule 3D_Income_The Cape'!AU39)</f>
        <v>1200514.4163723779</v>
      </c>
      <c r="AV39" s="585">
        <f>SUM('Schedule 3B_Income_Eastern:Schedule 3D_Income_The Cape'!AV39)</f>
        <v>1314665.7627101028</v>
      </c>
      <c r="AW39" s="585">
        <f>SUM('Schedule 3B_Income_Eastern:Schedule 3D_Income_The Cape'!AW39)</f>
        <v>1421523.8996801388</v>
      </c>
      <c r="AX39" s="585">
        <f>SUM('Schedule 3B_Income_Eastern:Schedule 3D_Income_The Cape'!AX39)</f>
        <v>1200128.8041116025</v>
      </c>
      <c r="AY39" s="586">
        <f t="shared" si="95"/>
        <v>10093882.960957821</v>
      </c>
      <c r="AZ39" s="587">
        <f>SUM('Schedule 3B_Income_Eastern:Schedule 3D_Income_The Cape'!AZ39)</f>
        <v>0</v>
      </c>
      <c r="BA39" s="585">
        <f>SUM('Schedule 3B_Income_Eastern:Schedule 3D_Income_The Cape'!BA39)</f>
        <v>4205195.4199347422</v>
      </c>
      <c r="BB39" s="585">
        <f>SUM('Schedule 3B_Income_Eastern:Schedule 3D_Income_The Cape'!BB39)</f>
        <v>0</v>
      </c>
      <c r="BC39" s="585">
        <f>SUM('Schedule 3B_Income_Eastern:Schedule 3D_Income_The Cape'!BC39)</f>
        <v>4484074.4347870778</v>
      </c>
      <c r="BD39" s="585">
        <f>SUM('Schedule 3B_Income_Eastern:Schedule 3D_Income_The Cape'!BD39)</f>
        <v>0</v>
      </c>
      <c r="BE39" s="585">
        <f>SUM('Schedule 3B_Income_Eastern:Schedule 3D_Income_The Cape'!BE39)</f>
        <v>4879918.9782910869</v>
      </c>
      <c r="BF39" s="585">
        <f>SUM('Schedule 3B_Income_Eastern:Schedule 3D_Income_The Cape'!BF39)</f>
        <v>0</v>
      </c>
      <c r="BG39" s="585">
        <f>SUM('Schedule 3B_Income_Eastern:Schedule 3D_Income_The Cape'!BG39)</f>
        <v>5655014.0232247338</v>
      </c>
      <c r="BH39" s="588">
        <f t="shared" si="96"/>
        <v>19224202.856237642</v>
      </c>
      <c r="BI39" s="589">
        <f t="shared" si="97"/>
        <v>29318085.817195464</v>
      </c>
      <c r="BJ39" s="300">
        <v>17</v>
      </c>
      <c r="BK39" s="585">
        <f>SUM('Schedule 3B_Income_Eastern:Schedule 3D_Income_The Cape'!BK39)</f>
        <v>30187.745835706901</v>
      </c>
      <c r="BL39" s="585">
        <f>SUM('Schedule 3B_Income_Eastern:Schedule 3D_Income_The Cape'!BL39)</f>
        <v>91224.031820463861</v>
      </c>
      <c r="BM39" s="585">
        <f>SUM('Schedule 3B_Income_Eastern:Schedule 3D_Income_The Cape'!BM39)</f>
        <v>26380.784833595284</v>
      </c>
      <c r="BN39" s="585">
        <f>SUM('Schedule 3B_Income_Eastern:Schedule 3D_Income_The Cape'!BN39)</f>
        <v>39946.220734315022</v>
      </c>
      <c r="BO39" s="585">
        <f>SUM('Schedule 3B_Income_Eastern:Schedule 3D_Income_The Cape'!BO39)</f>
        <v>13218.483108248955</v>
      </c>
      <c r="BP39" s="585">
        <f>SUM('Schedule 3B_Income_Eastern:Schedule 3D_Income_The Cape'!BP39)</f>
        <v>54045.744173923093</v>
      </c>
      <c r="BQ39" s="585">
        <f>SUM('Schedule 3B_Income_Eastern:Schedule 3D_Income_The Cape'!BQ39)</f>
        <v>28182.048288202594</v>
      </c>
      <c r="BR39" s="585">
        <f>SUM('Schedule 3B_Income_Eastern:Schedule 3D_Income_The Cape'!BR39)</f>
        <v>36313.113324660837</v>
      </c>
      <c r="BS39" s="586">
        <f t="shared" si="98"/>
        <v>319498.17211911653</v>
      </c>
      <c r="BT39" s="587">
        <f>SUM('Schedule 3B_Income_Eastern:Schedule 3D_Income_The Cape'!BT39)</f>
        <v>0</v>
      </c>
      <c r="BU39" s="585">
        <f>SUM('Schedule 3B_Income_Eastern:Schedule 3D_Income_The Cape'!BU39)</f>
        <v>245958.98050289665</v>
      </c>
      <c r="BV39" s="585">
        <f>SUM('Schedule 3B_Income_Eastern:Schedule 3D_Income_The Cape'!BV39)</f>
        <v>0</v>
      </c>
      <c r="BW39" s="585">
        <f>SUM('Schedule 3B_Income_Eastern:Schedule 3D_Income_The Cape'!BW39)</f>
        <v>278833.24255271198</v>
      </c>
      <c r="BX39" s="585">
        <f>SUM('Schedule 3B_Income_Eastern:Schedule 3D_Income_The Cape'!BX39)</f>
        <v>0</v>
      </c>
      <c r="BY39" s="585">
        <f>SUM('Schedule 3B_Income_Eastern:Schedule 3D_Income_The Cape'!BY39)</f>
        <v>287559.98977458721</v>
      </c>
      <c r="BZ39" s="585">
        <f>SUM('Schedule 3B_Income_Eastern:Schedule 3D_Income_The Cape'!BZ39)</f>
        <v>0</v>
      </c>
      <c r="CA39" s="585">
        <f>SUM('Schedule 3B_Income_Eastern:Schedule 3D_Income_The Cape'!CA39)</f>
        <v>359796.09893980413</v>
      </c>
      <c r="CB39" s="588">
        <f t="shared" si="99"/>
        <v>1172148.31177</v>
      </c>
      <c r="CC39" s="589">
        <f t="shared" si="100"/>
        <v>1491646.4838891164</v>
      </c>
      <c r="CD39" s="300">
        <v>17</v>
      </c>
      <c r="CE39" s="414">
        <f t="shared" si="101"/>
        <v>3525309.3433601935</v>
      </c>
      <c r="CF39" s="414">
        <f t="shared" si="102"/>
        <v>2854963.5047822129</v>
      </c>
      <c r="CG39" s="414">
        <f t="shared" si="103"/>
        <v>3318544.5582952034</v>
      </c>
      <c r="CH39" s="414">
        <f t="shared" si="104"/>
        <v>3091574.0916880933</v>
      </c>
      <c r="CI39" s="416">
        <f t="shared" si="105"/>
        <v>12790391.498125702</v>
      </c>
      <c r="CJ39" s="414">
        <f t="shared" si="106"/>
        <v>5432250.0030438527</v>
      </c>
      <c r="CK39" s="414">
        <f t="shared" si="107"/>
        <v>6492275.8193155415</v>
      </c>
      <c r="CL39" s="414">
        <f t="shared" si="108"/>
        <v>6604646.562758985</v>
      </c>
      <c r="CM39" s="414">
        <f t="shared" si="109"/>
        <v>7531284.5742324758</v>
      </c>
      <c r="CN39" s="416">
        <f t="shared" si="110"/>
        <v>26060456.959350854</v>
      </c>
      <c r="CO39" s="414">
        <f t="shared" si="111"/>
        <v>8957559.346404044</v>
      </c>
      <c r="CP39" s="414">
        <f t="shared" si="112"/>
        <v>9347239.3240977544</v>
      </c>
      <c r="CQ39" s="414">
        <f t="shared" si="113"/>
        <v>9923191.1210541874</v>
      </c>
      <c r="CR39" s="414">
        <f t="shared" si="114"/>
        <v>10622858.665920569</v>
      </c>
      <c r="CS39" s="416">
        <f t="shared" si="115"/>
        <v>38850848.457476556</v>
      </c>
    </row>
    <row r="40" spans="1:101" ht="15.75" customHeight="1">
      <c r="A40" s="88" t="s">
        <v>203</v>
      </c>
      <c r="B40" s="300">
        <v>18</v>
      </c>
      <c r="C40" s="585">
        <f>SUM('Schedule 3B_Income_Eastern:Schedule 3D_Income_The Cape'!C40)</f>
        <v>14178.068475994498</v>
      </c>
      <c r="D40" s="585">
        <f>SUM('Schedule 3B_Income_Eastern:Schedule 3D_Income_The Cape'!D40)</f>
        <v>58065.064759492649</v>
      </c>
      <c r="E40" s="585">
        <f>SUM('Schedule 3B_Income_Eastern:Schedule 3D_Income_The Cape'!E40)</f>
        <v>19933.106063202882</v>
      </c>
      <c r="F40" s="585">
        <f>SUM('Schedule 3B_Income_Eastern:Schedule 3D_Income_The Cape'!F40)</f>
        <v>75105.094268512301</v>
      </c>
      <c r="G40" s="585">
        <f>SUM('Schedule 3B_Income_Eastern:Schedule 3D_Income_The Cape'!G40)</f>
        <v>19881.376765435689</v>
      </c>
      <c r="H40" s="585">
        <f>SUM('Schedule 3B_Income_Eastern:Schedule 3D_Income_The Cape'!H40)</f>
        <v>77462.905388889456</v>
      </c>
      <c r="I40" s="585">
        <f>SUM('Schedule 3B_Income_Eastern:Schedule 3D_Income_The Cape'!I40)</f>
        <v>18360.869120723492</v>
      </c>
      <c r="J40" s="585">
        <f>SUM('Schedule 3B_Income_Eastern:Schedule 3D_Income_The Cape'!J40)</f>
        <v>67058.757979820424</v>
      </c>
      <c r="K40" s="586">
        <f t="shared" si="89"/>
        <v>350045.24282207142</v>
      </c>
      <c r="L40" s="587">
        <f>SUM('Schedule 3B_Income_Eastern:Schedule 3D_Income_The Cape'!L40)</f>
        <v>0</v>
      </c>
      <c r="M40" s="585">
        <f>SUM('Schedule 3B_Income_Eastern:Schedule 3D_Income_The Cape'!M40)</f>
        <v>0</v>
      </c>
      <c r="N40" s="585">
        <f>SUM('Schedule 3B_Income_Eastern:Schedule 3D_Income_The Cape'!N40)</f>
        <v>0</v>
      </c>
      <c r="O40" s="585">
        <f>SUM('Schedule 3B_Income_Eastern:Schedule 3D_Income_The Cape'!O40)</f>
        <v>0</v>
      </c>
      <c r="P40" s="585">
        <f>SUM('Schedule 3B_Income_Eastern:Schedule 3D_Income_The Cape'!P40)</f>
        <v>0</v>
      </c>
      <c r="Q40" s="585">
        <f>SUM('Schedule 3B_Income_Eastern:Schedule 3D_Income_The Cape'!Q40)</f>
        <v>0</v>
      </c>
      <c r="R40" s="585">
        <f>SUM('Schedule 3B_Income_Eastern:Schedule 3D_Income_The Cape'!R40)</f>
        <v>0</v>
      </c>
      <c r="S40" s="585">
        <f>SUM('Schedule 3B_Income_Eastern:Schedule 3D_Income_The Cape'!S40)</f>
        <v>0</v>
      </c>
      <c r="T40" s="588">
        <f t="shared" si="90"/>
        <v>0</v>
      </c>
      <c r="U40" s="589">
        <f t="shared" si="91"/>
        <v>350045.24282207142</v>
      </c>
      <c r="V40" s="300">
        <v>18</v>
      </c>
      <c r="W40" s="585">
        <f>SUM('Schedule 3B_Income_Eastern:Schedule 3D_Income_The Cape'!W40)</f>
        <v>732.96198444888955</v>
      </c>
      <c r="X40" s="585">
        <f>SUM('Schedule 3B_Income_Eastern:Schedule 3D_Income_The Cape'!X40)</f>
        <v>8989.6865645171165</v>
      </c>
      <c r="Y40" s="585">
        <f>SUM('Schedule 3B_Income_Eastern:Schedule 3D_Income_The Cape'!Y40)</f>
        <v>1317.4289393104737</v>
      </c>
      <c r="Z40" s="585">
        <f>SUM('Schedule 3B_Income_Eastern:Schedule 3D_Income_The Cape'!Z40)</f>
        <v>14203.599080716445</v>
      </c>
      <c r="AA40" s="585">
        <f>SUM('Schedule 3B_Income_Eastern:Schedule 3D_Income_The Cape'!AA40)</f>
        <v>1240.0778284730593</v>
      </c>
      <c r="AB40" s="585">
        <f>SUM('Schedule 3B_Income_Eastern:Schedule 3D_Income_The Cape'!AB40)</f>
        <v>11567.269907503356</v>
      </c>
      <c r="AC40" s="585">
        <f>SUM('Schedule 3B_Income_Eastern:Schedule 3D_Income_The Cape'!AC40)</f>
        <v>1480.6853514218537</v>
      </c>
      <c r="AD40" s="585">
        <f>SUM('Schedule 3B_Income_Eastern:Schedule 3D_Income_The Cape'!AD40)</f>
        <v>13349.785981260162</v>
      </c>
      <c r="AE40" s="586">
        <f t="shared" si="92"/>
        <v>52881.495637651351</v>
      </c>
      <c r="AF40" s="587">
        <f>SUM('Schedule 3B_Income_Eastern:Schedule 3D_Income_The Cape'!AF40)</f>
        <v>0</v>
      </c>
      <c r="AG40" s="585">
        <f>SUM('Schedule 3B_Income_Eastern:Schedule 3D_Income_The Cape'!AG40)</f>
        <v>0</v>
      </c>
      <c r="AH40" s="585">
        <f>SUM('Schedule 3B_Income_Eastern:Schedule 3D_Income_The Cape'!AH40)</f>
        <v>0</v>
      </c>
      <c r="AI40" s="585">
        <f>SUM('Schedule 3B_Income_Eastern:Schedule 3D_Income_The Cape'!AI40)</f>
        <v>0</v>
      </c>
      <c r="AJ40" s="585">
        <f>SUM('Schedule 3B_Income_Eastern:Schedule 3D_Income_The Cape'!AJ40)</f>
        <v>0</v>
      </c>
      <c r="AK40" s="585">
        <f>SUM('Schedule 3B_Income_Eastern:Schedule 3D_Income_The Cape'!AK40)</f>
        <v>0</v>
      </c>
      <c r="AL40" s="585">
        <f>SUM('Schedule 3B_Income_Eastern:Schedule 3D_Income_The Cape'!AL40)</f>
        <v>0</v>
      </c>
      <c r="AM40" s="585">
        <f>SUM('Schedule 3B_Income_Eastern:Schedule 3D_Income_The Cape'!AM40)</f>
        <v>0</v>
      </c>
      <c r="AN40" s="588">
        <f t="shared" si="93"/>
        <v>0</v>
      </c>
      <c r="AO40" s="589">
        <f t="shared" si="94"/>
        <v>52881.495637651351</v>
      </c>
      <c r="AP40" s="300">
        <v>18</v>
      </c>
      <c r="AQ40" s="585">
        <f>SUM('Schedule 3B_Income_Eastern:Schedule 3D_Income_The Cape'!AQ40)</f>
        <v>55367.57399868581</v>
      </c>
      <c r="AR40" s="585">
        <f>SUM('Schedule 3B_Income_Eastern:Schedule 3D_Income_The Cape'!AR40)</f>
        <v>173888.26888829336</v>
      </c>
      <c r="AS40" s="585">
        <f>SUM('Schedule 3B_Income_Eastern:Schedule 3D_Income_The Cape'!AS40)</f>
        <v>66779.063731013943</v>
      </c>
      <c r="AT40" s="585">
        <f>SUM('Schedule 3B_Income_Eastern:Schedule 3D_Income_The Cape'!AT40)</f>
        <v>197317.69621968456</v>
      </c>
      <c r="AU40" s="585">
        <f>SUM('Schedule 3B_Income_Eastern:Schedule 3D_Income_The Cape'!AU40)</f>
        <v>72780.862157791664</v>
      </c>
      <c r="AV40" s="585">
        <f>SUM('Schedule 3B_Income_Eastern:Schedule 3D_Income_The Cape'!AV40)</f>
        <v>209053.88326609059</v>
      </c>
      <c r="AW40" s="585">
        <f>SUM('Schedule 3B_Income_Eastern:Schedule 3D_Income_The Cape'!AW40)</f>
        <v>88043.791912810993</v>
      </c>
      <c r="AX40" s="585">
        <f>SUM('Schedule 3B_Income_Eastern:Schedule 3D_Income_The Cape'!AX40)</f>
        <v>229664.58929973008</v>
      </c>
      <c r="AY40" s="586">
        <f t="shared" si="95"/>
        <v>1092895.729474101</v>
      </c>
      <c r="AZ40" s="587">
        <f>SUM('Schedule 3B_Income_Eastern:Schedule 3D_Income_The Cape'!AZ40)</f>
        <v>0</v>
      </c>
      <c r="BA40" s="585">
        <f>SUM('Schedule 3B_Income_Eastern:Schedule 3D_Income_The Cape'!BA40)</f>
        <v>0</v>
      </c>
      <c r="BB40" s="585">
        <f>SUM('Schedule 3B_Income_Eastern:Schedule 3D_Income_The Cape'!BB40)</f>
        <v>0</v>
      </c>
      <c r="BC40" s="585">
        <f>SUM('Schedule 3B_Income_Eastern:Schedule 3D_Income_The Cape'!BC40)</f>
        <v>0</v>
      </c>
      <c r="BD40" s="585">
        <f>SUM('Schedule 3B_Income_Eastern:Schedule 3D_Income_The Cape'!BD40)</f>
        <v>0</v>
      </c>
      <c r="BE40" s="585">
        <f>SUM('Schedule 3B_Income_Eastern:Schedule 3D_Income_The Cape'!BE40)</f>
        <v>0</v>
      </c>
      <c r="BF40" s="585">
        <f>SUM('Schedule 3B_Income_Eastern:Schedule 3D_Income_The Cape'!BF40)</f>
        <v>0</v>
      </c>
      <c r="BG40" s="585">
        <f>SUM('Schedule 3B_Income_Eastern:Schedule 3D_Income_The Cape'!BG40)</f>
        <v>0</v>
      </c>
      <c r="BH40" s="588">
        <f t="shared" si="96"/>
        <v>0</v>
      </c>
      <c r="BI40" s="589">
        <f t="shared" si="97"/>
        <v>1092895.729474101</v>
      </c>
      <c r="BJ40" s="300">
        <v>18</v>
      </c>
      <c r="BK40" s="585">
        <f>SUM('Schedule 3B_Income_Eastern:Schedule 3D_Income_The Cape'!BK40)</f>
        <v>499.68627110378884</v>
      </c>
      <c r="BL40" s="585">
        <f>SUM('Schedule 3B_Income_Eastern:Schedule 3D_Income_The Cape'!BL40)</f>
        <v>6847.6575608774147</v>
      </c>
      <c r="BM40" s="585">
        <f>SUM('Schedule 3B_Income_Eastern:Schedule 3D_Income_The Cape'!BM40)</f>
        <v>359.12099864492961</v>
      </c>
      <c r="BN40" s="585">
        <f>SUM('Schedule 3B_Income_Eastern:Schedule 3D_Income_The Cape'!BN40)</f>
        <v>6837.4010305054353</v>
      </c>
      <c r="BO40" s="585">
        <f>SUM('Schedule 3B_Income_Eastern:Schedule 3D_Income_The Cape'!BO40)</f>
        <v>431.22137519272337</v>
      </c>
      <c r="BP40" s="585">
        <f>SUM('Schedule 3B_Income_Eastern:Schedule 3D_Income_The Cape'!BP40)</f>
        <v>8143.5884369723135</v>
      </c>
      <c r="BQ40" s="585">
        <f>SUM('Schedule 3B_Income_Eastern:Schedule 3D_Income_The Cape'!BQ40)</f>
        <v>611.07832294982131</v>
      </c>
      <c r="BR40" s="585">
        <f>SUM('Schedule 3B_Income_Eastern:Schedule 3D_Income_The Cape'!BR40)</f>
        <v>7338.4070599823071</v>
      </c>
      <c r="BS40" s="586">
        <f t="shared" si="98"/>
        <v>31068.161056228731</v>
      </c>
      <c r="BT40" s="587">
        <f>SUM('Schedule 3B_Income_Eastern:Schedule 3D_Income_The Cape'!BT40)</f>
        <v>0</v>
      </c>
      <c r="BU40" s="585">
        <f>SUM('Schedule 3B_Income_Eastern:Schedule 3D_Income_The Cape'!BU40)</f>
        <v>0</v>
      </c>
      <c r="BV40" s="585">
        <f>SUM('Schedule 3B_Income_Eastern:Schedule 3D_Income_The Cape'!BV40)</f>
        <v>0</v>
      </c>
      <c r="BW40" s="585">
        <f>SUM('Schedule 3B_Income_Eastern:Schedule 3D_Income_The Cape'!BW40)</f>
        <v>0</v>
      </c>
      <c r="BX40" s="585">
        <f>SUM('Schedule 3B_Income_Eastern:Schedule 3D_Income_The Cape'!BX40)</f>
        <v>0</v>
      </c>
      <c r="BY40" s="585">
        <f>SUM('Schedule 3B_Income_Eastern:Schedule 3D_Income_The Cape'!BY40)</f>
        <v>0</v>
      </c>
      <c r="BZ40" s="585">
        <f>SUM('Schedule 3B_Income_Eastern:Schedule 3D_Income_The Cape'!BZ40)</f>
        <v>0</v>
      </c>
      <c r="CA40" s="585">
        <f>SUM('Schedule 3B_Income_Eastern:Schedule 3D_Income_The Cape'!CA40)</f>
        <v>0</v>
      </c>
      <c r="CB40" s="588">
        <f t="shared" si="99"/>
        <v>0</v>
      </c>
      <c r="CC40" s="589">
        <f t="shared" si="100"/>
        <v>31068.161056228731</v>
      </c>
      <c r="CD40" s="300">
        <v>18</v>
      </c>
      <c r="CE40" s="414">
        <f t="shared" si="101"/>
        <v>318568.96850341349</v>
      </c>
      <c r="CF40" s="414">
        <f t="shared" si="102"/>
        <v>381852.51033159095</v>
      </c>
      <c r="CG40" s="414">
        <f t="shared" si="103"/>
        <v>400561.18512634886</v>
      </c>
      <c r="CH40" s="414">
        <f t="shared" si="104"/>
        <v>425907.96502869914</v>
      </c>
      <c r="CI40" s="416">
        <f t="shared" si="105"/>
        <v>1526890.6289900525</v>
      </c>
      <c r="CJ40" s="414">
        <f t="shared" si="106"/>
        <v>0</v>
      </c>
      <c r="CK40" s="414">
        <f t="shared" si="107"/>
        <v>0</v>
      </c>
      <c r="CL40" s="414">
        <f t="shared" si="108"/>
        <v>0</v>
      </c>
      <c r="CM40" s="414">
        <f t="shared" si="109"/>
        <v>0</v>
      </c>
      <c r="CN40" s="416">
        <f t="shared" si="110"/>
        <v>0</v>
      </c>
      <c r="CO40" s="414">
        <f t="shared" si="111"/>
        <v>318568.96850341349</v>
      </c>
      <c r="CP40" s="414">
        <f t="shared" si="112"/>
        <v>381852.51033159095</v>
      </c>
      <c r="CQ40" s="414">
        <f t="shared" si="113"/>
        <v>400561.18512634886</v>
      </c>
      <c r="CR40" s="414">
        <f t="shared" si="114"/>
        <v>425907.96502869914</v>
      </c>
      <c r="CS40" s="416">
        <f t="shared" si="115"/>
        <v>1526890.6289900523</v>
      </c>
    </row>
    <row r="41" spans="1:101" ht="15.75" customHeight="1">
      <c r="A41" s="88" t="s">
        <v>204</v>
      </c>
      <c r="B41" s="300">
        <v>19</v>
      </c>
      <c r="C41" s="585">
        <f>SUM('Schedule 3B_Income_Eastern:Schedule 3D_Income_The Cape'!C41)</f>
        <v>276594.91000000003</v>
      </c>
      <c r="D41" s="585">
        <f>SUM('Schedule 3B_Income_Eastern:Schedule 3D_Income_The Cape'!D41)</f>
        <v>972797.12054678402</v>
      </c>
      <c r="E41" s="585">
        <f>SUM('Schedule 3B_Income_Eastern:Schedule 3D_Income_The Cape'!E41)</f>
        <v>311564</v>
      </c>
      <c r="F41" s="585">
        <f>SUM('Schedule 3B_Income_Eastern:Schedule 3D_Income_The Cape'!F41)</f>
        <v>1186884.3821160756</v>
      </c>
      <c r="G41" s="585">
        <f>SUM('Schedule 3B_Income_Eastern:Schedule 3D_Income_The Cape'!G41)</f>
        <v>251281.62999999998</v>
      </c>
      <c r="H41" s="585">
        <f>SUM('Schedule 3B_Income_Eastern:Schedule 3D_Income_The Cape'!H41)</f>
        <v>1102732.7711992003</v>
      </c>
      <c r="I41" s="585">
        <f>SUM('Schedule 3B_Income_Eastern:Schedule 3D_Income_The Cape'!I41)</f>
        <v>290933</v>
      </c>
      <c r="J41" s="585">
        <f>SUM('Schedule 3B_Income_Eastern:Schedule 3D_Income_The Cape'!J41)</f>
        <v>1226289.9500000002</v>
      </c>
      <c r="K41" s="586">
        <f t="shared" si="89"/>
        <v>5619077.7638620595</v>
      </c>
      <c r="L41" s="587">
        <f>SUM('Schedule 3B_Income_Eastern:Schedule 3D_Income_The Cape'!L41)</f>
        <v>0</v>
      </c>
      <c r="M41" s="585">
        <f>SUM('Schedule 3B_Income_Eastern:Schedule 3D_Income_The Cape'!M41)</f>
        <v>1650.1139742049158</v>
      </c>
      <c r="N41" s="585">
        <f>SUM('Schedule 3B_Income_Eastern:Schedule 3D_Income_The Cape'!N41)</f>
        <v>0</v>
      </c>
      <c r="O41" s="585">
        <f>SUM('Schedule 3B_Income_Eastern:Schedule 3D_Income_The Cape'!O41)</f>
        <v>686.06776578594975</v>
      </c>
      <c r="P41" s="585">
        <f>SUM('Schedule 3B_Income_Eastern:Schedule 3D_Income_The Cape'!P41)</f>
        <v>0</v>
      </c>
      <c r="Q41" s="585">
        <f>SUM('Schedule 3B_Income_Eastern:Schedule 3D_Income_The Cape'!Q41)</f>
        <v>125.00894402820032</v>
      </c>
      <c r="R41" s="585">
        <f>SUM('Schedule 3B_Income_Eastern:Schedule 3D_Income_The Cape'!R41)</f>
        <v>0</v>
      </c>
      <c r="S41" s="585">
        <f>SUM('Schedule 3B_Income_Eastern:Schedule 3D_Income_The Cape'!S41)</f>
        <v>127.62475322404987</v>
      </c>
      <c r="T41" s="588">
        <f t="shared" si="90"/>
        <v>2588.8154372431159</v>
      </c>
      <c r="U41" s="589">
        <f t="shared" si="91"/>
        <v>5621666.5792993028</v>
      </c>
      <c r="V41" s="300">
        <v>19</v>
      </c>
      <c r="W41" s="585">
        <f>SUM('Schedule 3B_Income_Eastern:Schedule 3D_Income_The Cape'!W41)</f>
        <v>23618</v>
      </c>
      <c r="X41" s="585">
        <f>SUM('Schedule 3B_Income_Eastern:Schedule 3D_Income_The Cape'!X41)</f>
        <v>208696.96348449428</v>
      </c>
      <c r="Y41" s="585">
        <f>SUM('Schedule 3B_Income_Eastern:Schedule 3D_Income_The Cape'!Y41)</f>
        <v>6322</v>
      </c>
      <c r="Z41" s="585">
        <f>SUM('Schedule 3B_Income_Eastern:Schedule 3D_Income_The Cape'!Z41)</f>
        <v>220489</v>
      </c>
      <c r="AA41" s="585">
        <f>SUM('Schedule 3B_Income_Eastern:Schedule 3D_Income_The Cape'!AA41)</f>
        <v>3037</v>
      </c>
      <c r="AB41" s="585">
        <f>SUM('Schedule 3B_Income_Eastern:Schedule 3D_Income_The Cape'!AB41)</f>
        <v>172405.90512795819</v>
      </c>
      <c r="AC41" s="585">
        <f>SUM('Schedule 3B_Income_Eastern:Schedule 3D_Income_The Cape'!AC41)</f>
        <v>1589</v>
      </c>
      <c r="AD41" s="585">
        <f>SUM('Schedule 3B_Income_Eastern:Schedule 3D_Income_The Cape'!AD41)</f>
        <v>176738</v>
      </c>
      <c r="AE41" s="586">
        <f t="shared" si="92"/>
        <v>812895.86861245241</v>
      </c>
      <c r="AF41" s="587">
        <f>SUM('Schedule 3B_Income_Eastern:Schedule 3D_Income_The Cape'!AF41)</f>
        <v>0</v>
      </c>
      <c r="AG41" s="585">
        <f>SUM('Schedule 3B_Income_Eastern:Schedule 3D_Income_The Cape'!AG41)</f>
        <v>216.7917506923994</v>
      </c>
      <c r="AH41" s="585">
        <f>SUM('Schedule 3B_Income_Eastern:Schedule 3D_Income_The Cape'!AH41)</f>
        <v>0</v>
      </c>
      <c r="AI41" s="585">
        <f>SUM('Schedule 3B_Income_Eastern:Schedule 3D_Income_The Cape'!AI41)</f>
        <v>99.691057997128411</v>
      </c>
      <c r="AJ41" s="585">
        <f>SUM('Schedule 3B_Income_Eastern:Schedule 3D_Income_The Cape'!AJ41)</f>
        <v>0</v>
      </c>
      <c r="AK41" s="585">
        <f>SUM('Schedule 3B_Income_Eastern:Schedule 3D_Income_The Cape'!AK41)</f>
        <v>1521.520101767577</v>
      </c>
      <c r="AL41" s="585">
        <f>SUM('Schedule 3B_Income_Eastern:Schedule 3D_Income_The Cape'!AL41)</f>
        <v>0</v>
      </c>
      <c r="AM41" s="585">
        <f>SUM('Schedule 3B_Income_Eastern:Schedule 3D_Income_The Cape'!AM41)</f>
        <v>298.8683586352555</v>
      </c>
      <c r="AN41" s="588">
        <f t="shared" si="93"/>
        <v>2136.8712690923603</v>
      </c>
      <c r="AO41" s="589">
        <f t="shared" si="94"/>
        <v>815032.73988154472</v>
      </c>
      <c r="AP41" s="300">
        <v>19</v>
      </c>
      <c r="AQ41" s="585">
        <f>SUM('Schedule 3B_Income_Eastern:Schedule 3D_Income_The Cape'!AQ41)</f>
        <v>570412.36877040297</v>
      </c>
      <c r="AR41" s="585">
        <f>SUM('Schedule 3B_Income_Eastern:Schedule 3D_Income_The Cape'!AR41)</f>
        <v>1894987.5159077931</v>
      </c>
      <c r="AS41" s="585">
        <f>SUM('Schedule 3B_Income_Eastern:Schedule 3D_Income_The Cape'!AS41)</f>
        <v>740043.5915564996</v>
      </c>
      <c r="AT41" s="585">
        <f>SUM('Schedule 3B_Income_Eastern:Schedule 3D_Income_The Cape'!AT41)</f>
        <v>1979530.1558542848</v>
      </c>
      <c r="AU41" s="585">
        <f>SUM('Schedule 3B_Income_Eastern:Schedule 3D_Income_The Cape'!AU41)</f>
        <v>719555.09463532013</v>
      </c>
      <c r="AV41" s="585">
        <f>SUM('Schedule 3B_Income_Eastern:Schedule 3D_Income_The Cape'!AV41)</f>
        <v>2067626.4808251611</v>
      </c>
      <c r="AW41" s="585">
        <f>SUM('Schedule 3B_Income_Eastern:Schedule 3D_Income_The Cape'!AW41)</f>
        <v>816943.82</v>
      </c>
      <c r="AX41" s="585">
        <f>SUM('Schedule 3B_Income_Eastern:Schedule 3D_Income_The Cape'!AX41)</f>
        <v>2284838.5206146613</v>
      </c>
      <c r="AY41" s="586">
        <f t="shared" si="95"/>
        <v>11073937.548164124</v>
      </c>
      <c r="AZ41" s="587">
        <f>SUM('Schedule 3B_Income_Eastern:Schedule 3D_Income_The Cape'!AZ41)</f>
        <v>0</v>
      </c>
      <c r="BA41" s="585">
        <f>SUM('Schedule 3B_Income_Eastern:Schedule 3D_Income_The Cape'!BA41)</f>
        <v>1009.278920613581</v>
      </c>
      <c r="BB41" s="585">
        <f>SUM('Schedule 3B_Income_Eastern:Schedule 3D_Income_The Cape'!BB41)</f>
        <v>0</v>
      </c>
      <c r="BC41" s="585">
        <f>SUM('Schedule 3B_Income_Eastern:Schedule 3D_Income_The Cape'!BC41)</f>
        <v>272.74687488635107</v>
      </c>
      <c r="BD41" s="585">
        <f>SUM('Schedule 3B_Income_Eastern:Schedule 3D_Income_The Cape'!BD41)</f>
        <v>0</v>
      </c>
      <c r="BE41" s="585">
        <f>SUM('Schedule 3B_Income_Eastern:Schedule 3D_Income_The Cape'!BE41)</f>
        <v>1994.7039769229257</v>
      </c>
      <c r="BF41" s="585">
        <f>SUM('Schedule 3B_Income_Eastern:Schedule 3D_Income_The Cape'!BF41)</f>
        <v>0</v>
      </c>
      <c r="BG41" s="585">
        <f>SUM('Schedule 3B_Income_Eastern:Schedule 3D_Income_The Cape'!BG41)</f>
        <v>1621.756689040755</v>
      </c>
      <c r="BH41" s="588">
        <f t="shared" si="96"/>
        <v>4898.4864614636126</v>
      </c>
      <c r="BI41" s="589">
        <f t="shared" si="97"/>
        <v>11078836.034625588</v>
      </c>
      <c r="BJ41" s="300">
        <v>19</v>
      </c>
      <c r="BK41" s="585">
        <f>SUM('Schedule 3B_Income_Eastern:Schedule 3D_Income_The Cape'!BK41)</f>
        <v>53</v>
      </c>
      <c r="BL41" s="585">
        <f>SUM('Schedule 3B_Income_Eastern:Schedule 3D_Income_The Cape'!BL41)</f>
        <v>9893.4</v>
      </c>
      <c r="BM41" s="585">
        <f>SUM('Schedule 3B_Income_Eastern:Schedule 3D_Income_The Cape'!BM41)</f>
        <v>53</v>
      </c>
      <c r="BN41" s="585">
        <f>SUM('Schedule 3B_Income_Eastern:Schedule 3D_Income_The Cape'!BN41)</f>
        <v>6830.8</v>
      </c>
      <c r="BO41" s="585">
        <f>SUM('Schedule 3B_Income_Eastern:Schedule 3D_Income_The Cape'!BO41)</f>
        <v>115</v>
      </c>
      <c r="BP41" s="585">
        <f>SUM('Schedule 3B_Income_Eastern:Schedule 3D_Income_The Cape'!BP41)</f>
        <v>9175</v>
      </c>
      <c r="BQ41" s="585">
        <f>SUM('Schedule 3B_Income_Eastern:Schedule 3D_Income_The Cape'!BQ41)</f>
        <v>248</v>
      </c>
      <c r="BR41" s="585">
        <f>SUM('Schedule 3B_Income_Eastern:Schedule 3D_Income_The Cape'!BR41)</f>
        <v>15214.2</v>
      </c>
      <c r="BS41" s="586">
        <f t="shared" si="98"/>
        <v>41582.400000000001</v>
      </c>
      <c r="BT41" s="587">
        <f>SUM('Schedule 3B_Income_Eastern:Schedule 3D_Income_The Cape'!BT41)</f>
        <v>0</v>
      </c>
      <c r="BU41" s="585">
        <f>SUM('Schedule 3B_Income_Eastern:Schedule 3D_Income_The Cape'!BU41)</f>
        <v>0</v>
      </c>
      <c r="BV41" s="585">
        <f>SUM('Schedule 3B_Income_Eastern:Schedule 3D_Income_The Cape'!BV41)</f>
        <v>0</v>
      </c>
      <c r="BW41" s="585">
        <f>SUM('Schedule 3B_Income_Eastern:Schedule 3D_Income_The Cape'!BW41)</f>
        <v>0</v>
      </c>
      <c r="BX41" s="585">
        <f>SUM('Schedule 3B_Income_Eastern:Schedule 3D_Income_The Cape'!BX41)</f>
        <v>0</v>
      </c>
      <c r="BY41" s="585">
        <f>SUM('Schedule 3B_Income_Eastern:Schedule 3D_Income_The Cape'!BY41)</f>
        <v>0</v>
      </c>
      <c r="BZ41" s="585">
        <f>SUM('Schedule 3B_Income_Eastern:Schedule 3D_Income_The Cape'!BZ41)</f>
        <v>0</v>
      </c>
      <c r="CA41" s="585">
        <f>SUM('Schedule 3B_Income_Eastern:Schedule 3D_Income_The Cape'!CA41)</f>
        <v>0</v>
      </c>
      <c r="CB41" s="588">
        <f t="shared" si="99"/>
        <v>0</v>
      </c>
      <c r="CC41" s="589">
        <f t="shared" si="100"/>
        <v>41582.400000000001</v>
      </c>
      <c r="CD41" s="300">
        <v>19</v>
      </c>
      <c r="CE41" s="414">
        <f t="shared" si="101"/>
        <v>3957053.2787094745</v>
      </c>
      <c r="CF41" s="414">
        <f t="shared" si="102"/>
        <v>4451716.9295268599</v>
      </c>
      <c r="CG41" s="414">
        <f t="shared" si="103"/>
        <v>4325928.8817876391</v>
      </c>
      <c r="CH41" s="414">
        <f t="shared" si="104"/>
        <v>4812794.490614661</v>
      </c>
      <c r="CI41" s="416">
        <f t="shared" si="105"/>
        <v>17547493.580638632</v>
      </c>
      <c r="CJ41" s="414">
        <f t="shared" si="106"/>
        <v>2876.1846455108962</v>
      </c>
      <c r="CK41" s="414">
        <f t="shared" si="107"/>
        <v>1058.5056986694292</v>
      </c>
      <c r="CL41" s="414">
        <f t="shared" si="108"/>
        <v>3641.2330227187031</v>
      </c>
      <c r="CM41" s="414">
        <f t="shared" si="109"/>
        <v>2048.2498009000601</v>
      </c>
      <c r="CN41" s="416">
        <f t="shared" si="110"/>
        <v>9624.1731677990902</v>
      </c>
      <c r="CO41" s="414">
        <f t="shared" si="111"/>
        <v>3959929.4633549852</v>
      </c>
      <c r="CP41" s="414">
        <f t="shared" si="112"/>
        <v>4452775.4352255296</v>
      </c>
      <c r="CQ41" s="414">
        <f t="shared" si="113"/>
        <v>4329570.1148103578</v>
      </c>
      <c r="CR41" s="414">
        <f t="shared" si="114"/>
        <v>4814842.7404155619</v>
      </c>
      <c r="CS41" s="416">
        <f t="shared" si="115"/>
        <v>17557117.753806435</v>
      </c>
      <c r="CU41" s="319"/>
      <c r="CV41" s="693"/>
    </row>
    <row r="42" spans="1:101" ht="15.75" customHeight="1">
      <c r="A42" s="88" t="s">
        <v>205</v>
      </c>
      <c r="B42" s="300">
        <v>20</v>
      </c>
      <c r="C42" s="585">
        <f>SUM('Schedule 3B_Income_Eastern:Schedule 3D_Income_The Cape'!C42)</f>
        <v>17504.240088061037</v>
      </c>
      <c r="D42" s="585">
        <f>SUM('Schedule 3B_Income_Eastern:Schedule 3D_Income_The Cape'!D42)</f>
        <v>31493.703307322405</v>
      </c>
      <c r="E42" s="585">
        <f>SUM('Schedule 3B_Income_Eastern:Schedule 3D_Income_The Cape'!E42)</f>
        <v>11431.712544548031</v>
      </c>
      <c r="F42" s="585">
        <f>SUM('Schedule 3B_Income_Eastern:Schedule 3D_Income_The Cape'!F42)</f>
        <v>14589.921200666358</v>
      </c>
      <c r="G42" s="585">
        <f>SUM('Schedule 3B_Income_Eastern:Schedule 3D_Income_The Cape'!G42)</f>
        <v>15394.959458948162</v>
      </c>
      <c r="H42" s="585">
        <f>SUM('Schedule 3B_Income_Eastern:Schedule 3D_Income_The Cape'!H42)</f>
        <v>26537.720198887873</v>
      </c>
      <c r="I42" s="585">
        <f>SUM('Schedule 3B_Income_Eastern:Schedule 3D_Income_The Cape'!I42)</f>
        <v>10848.475719137918</v>
      </c>
      <c r="J42" s="585">
        <f>SUM('Schedule 3B_Income_Eastern:Schedule 3D_Income_The Cape'!J42)</f>
        <v>25425.969319151671</v>
      </c>
      <c r="K42" s="586">
        <f t="shared" si="89"/>
        <v>153226.70183672346</v>
      </c>
      <c r="L42" s="587">
        <f>SUM('Schedule 3B_Income_Eastern:Schedule 3D_Income_The Cape'!L42)</f>
        <v>0</v>
      </c>
      <c r="M42" s="585">
        <f>SUM('Schedule 3B_Income_Eastern:Schedule 3D_Income_The Cape'!M42)</f>
        <v>21984.161099743938</v>
      </c>
      <c r="N42" s="585">
        <f>SUM('Schedule 3B_Income_Eastern:Schedule 3D_Income_The Cape'!N42)</f>
        <v>0</v>
      </c>
      <c r="O42" s="585">
        <f>SUM('Schedule 3B_Income_Eastern:Schedule 3D_Income_The Cape'!O42)</f>
        <v>34033.759266285357</v>
      </c>
      <c r="P42" s="585">
        <f>SUM('Schedule 3B_Income_Eastern:Schedule 3D_Income_The Cape'!P42)</f>
        <v>0</v>
      </c>
      <c r="Q42" s="585">
        <f>SUM('Schedule 3B_Income_Eastern:Schedule 3D_Income_The Cape'!Q42)</f>
        <v>37451.850618846387</v>
      </c>
      <c r="R42" s="585">
        <f>SUM('Schedule 3B_Income_Eastern:Schedule 3D_Income_The Cape'!R42)</f>
        <v>0</v>
      </c>
      <c r="S42" s="585">
        <f>SUM('Schedule 3B_Income_Eastern:Schedule 3D_Income_The Cape'!S42)</f>
        <v>37146.127210047598</v>
      </c>
      <c r="T42" s="588">
        <f t="shared" si="90"/>
        <v>130615.89819492327</v>
      </c>
      <c r="U42" s="589">
        <f t="shared" si="91"/>
        <v>283842.60003164673</v>
      </c>
      <c r="V42" s="300">
        <v>20</v>
      </c>
      <c r="W42" s="585">
        <f>SUM('Schedule 3B_Income_Eastern:Schedule 3D_Income_The Cape'!W42)</f>
        <v>0</v>
      </c>
      <c r="X42" s="585">
        <f>SUM('Schedule 3B_Income_Eastern:Schedule 3D_Income_The Cape'!X42)</f>
        <v>5369.3668549440408</v>
      </c>
      <c r="Y42" s="585">
        <f>SUM('Schedule 3B_Income_Eastern:Schedule 3D_Income_The Cape'!Y42)</f>
        <v>68.203401502179062</v>
      </c>
      <c r="Z42" s="585">
        <f>SUM('Schedule 3B_Income_Eastern:Schedule 3D_Income_The Cape'!Z42)</f>
        <v>2228.8771311792266</v>
      </c>
      <c r="AA42" s="585">
        <f>SUM('Schedule 3B_Income_Eastern:Schedule 3D_Income_The Cape'!AA42)</f>
        <v>206.52946550996751</v>
      </c>
      <c r="AB42" s="585">
        <f>SUM('Schedule 3B_Income_Eastern:Schedule 3D_Income_The Cape'!AB42)</f>
        <v>4148.9441102468791</v>
      </c>
      <c r="AC42" s="585">
        <f>SUM('Schedule 3B_Income_Eastern:Schedule 3D_Income_The Cape'!AC42)</f>
        <v>779.38800929490026</v>
      </c>
      <c r="AD42" s="585">
        <f>SUM('Schedule 3B_Income_Eastern:Schedule 3D_Income_The Cape'!AD42)</f>
        <v>55.656358011060938</v>
      </c>
      <c r="AE42" s="586">
        <f t="shared" si="92"/>
        <v>12856.965330688256</v>
      </c>
      <c r="AF42" s="587">
        <f>SUM('Schedule 3B_Income_Eastern:Schedule 3D_Income_The Cape'!AF42)</f>
        <v>0</v>
      </c>
      <c r="AG42" s="585">
        <f>SUM('Schedule 3B_Income_Eastern:Schedule 3D_Income_The Cape'!AG42)</f>
        <v>9994.5541927656341</v>
      </c>
      <c r="AH42" s="585">
        <f>SUM('Schedule 3B_Income_Eastern:Schedule 3D_Income_The Cape'!AH42)</f>
        <v>0</v>
      </c>
      <c r="AI42" s="585">
        <f>SUM('Schedule 3B_Income_Eastern:Schedule 3D_Income_The Cape'!AI42)</f>
        <v>14612.549664135606</v>
      </c>
      <c r="AJ42" s="585">
        <f>SUM('Schedule 3B_Income_Eastern:Schedule 3D_Income_The Cape'!AJ42)</f>
        <v>0</v>
      </c>
      <c r="AK42" s="585">
        <f>SUM('Schedule 3B_Income_Eastern:Schedule 3D_Income_The Cape'!AK42)</f>
        <v>9492.9861103643725</v>
      </c>
      <c r="AL42" s="585">
        <f>SUM('Schedule 3B_Income_Eastern:Schedule 3D_Income_The Cape'!AL42)</f>
        <v>0</v>
      </c>
      <c r="AM42" s="585">
        <f>SUM('Schedule 3B_Income_Eastern:Schedule 3D_Income_The Cape'!AM42)</f>
        <v>9558.3416778472674</v>
      </c>
      <c r="AN42" s="588">
        <f t="shared" si="93"/>
        <v>43658.431645112876</v>
      </c>
      <c r="AO42" s="589">
        <f t="shared" si="94"/>
        <v>56515.39697580113</v>
      </c>
      <c r="AP42" s="300">
        <v>20</v>
      </c>
      <c r="AQ42" s="585">
        <f>SUM('Schedule 3B_Income_Eastern:Schedule 3D_Income_The Cape'!AQ42)</f>
        <v>108050.62478673569</v>
      </c>
      <c r="AR42" s="585">
        <f>SUM('Schedule 3B_Income_Eastern:Schedule 3D_Income_The Cape'!AR42)</f>
        <v>135083.52087591612</v>
      </c>
      <c r="AS42" s="585">
        <f>SUM('Schedule 3B_Income_Eastern:Schedule 3D_Income_The Cape'!AS42)</f>
        <v>49601.726135418583</v>
      </c>
      <c r="AT42" s="585">
        <f>SUM('Schedule 3B_Income_Eastern:Schedule 3D_Income_The Cape'!AT42)</f>
        <v>85830.129304289818</v>
      </c>
      <c r="AU42" s="585">
        <f>SUM('Schedule 3B_Income_Eastern:Schedule 3D_Income_The Cape'!AU42)</f>
        <v>54785.150032429054</v>
      </c>
      <c r="AV42" s="585">
        <f>SUM('Schedule 3B_Income_Eastern:Schedule 3D_Income_The Cape'!AV42)</f>
        <v>87652.087189790676</v>
      </c>
      <c r="AW42" s="585">
        <f>SUM('Schedule 3B_Income_Eastern:Schedule 3D_Income_The Cape'!AW42)</f>
        <v>64601.740291659211</v>
      </c>
      <c r="AX42" s="585">
        <f>SUM('Schedule 3B_Income_Eastern:Schedule 3D_Income_The Cape'!AX42)</f>
        <v>101293.1262324821</v>
      </c>
      <c r="AY42" s="586">
        <f t="shared" si="95"/>
        <v>686898.1048487213</v>
      </c>
      <c r="AZ42" s="587">
        <f>SUM('Schedule 3B_Income_Eastern:Schedule 3D_Income_The Cape'!AZ42)</f>
        <v>0</v>
      </c>
      <c r="BA42" s="585">
        <f>SUM('Schedule 3B_Income_Eastern:Schedule 3D_Income_The Cape'!BA42)</f>
        <v>111355.12879237771</v>
      </c>
      <c r="BB42" s="585">
        <f>SUM('Schedule 3B_Income_Eastern:Schedule 3D_Income_The Cape'!BB42)</f>
        <v>0</v>
      </c>
      <c r="BC42" s="585">
        <f>SUM('Schedule 3B_Income_Eastern:Schedule 3D_Income_The Cape'!BC42)</f>
        <v>133626.96082565142</v>
      </c>
      <c r="BD42" s="585">
        <f>SUM('Schedule 3B_Income_Eastern:Schedule 3D_Income_The Cape'!BD42)</f>
        <v>0</v>
      </c>
      <c r="BE42" s="585">
        <f>SUM('Schedule 3B_Income_Eastern:Schedule 3D_Income_The Cape'!BE42)</f>
        <v>147507.34911419373</v>
      </c>
      <c r="BF42" s="585">
        <f>SUM('Schedule 3B_Income_Eastern:Schedule 3D_Income_The Cape'!BF42)</f>
        <v>0</v>
      </c>
      <c r="BG42" s="585">
        <f>SUM('Schedule 3B_Income_Eastern:Schedule 3D_Income_The Cape'!BG42)</f>
        <v>167682.97657707421</v>
      </c>
      <c r="BH42" s="588">
        <f t="shared" si="96"/>
        <v>560172.41530929715</v>
      </c>
      <c r="BI42" s="589">
        <f t="shared" si="97"/>
        <v>1247070.5201580185</v>
      </c>
      <c r="BJ42" s="300">
        <v>20</v>
      </c>
      <c r="BK42" s="585">
        <f>SUM('Schedule 3B_Income_Eastern:Schedule 3D_Income_The Cape'!BK42)</f>
        <v>0</v>
      </c>
      <c r="BL42" s="585">
        <f>SUM('Schedule 3B_Income_Eastern:Schedule 3D_Income_The Cape'!BL42)</f>
        <v>2431.0802030481705</v>
      </c>
      <c r="BM42" s="585">
        <f>SUM('Schedule 3B_Income_Eastern:Schedule 3D_Income_The Cape'!BM42)</f>
        <v>0</v>
      </c>
      <c r="BN42" s="585">
        <f>SUM('Schedule 3B_Income_Eastern:Schedule 3D_Income_The Cape'!BN42)</f>
        <v>9990.3540127433043</v>
      </c>
      <c r="BO42" s="585">
        <f>SUM('Schedule 3B_Income_Eastern:Schedule 3D_Income_The Cape'!BO42)</f>
        <v>0</v>
      </c>
      <c r="BP42" s="585">
        <f>SUM('Schedule 3B_Income_Eastern:Schedule 3D_Income_The Cape'!BP42)</f>
        <v>946.38077972579674</v>
      </c>
      <c r="BQ42" s="585">
        <f>SUM('Schedule 3B_Income_Eastern:Schedule 3D_Income_The Cape'!BQ42)</f>
        <v>0</v>
      </c>
      <c r="BR42" s="585">
        <f>SUM('Schedule 3B_Income_Eastern:Schedule 3D_Income_The Cape'!BR42)</f>
        <v>5360.145070173272</v>
      </c>
      <c r="BS42" s="586">
        <f t="shared" si="98"/>
        <v>18727.960065690542</v>
      </c>
      <c r="BT42" s="587">
        <f>SUM('Schedule 3B_Income_Eastern:Schedule 3D_Income_The Cape'!BT42)</f>
        <v>0</v>
      </c>
      <c r="BU42" s="585">
        <f>SUM('Schedule 3B_Income_Eastern:Schedule 3D_Income_The Cape'!BU42)</f>
        <v>1663.4081857361084</v>
      </c>
      <c r="BV42" s="585">
        <f>SUM('Schedule 3B_Income_Eastern:Schedule 3D_Income_The Cape'!BV42)</f>
        <v>0</v>
      </c>
      <c r="BW42" s="585">
        <f>SUM('Schedule 3B_Income_Eastern:Schedule 3D_Income_The Cape'!BW42)</f>
        <v>839.23349226223093</v>
      </c>
      <c r="BX42" s="585">
        <f>SUM('Schedule 3B_Income_Eastern:Schedule 3D_Income_The Cape'!BX42)</f>
        <v>0</v>
      </c>
      <c r="BY42" s="585">
        <f>SUM('Schedule 3B_Income_Eastern:Schedule 3D_Income_The Cape'!BY42)</f>
        <v>1058.8201954724987</v>
      </c>
      <c r="BZ42" s="585">
        <f>SUM('Schedule 3B_Income_Eastern:Schedule 3D_Income_The Cape'!BZ42)</f>
        <v>0</v>
      </c>
      <c r="CA42" s="585">
        <f>SUM('Schedule 3B_Income_Eastern:Schedule 3D_Income_The Cape'!CA42)</f>
        <v>1575.7559558224516</v>
      </c>
      <c r="CB42" s="588">
        <f t="shared" si="99"/>
        <v>5137.2178292932895</v>
      </c>
      <c r="CC42" s="589">
        <f t="shared" si="100"/>
        <v>23865.177894983834</v>
      </c>
      <c r="CD42" s="300">
        <v>20</v>
      </c>
      <c r="CE42" s="414">
        <f t="shared" si="101"/>
        <v>299932.53611602751</v>
      </c>
      <c r="CF42" s="414">
        <f t="shared" si="102"/>
        <v>173740.92373034751</v>
      </c>
      <c r="CG42" s="414">
        <f t="shared" si="103"/>
        <v>189671.77123553841</v>
      </c>
      <c r="CH42" s="414">
        <f t="shared" si="104"/>
        <v>208364.50099991015</v>
      </c>
      <c r="CI42" s="416">
        <f t="shared" si="105"/>
        <v>871709.73208182352</v>
      </c>
      <c r="CJ42" s="414">
        <f t="shared" si="106"/>
        <v>144997.2522706234</v>
      </c>
      <c r="CK42" s="414">
        <f t="shared" si="107"/>
        <v>183112.5032483346</v>
      </c>
      <c r="CL42" s="414">
        <f t="shared" si="108"/>
        <v>195511.00603887701</v>
      </c>
      <c r="CM42" s="414">
        <f t="shared" si="109"/>
        <v>215963.20142079153</v>
      </c>
      <c r="CN42" s="416">
        <f t="shared" si="110"/>
        <v>739583.9629786266</v>
      </c>
      <c r="CO42" s="414">
        <f t="shared" si="111"/>
        <v>444929.78838665085</v>
      </c>
      <c r="CP42" s="414">
        <f t="shared" si="112"/>
        <v>356853.42697868211</v>
      </c>
      <c r="CQ42" s="414">
        <f t="shared" si="113"/>
        <v>385182.77727441542</v>
      </c>
      <c r="CR42" s="414">
        <f t="shared" si="114"/>
        <v>424327.70242070162</v>
      </c>
      <c r="CS42" s="416">
        <f t="shared" si="115"/>
        <v>1611293.6950604501</v>
      </c>
    </row>
    <row r="43" spans="1:101" ht="15.75" customHeight="1">
      <c r="A43" s="88" t="s">
        <v>206</v>
      </c>
      <c r="B43" s="300">
        <v>21</v>
      </c>
      <c r="C43" s="585">
        <f>SUM('Schedule 3B_Income_Eastern:Schedule 3D_Income_The Cape'!C43)</f>
        <v>0</v>
      </c>
      <c r="D43" s="585">
        <f>SUM('Schedule 3B_Income_Eastern:Schedule 3D_Income_The Cape'!D43)</f>
        <v>0</v>
      </c>
      <c r="E43" s="585">
        <f>SUM('Schedule 3B_Income_Eastern:Schedule 3D_Income_The Cape'!E43)</f>
        <v>0</v>
      </c>
      <c r="F43" s="585">
        <f>SUM('Schedule 3B_Income_Eastern:Schedule 3D_Income_The Cape'!F43)</f>
        <v>0</v>
      </c>
      <c r="G43" s="585">
        <f>SUM('Schedule 3B_Income_Eastern:Schedule 3D_Income_The Cape'!G43)</f>
        <v>0</v>
      </c>
      <c r="H43" s="585">
        <f>SUM('Schedule 3B_Income_Eastern:Schedule 3D_Income_The Cape'!H43)</f>
        <v>0</v>
      </c>
      <c r="I43" s="585">
        <f>SUM('Schedule 3B_Income_Eastern:Schedule 3D_Income_The Cape'!I43)</f>
        <v>0</v>
      </c>
      <c r="J43" s="585">
        <f>SUM('Schedule 3B_Income_Eastern:Schedule 3D_Income_The Cape'!J43)</f>
        <v>0</v>
      </c>
      <c r="K43" s="586">
        <f t="shared" si="89"/>
        <v>0</v>
      </c>
      <c r="L43" s="587">
        <f>SUM('Schedule 3B_Income_Eastern:Schedule 3D_Income_The Cape'!L43)</f>
        <v>0</v>
      </c>
      <c r="M43" s="585">
        <f>SUM('Schedule 3B_Income_Eastern:Schedule 3D_Income_The Cape'!M43)</f>
        <v>948250</v>
      </c>
      <c r="N43" s="585">
        <f>SUM('Schedule 3B_Income_Eastern:Schedule 3D_Income_The Cape'!N43)</f>
        <v>0</v>
      </c>
      <c r="O43" s="585">
        <f>SUM('Schedule 3B_Income_Eastern:Schedule 3D_Income_The Cape'!O43)</f>
        <v>845365</v>
      </c>
      <c r="P43" s="585">
        <f>SUM('Schedule 3B_Income_Eastern:Schedule 3D_Income_The Cape'!P43)</f>
        <v>0</v>
      </c>
      <c r="Q43" s="585">
        <f>SUM('Schedule 3B_Income_Eastern:Schedule 3D_Income_The Cape'!Q43)</f>
        <v>1240713</v>
      </c>
      <c r="R43" s="585">
        <f>SUM('Schedule 3B_Income_Eastern:Schedule 3D_Income_The Cape'!R43)</f>
        <v>0</v>
      </c>
      <c r="S43" s="585">
        <f>SUM('Schedule 3B_Income_Eastern:Schedule 3D_Income_The Cape'!S43)</f>
        <v>1361176</v>
      </c>
      <c r="T43" s="588">
        <f t="shared" si="90"/>
        <v>4395504</v>
      </c>
      <c r="U43" s="589">
        <f t="shared" si="91"/>
        <v>4395504</v>
      </c>
      <c r="V43" s="300">
        <v>21</v>
      </c>
      <c r="W43" s="585">
        <f>SUM('Schedule 3B_Income_Eastern:Schedule 3D_Income_The Cape'!W43)</f>
        <v>0</v>
      </c>
      <c r="X43" s="585">
        <f>SUM('Schedule 3B_Income_Eastern:Schedule 3D_Income_The Cape'!X43)</f>
        <v>0</v>
      </c>
      <c r="Y43" s="585">
        <f>SUM('Schedule 3B_Income_Eastern:Schedule 3D_Income_The Cape'!Y43)</f>
        <v>0</v>
      </c>
      <c r="Z43" s="585">
        <f>SUM('Schedule 3B_Income_Eastern:Schedule 3D_Income_The Cape'!Z43)</f>
        <v>0</v>
      </c>
      <c r="AA43" s="585">
        <f>SUM('Schedule 3B_Income_Eastern:Schedule 3D_Income_The Cape'!AA43)</f>
        <v>0</v>
      </c>
      <c r="AB43" s="585">
        <f>SUM('Schedule 3B_Income_Eastern:Schedule 3D_Income_The Cape'!AB43)</f>
        <v>0</v>
      </c>
      <c r="AC43" s="585">
        <f>SUM('Schedule 3B_Income_Eastern:Schedule 3D_Income_The Cape'!AC43)</f>
        <v>0</v>
      </c>
      <c r="AD43" s="585">
        <f>SUM('Schedule 3B_Income_Eastern:Schedule 3D_Income_The Cape'!AD43)</f>
        <v>0</v>
      </c>
      <c r="AE43" s="586">
        <f t="shared" si="92"/>
        <v>0</v>
      </c>
      <c r="AF43" s="587">
        <f>SUM('Schedule 3B_Income_Eastern:Schedule 3D_Income_The Cape'!AF43)</f>
        <v>0</v>
      </c>
      <c r="AG43" s="585">
        <f>SUM('Schedule 3B_Income_Eastern:Schedule 3D_Income_The Cape'!AG43)</f>
        <v>360205</v>
      </c>
      <c r="AH43" s="585">
        <f>SUM('Schedule 3B_Income_Eastern:Schedule 3D_Income_The Cape'!AH43)</f>
        <v>0</v>
      </c>
      <c r="AI43" s="585">
        <f>SUM('Schedule 3B_Income_Eastern:Schedule 3D_Income_The Cape'!AI43)</f>
        <v>271806</v>
      </c>
      <c r="AJ43" s="585">
        <f>SUM('Schedule 3B_Income_Eastern:Schedule 3D_Income_The Cape'!AJ43)</f>
        <v>0</v>
      </c>
      <c r="AK43" s="585">
        <f>SUM('Schedule 3B_Income_Eastern:Schedule 3D_Income_The Cape'!AK43)</f>
        <v>305843</v>
      </c>
      <c r="AL43" s="585">
        <f>SUM('Schedule 3B_Income_Eastern:Schedule 3D_Income_The Cape'!AL43)</f>
        <v>0</v>
      </c>
      <c r="AM43" s="585">
        <f>SUM('Schedule 3B_Income_Eastern:Schedule 3D_Income_The Cape'!AM43)</f>
        <v>318573</v>
      </c>
      <c r="AN43" s="588">
        <f t="shared" si="93"/>
        <v>1256427</v>
      </c>
      <c r="AO43" s="589">
        <f t="shared" si="94"/>
        <v>1256427</v>
      </c>
      <c r="AP43" s="300">
        <v>21</v>
      </c>
      <c r="AQ43" s="585">
        <f>SUM('Schedule 3B_Income_Eastern:Schedule 3D_Income_The Cape'!AQ43)</f>
        <v>0</v>
      </c>
      <c r="AR43" s="585">
        <f>SUM('Schedule 3B_Income_Eastern:Schedule 3D_Income_The Cape'!AR43)</f>
        <v>0</v>
      </c>
      <c r="AS43" s="585">
        <f>SUM('Schedule 3B_Income_Eastern:Schedule 3D_Income_The Cape'!AS43)</f>
        <v>0</v>
      </c>
      <c r="AT43" s="585">
        <f>SUM('Schedule 3B_Income_Eastern:Schedule 3D_Income_The Cape'!AT43)</f>
        <v>0</v>
      </c>
      <c r="AU43" s="585">
        <f>SUM('Schedule 3B_Income_Eastern:Schedule 3D_Income_The Cape'!AU43)</f>
        <v>0</v>
      </c>
      <c r="AV43" s="585">
        <f>SUM('Schedule 3B_Income_Eastern:Schedule 3D_Income_The Cape'!AV43)</f>
        <v>0</v>
      </c>
      <c r="AW43" s="585">
        <f>SUM('Schedule 3B_Income_Eastern:Schedule 3D_Income_The Cape'!AW43)</f>
        <v>0</v>
      </c>
      <c r="AX43" s="585">
        <f>SUM('Schedule 3B_Income_Eastern:Schedule 3D_Income_The Cape'!AX43)</f>
        <v>0</v>
      </c>
      <c r="AY43" s="586">
        <f t="shared" si="95"/>
        <v>0</v>
      </c>
      <c r="AZ43" s="587">
        <f>SUM('Schedule 3B_Income_Eastern:Schedule 3D_Income_The Cape'!AZ43)</f>
        <v>0</v>
      </c>
      <c r="BA43" s="585">
        <f>SUM('Schedule 3B_Income_Eastern:Schedule 3D_Income_The Cape'!BA43)</f>
        <v>8774307</v>
      </c>
      <c r="BB43" s="585">
        <f>SUM('Schedule 3B_Income_Eastern:Schedule 3D_Income_The Cape'!BB43)</f>
        <v>0</v>
      </c>
      <c r="BC43" s="585">
        <f>SUM('Schedule 3B_Income_Eastern:Schedule 3D_Income_The Cape'!BC43)</f>
        <v>8705394</v>
      </c>
      <c r="BD43" s="585">
        <f>SUM('Schedule 3B_Income_Eastern:Schedule 3D_Income_The Cape'!BD43)</f>
        <v>0</v>
      </c>
      <c r="BE43" s="585">
        <f>SUM('Schedule 3B_Income_Eastern:Schedule 3D_Income_The Cape'!BE43)</f>
        <v>9160573</v>
      </c>
      <c r="BF43" s="585">
        <f>SUM('Schedule 3B_Income_Eastern:Schedule 3D_Income_The Cape'!BF43)</f>
        <v>0</v>
      </c>
      <c r="BG43" s="585">
        <f>SUM('Schedule 3B_Income_Eastern:Schedule 3D_Income_The Cape'!BG43)</f>
        <v>8964256</v>
      </c>
      <c r="BH43" s="588">
        <f t="shared" si="96"/>
        <v>35604530</v>
      </c>
      <c r="BI43" s="589">
        <f t="shared" si="97"/>
        <v>35604530</v>
      </c>
      <c r="BJ43" s="300">
        <v>21</v>
      </c>
      <c r="BK43" s="585">
        <f>SUM('Schedule 3B_Income_Eastern:Schedule 3D_Income_The Cape'!BK43)</f>
        <v>0</v>
      </c>
      <c r="BL43" s="585">
        <f>SUM('Schedule 3B_Income_Eastern:Schedule 3D_Income_The Cape'!BL43)</f>
        <v>0</v>
      </c>
      <c r="BM43" s="585">
        <f>SUM('Schedule 3B_Income_Eastern:Schedule 3D_Income_The Cape'!BM43)</f>
        <v>0</v>
      </c>
      <c r="BN43" s="585">
        <f>SUM('Schedule 3B_Income_Eastern:Schedule 3D_Income_The Cape'!BN43)</f>
        <v>0</v>
      </c>
      <c r="BO43" s="585">
        <f>SUM('Schedule 3B_Income_Eastern:Schedule 3D_Income_The Cape'!BO43)</f>
        <v>0</v>
      </c>
      <c r="BP43" s="585">
        <f>SUM('Schedule 3B_Income_Eastern:Schedule 3D_Income_The Cape'!BP43)</f>
        <v>0</v>
      </c>
      <c r="BQ43" s="585">
        <f>SUM('Schedule 3B_Income_Eastern:Schedule 3D_Income_The Cape'!BQ43)</f>
        <v>0</v>
      </c>
      <c r="BR43" s="585">
        <f>SUM('Schedule 3B_Income_Eastern:Schedule 3D_Income_The Cape'!BR43)</f>
        <v>0</v>
      </c>
      <c r="BS43" s="586">
        <f t="shared" si="98"/>
        <v>0</v>
      </c>
      <c r="BT43" s="587">
        <f>SUM('Schedule 3B_Income_Eastern:Schedule 3D_Income_The Cape'!BT43)</f>
        <v>0</v>
      </c>
      <c r="BU43" s="585">
        <f>SUM('Schedule 3B_Income_Eastern:Schedule 3D_Income_The Cape'!BU43)</f>
        <v>391004</v>
      </c>
      <c r="BV43" s="585">
        <f>SUM('Schedule 3B_Income_Eastern:Schedule 3D_Income_The Cape'!BV43)</f>
        <v>0</v>
      </c>
      <c r="BW43" s="585">
        <f>SUM('Schedule 3B_Income_Eastern:Schedule 3D_Income_The Cape'!BW43)</f>
        <v>513073</v>
      </c>
      <c r="BX43" s="585">
        <f>SUM('Schedule 3B_Income_Eastern:Schedule 3D_Income_The Cape'!BX43)</f>
        <v>0</v>
      </c>
      <c r="BY43" s="585">
        <f>SUM('Schedule 3B_Income_Eastern:Schedule 3D_Income_The Cape'!BY43)</f>
        <v>382935</v>
      </c>
      <c r="BZ43" s="585">
        <f>SUM('Schedule 3B_Income_Eastern:Schedule 3D_Income_The Cape'!BZ43)</f>
        <v>0</v>
      </c>
      <c r="CA43" s="585">
        <f>SUM('Schedule 3B_Income_Eastern:Schedule 3D_Income_The Cape'!CA43)</f>
        <v>285835</v>
      </c>
      <c r="CB43" s="588">
        <f t="shared" si="99"/>
        <v>1572847</v>
      </c>
      <c r="CC43" s="589">
        <f t="shared" si="100"/>
        <v>1572847</v>
      </c>
      <c r="CD43" s="300">
        <v>21</v>
      </c>
      <c r="CE43" s="414">
        <f t="shared" si="101"/>
        <v>0</v>
      </c>
      <c r="CF43" s="414">
        <f t="shared" si="102"/>
        <v>0</v>
      </c>
      <c r="CG43" s="414">
        <f t="shared" si="103"/>
        <v>0</v>
      </c>
      <c r="CH43" s="414">
        <f t="shared" si="104"/>
        <v>0</v>
      </c>
      <c r="CI43" s="416">
        <f t="shared" si="105"/>
        <v>0</v>
      </c>
      <c r="CJ43" s="414">
        <f t="shared" si="106"/>
        <v>10473766</v>
      </c>
      <c r="CK43" s="414">
        <f t="shared" si="107"/>
        <v>10335638</v>
      </c>
      <c r="CL43" s="414">
        <f t="shared" si="108"/>
        <v>11090064</v>
      </c>
      <c r="CM43" s="414">
        <f t="shared" si="109"/>
        <v>10929840</v>
      </c>
      <c r="CN43" s="416">
        <f t="shared" si="110"/>
        <v>42829308</v>
      </c>
      <c r="CO43" s="414">
        <f t="shared" si="111"/>
        <v>10473766</v>
      </c>
      <c r="CP43" s="414">
        <f t="shared" si="112"/>
        <v>10335638</v>
      </c>
      <c r="CQ43" s="414">
        <f t="shared" si="113"/>
        <v>11090064</v>
      </c>
      <c r="CR43" s="414">
        <f t="shared" si="114"/>
        <v>10929840</v>
      </c>
      <c r="CS43" s="416">
        <f t="shared" si="115"/>
        <v>42829308</v>
      </c>
    </row>
    <row r="44" spans="1:101" ht="15.75" customHeight="1">
      <c r="A44" s="88" t="s">
        <v>207</v>
      </c>
      <c r="B44" s="300">
        <v>22</v>
      </c>
      <c r="C44" s="585">
        <f>SUM('Schedule 3B_Income_Eastern:Schedule 3D_Income_The Cape'!C44)</f>
        <v>305860.3</v>
      </c>
      <c r="D44" s="585">
        <f>SUM('Schedule 3B_Income_Eastern:Schedule 3D_Income_The Cape'!D44)</f>
        <v>0</v>
      </c>
      <c r="E44" s="585">
        <f>SUM('Schedule 3B_Income_Eastern:Schedule 3D_Income_The Cape'!E44)</f>
        <v>334444.70221507753</v>
      </c>
      <c r="F44" s="585">
        <f>SUM('Schedule 3B_Income_Eastern:Schedule 3D_Income_The Cape'!F44)</f>
        <v>22300.646727583233</v>
      </c>
      <c r="G44" s="585">
        <f>SUM('Schedule 3B_Income_Eastern:Schedule 3D_Income_The Cape'!G44)</f>
        <v>310433.60489645298</v>
      </c>
      <c r="H44" s="585">
        <f>SUM('Schedule 3B_Income_Eastern:Schedule 3D_Income_The Cape'!H44)</f>
        <v>327.14672296515141</v>
      </c>
      <c r="I44" s="585">
        <f>SUM('Schedule 3B_Income_Eastern:Schedule 3D_Income_The Cape'!I44)</f>
        <v>254856.01</v>
      </c>
      <c r="J44" s="585">
        <f>SUM('Schedule 3B_Income_Eastern:Schedule 3D_Income_The Cape'!J44)</f>
        <v>50.608114774077244</v>
      </c>
      <c r="K44" s="586">
        <f t="shared" ref="K44" si="116">SUM(C44:J44)</f>
        <v>1228273.018676853</v>
      </c>
      <c r="L44" s="587">
        <f>SUM('Schedule 3B_Income_Eastern:Schedule 3D_Income_The Cape'!L44)</f>
        <v>0</v>
      </c>
      <c r="M44" s="585">
        <f>SUM('Schedule 3B_Income_Eastern:Schedule 3D_Income_The Cape'!M44)</f>
        <v>716009.11541108531</v>
      </c>
      <c r="N44" s="585">
        <f>SUM('Schedule 3B_Income_Eastern:Schedule 3D_Income_The Cape'!N44)</f>
        <v>0</v>
      </c>
      <c r="O44" s="585">
        <f>SUM('Schedule 3B_Income_Eastern:Schedule 3D_Income_The Cape'!O44)</f>
        <v>901239.44804645656</v>
      </c>
      <c r="P44" s="585">
        <f>SUM('Schedule 3B_Income_Eastern:Schedule 3D_Income_The Cape'!P44)</f>
        <v>0</v>
      </c>
      <c r="Q44" s="585">
        <f>SUM('Schedule 3B_Income_Eastern:Schedule 3D_Income_The Cape'!Q44)</f>
        <v>832954.08511237788</v>
      </c>
      <c r="R44" s="585">
        <f>SUM('Schedule 3B_Income_Eastern:Schedule 3D_Income_The Cape'!R44)</f>
        <v>0</v>
      </c>
      <c r="S44" s="585">
        <f>SUM('Schedule 3B_Income_Eastern:Schedule 3D_Income_The Cape'!S44)</f>
        <v>629288.15650604886</v>
      </c>
      <c r="T44" s="588">
        <f>SUM(L44:S44)</f>
        <v>3079490.8050759686</v>
      </c>
      <c r="U44" s="589">
        <f>SUM(T44,K44)</f>
        <v>4307763.8237528214</v>
      </c>
      <c r="V44" s="300">
        <v>22</v>
      </c>
      <c r="W44" s="585">
        <f>SUM('Schedule 3B_Income_Eastern:Schedule 3D_Income_The Cape'!W44)</f>
        <v>25159.420000000002</v>
      </c>
      <c r="X44" s="585">
        <f>SUM('Schedule 3B_Income_Eastern:Schedule 3D_Income_The Cape'!X44)</f>
        <v>0</v>
      </c>
      <c r="Y44" s="585">
        <f>SUM('Schedule 3B_Income_Eastern:Schedule 3D_Income_The Cape'!Y44)</f>
        <v>10688.606086838276</v>
      </c>
      <c r="Z44" s="585">
        <f>SUM('Schedule 3B_Income_Eastern:Schedule 3D_Income_The Cape'!Z44)</f>
        <v>1607.313455518706</v>
      </c>
      <c r="AA44" s="585">
        <f>SUM('Schedule 3B_Income_Eastern:Schedule 3D_Income_The Cape'!AA44)</f>
        <v>13530.28</v>
      </c>
      <c r="AB44" s="585">
        <f>SUM('Schedule 3B_Income_Eastern:Schedule 3D_Income_The Cape'!AB44)</f>
        <v>0</v>
      </c>
      <c r="AC44" s="585">
        <f>SUM('Schedule 3B_Income_Eastern:Schedule 3D_Income_The Cape'!AC44)</f>
        <v>23453.199999999997</v>
      </c>
      <c r="AD44" s="585">
        <f>SUM('Schedule 3B_Income_Eastern:Schedule 3D_Income_The Cape'!AD44)</f>
        <v>0</v>
      </c>
      <c r="AE44" s="586">
        <f t="shared" ref="AE44" si="117">SUM(W44:AD44)</f>
        <v>74438.81954235697</v>
      </c>
      <c r="AF44" s="587">
        <f>SUM('Schedule 3B_Income_Eastern:Schedule 3D_Income_The Cape'!AF44)</f>
        <v>0</v>
      </c>
      <c r="AG44" s="585">
        <f>SUM('Schedule 3B_Income_Eastern:Schedule 3D_Income_The Cape'!AG44)</f>
        <v>410271.47829208698</v>
      </c>
      <c r="AH44" s="585">
        <f>SUM('Schedule 3B_Income_Eastern:Schedule 3D_Income_The Cape'!AH44)</f>
        <v>0</v>
      </c>
      <c r="AI44" s="585">
        <f>SUM('Schedule 3B_Income_Eastern:Schedule 3D_Income_The Cape'!AI44)</f>
        <v>416274.14450808987</v>
      </c>
      <c r="AJ44" s="585">
        <f>SUM('Schedule 3B_Income_Eastern:Schedule 3D_Income_The Cape'!AJ44)</f>
        <v>0</v>
      </c>
      <c r="AK44" s="585">
        <f>SUM('Schedule 3B_Income_Eastern:Schedule 3D_Income_The Cape'!AK44)</f>
        <v>486206.76</v>
      </c>
      <c r="AL44" s="585">
        <f>SUM('Schedule 3B_Income_Eastern:Schedule 3D_Income_The Cape'!AL44)</f>
        <v>0</v>
      </c>
      <c r="AM44" s="585">
        <f>SUM('Schedule 3B_Income_Eastern:Schedule 3D_Income_The Cape'!AM44)</f>
        <v>446014.55000000005</v>
      </c>
      <c r="AN44" s="588">
        <f t="shared" ref="AN44" si="118">SUM(AF44:AM44)</f>
        <v>1758766.9328001768</v>
      </c>
      <c r="AO44" s="589">
        <f t="shared" ref="AO44" si="119">SUM(AN44,AE44)</f>
        <v>1833205.7523425338</v>
      </c>
      <c r="AP44" s="300">
        <v>22</v>
      </c>
      <c r="AQ44" s="585">
        <f>SUM('Schedule 3B_Income_Eastern:Schedule 3D_Income_The Cape'!AQ44)</f>
        <v>2201475.27</v>
      </c>
      <c r="AR44" s="585">
        <f>SUM('Schedule 3B_Income_Eastern:Schedule 3D_Income_The Cape'!AR44)</f>
        <v>9.4728204337424966</v>
      </c>
      <c r="AS44" s="585">
        <f>SUM('Schedule 3B_Income_Eastern:Schedule 3D_Income_The Cape'!AS44)</f>
        <v>2538540.3705395684</v>
      </c>
      <c r="AT44" s="585">
        <f>SUM('Schedule 3B_Income_Eastern:Schedule 3D_Income_The Cape'!AT44)</f>
        <v>159080.07099211891</v>
      </c>
      <c r="AU44" s="585">
        <f>SUM('Schedule 3B_Income_Eastern:Schedule 3D_Income_The Cape'!AU44)</f>
        <v>2910909.1611470236</v>
      </c>
      <c r="AV44" s="585">
        <f>SUM('Schedule 3B_Income_Eastern:Schedule 3D_Income_The Cape'!AV44)</f>
        <v>1651.1423327917462</v>
      </c>
      <c r="AW44" s="585">
        <f>SUM('Schedule 3B_Income_Eastern:Schedule 3D_Income_The Cape'!AW44)</f>
        <v>3155170.1989113553</v>
      </c>
      <c r="AX44" s="585">
        <f>SUM('Schedule 3B_Income_Eastern:Schedule 3D_Income_The Cape'!AX44)</f>
        <v>1321.9798954674677</v>
      </c>
      <c r="AY44" s="586">
        <f t="shared" ref="AY44" si="120">SUM(AQ44:AX44)</f>
        <v>10968157.666638758</v>
      </c>
      <c r="AZ44" s="587">
        <f>SUM('Schedule 3B_Income_Eastern:Schedule 3D_Income_The Cape'!AZ44)</f>
        <v>0</v>
      </c>
      <c r="BA44" s="585">
        <f>SUM('Schedule 3B_Income_Eastern:Schedule 3D_Income_The Cape'!BA44)</f>
        <v>6314163.2956878031</v>
      </c>
      <c r="BB44" s="585">
        <f>SUM('Schedule 3B_Income_Eastern:Schedule 3D_Income_The Cape'!BB44)</f>
        <v>0</v>
      </c>
      <c r="BC44" s="585">
        <f>SUM('Schedule 3B_Income_Eastern:Schedule 3D_Income_The Cape'!BC44)</f>
        <v>6986767.3283386258</v>
      </c>
      <c r="BD44" s="585">
        <f>SUM('Schedule 3B_Income_Eastern:Schedule 3D_Income_The Cape'!BD44)</f>
        <v>0</v>
      </c>
      <c r="BE44" s="585">
        <f>SUM('Schedule 3B_Income_Eastern:Schedule 3D_Income_The Cape'!BE44)</f>
        <v>7662099.4034995539</v>
      </c>
      <c r="BF44" s="585">
        <f>SUM('Schedule 3B_Income_Eastern:Schedule 3D_Income_The Cape'!BF44)</f>
        <v>0</v>
      </c>
      <c r="BG44" s="585">
        <f>SUM('Schedule 3B_Income_Eastern:Schedule 3D_Income_The Cape'!BG44)</f>
        <v>8917241.222283205</v>
      </c>
      <c r="BH44" s="588">
        <f t="shared" ref="BH44" si="121">SUM(AZ44:BG44)</f>
        <v>29880271.249809191</v>
      </c>
      <c r="BI44" s="589">
        <f t="shared" ref="BI44" si="122">SUM(BH44,AY44)</f>
        <v>40848428.916447952</v>
      </c>
      <c r="BJ44" s="300">
        <v>22</v>
      </c>
      <c r="BK44" s="585">
        <f>SUM('Schedule 3B_Income_Eastern:Schedule 3D_Income_The Cape'!BK44)</f>
        <v>21896.91</v>
      </c>
      <c r="BL44" s="585">
        <f>SUM('Schedule 3B_Income_Eastern:Schedule 3D_Income_The Cape'!BL44)</f>
        <v>0</v>
      </c>
      <c r="BM44" s="585">
        <f>SUM('Schedule 3B_Income_Eastern:Schedule 3D_Income_The Cape'!BM44)</f>
        <v>27257.9294770784</v>
      </c>
      <c r="BN44" s="585">
        <f>SUM('Schedule 3B_Income_Eastern:Schedule 3D_Income_The Cape'!BN44)</f>
        <v>2668.76901104431</v>
      </c>
      <c r="BO44" s="585">
        <f>SUM('Schedule 3B_Income_Eastern:Schedule 3D_Income_The Cape'!BO44)</f>
        <v>25493.56</v>
      </c>
      <c r="BP44" s="585">
        <f>SUM('Schedule 3B_Income_Eastern:Schedule 3D_Income_The Cape'!BP44)</f>
        <v>0</v>
      </c>
      <c r="BQ44" s="585">
        <f>SUM('Schedule 3B_Income_Eastern:Schedule 3D_Income_The Cape'!BQ44)</f>
        <v>49063.549999999996</v>
      </c>
      <c r="BR44" s="585">
        <f>SUM('Schedule 3B_Income_Eastern:Schedule 3D_Income_The Cape'!BR44)</f>
        <v>0</v>
      </c>
      <c r="BS44" s="586">
        <f t="shared" ref="BS44" si="123">SUM(BK44:BR44)</f>
        <v>126380.71848812271</v>
      </c>
      <c r="BT44" s="587">
        <f>SUM('Schedule 3B_Income_Eastern:Schedule 3D_Income_The Cape'!BT44)</f>
        <v>0</v>
      </c>
      <c r="BU44" s="585">
        <f>SUM('Schedule 3B_Income_Eastern:Schedule 3D_Income_The Cape'!BU44)</f>
        <v>113771.09999999998</v>
      </c>
      <c r="BV44" s="585">
        <f>SUM('Schedule 3B_Income_Eastern:Schedule 3D_Income_The Cape'!BV44)</f>
        <v>0</v>
      </c>
      <c r="BW44" s="585">
        <f>SUM('Schedule 3B_Income_Eastern:Schedule 3D_Income_The Cape'!BW44)</f>
        <v>76441.201590801677</v>
      </c>
      <c r="BX44" s="585">
        <f>SUM('Schedule 3B_Income_Eastern:Schedule 3D_Income_The Cape'!BX44)</f>
        <v>0</v>
      </c>
      <c r="BY44" s="585">
        <f>SUM('Schedule 3B_Income_Eastern:Schedule 3D_Income_The Cape'!BY44)</f>
        <v>192036.45000000103</v>
      </c>
      <c r="BZ44" s="585">
        <f>SUM('Schedule 3B_Income_Eastern:Schedule 3D_Income_The Cape'!BZ44)</f>
        <v>0</v>
      </c>
      <c r="CA44" s="585">
        <f>SUM('Schedule 3B_Income_Eastern:Schedule 3D_Income_The Cape'!CA44)</f>
        <v>329248.54000000097</v>
      </c>
      <c r="CB44" s="588">
        <f t="shared" ref="CB44" si="124">SUM(BT44:CA44)</f>
        <v>711497.29159080365</v>
      </c>
      <c r="CC44" s="589">
        <f t="shared" ref="CC44" si="125">SUM(CB44,BS44)</f>
        <v>837878.01007892634</v>
      </c>
      <c r="CD44" s="300">
        <v>22</v>
      </c>
      <c r="CE44" s="414">
        <f t="shared" si="101"/>
        <v>2554401.3728204342</v>
      </c>
      <c r="CF44" s="414">
        <f t="shared" si="102"/>
        <v>3096588.4085048279</v>
      </c>
      <c r="CG44" s="414">
        <f t="shared" si="103"/>
        <v>3262344.8950992338</v>
      </c>
      <c r="CH44" s="414">
        <f t="shared" si="104"/>
        <v>3483915.5469215964</v>
      </c>
      <c r="CI44" s="416">
        <f t="shared" si="105"/>
        <v>12397250.223346092</v>
      </c>
      <c r="CJ44" s="414">
        <f t="shared" si="106"/>
        <v>7554214.9893909749</v>
      </c>
      <c r="CK44" s="414">
        <f t="shared" si="107"/>
        <v>8380722.1224839734</v>
      </c>
      <c r="CL44" s="414">
        <f t="shared" si="108"/>
        <v>9173296.6986119319</v>
      </c>
      <c r="CM44" s="414">
        <f t="shared" si="109"/>
        <v>10321792.468789255</v>
      </c>
      <c r="CN44" s="416">
        <f t="shared" si="110"/>
        <v>35430026.27927614</v>
      </c>
      <c r="CO44" s="414">
        <f t="shared" si="111"/>
        <v>10108616.362211408</v>
      </c>
      <c r="CP44" s="414">
        <f t="shared" si="112"/>
        <v>11477310.530988803</v>
      </c>
      <c r="CQ44" s="414">
        <f t="shared" si="113"/>
        <v>12435641.593711168</v>
      </c>
      <c r="CR44" s="414">
        <f t="shared" si="114"/>
        <v>13805708.015710853</v>
      </c>
      <c r="CS44" s="416">
        <f t="shared" si="115"/>
        <v>47827276.502622239</v>
      </c>
    </row>
    <row r="45" spans="1:101" ht="15.75" customHeight="1">
      <c r="A45" s="88" t="s">
        <v>209</v>
      </c>
      <c r="B45" s="300">
        <v>23</v>
      </c>
      <c r="C45" s="585">
        <f>SUM('Schedule 3B_Income_Eastern:Schedule 3D_Income_The Cape'!C45)</f>
        <v>223051.93883042881</v>
      </c>
      <c r="D45" s="585">
        <f>SUM('Schedule 3B_Income_Eastern:Schedule 3D_Income_The Cape'!D45)</f>
        <v>0</v>
      </c>
      <c r="E45" s="585">
        <f>SUM('Schedule 3B_Income_Eastern:Schedule 3D_Income_The Cape'!E45)</f>
        <v>255043.19191398146</v>
      </c>
      <c r="F45" s="585">
        <f>SUM('Schedule 3B_Income_Eastern:Schedule 3D_Income_The Cape'!F45)</f>
        <v>22300.646727583233</v>
      </c>
      <c r="G45" s="585">
        <f>SUM('Schedule 3B_Income_Eastern:Schedule 3D_Income_The Cape'!G45)</f>
        <v>245774.72051291377</v>
      </c>
      <c r="H45" s="585">
        <f>SUM('Schedule 3B_Income_Eastern:Schedule 3D_Income_The Cape'!H45)</f>
        <v>327.14672296515141</v>
      </c>
      <c r="I45" s="585">
        <f>SUM('Schedule 3B_Income_Eastern:Schedule 3D_Income_The Cape'!I45)</f>
        <v>205184.81762029068</v>
      </c>
      <c r="J45" s="585">
        <f>SUM('Schedule 3B_Income_Eastern:Schedule 3D_Income_The Cape'!J45)</f>
        <v>50.608114774077244</v>
      </c>
      <c r="K45" s="586">
        <f t="shared" ref="K45:K47" si="126">SUM(C45:J45)</f>
        <v>951733.07044293731</v>
      </c>
      <c r="L45" s="587">
        <f>SUM('Schedule 3B_Income_Eastern:Schedule 3D_Income_The Cape'!L45)</f>
        <v>0</v>
      </c>
      <c r="M45" s="585">
        <f>SUM('Schedule 3B_Income_Eastern:Schedule 3D_Income_The Cape'!M45)</f>
        <v>217924.22322823163</v>
      </c>
      <c r="N45" s="585">
        <f>SUM('Schedule 3B_Income_Eastern:Schedule 3D_Income_The Cape'!N45)</f>
        <v>0</v>
      </c>
      <c r="O45" s="585">
        <f>SUM('Schedule 3B_Income_Eastern:Schedule 3D_Income_The Cape'!O45)</f>
        <v>399255.1889827759</v>
      </c>
      <c r="P45" s="585">
        <f>SUM('Schedule 3B_Income_Eastern:Schedule 3D_Income_The Cape'!P45)</f>
        <v>0</v>
      </c>
      <c r="Q45" s="585">
        <f>SUM('Schedule 3B_Income_Eastern:Schedule 3D_Income_The Cape'!Q45)</f>
        <v>280607.43251174607</v>
      </c>
      <c r="R45" s="585">
        <f>SUM('Schedule 3B_Income_Eastern:Schedule 3D_Income_The Cape'!R45)</f>
        <v>0</v>
      </c>
      <c r="S45" s="585">
        <f>SUM('Schedule 3B_Income_Eastern:Schedule 3D_Income_The Cape'!S45)</f>
        <v>123679.74525084297</v>
      </c>
      <c r="T45" s="588">
        <f>SUM(L45:S45)</f>
        <v>1021466.5899735966</v>
      </c>
      <c r="U45" s="589">
        <f t="shared" ref="U45:U47" si="127">SUM(T45,K45)</f>
        <v>1973199.6604165339</v>
      </c>
      <c r="V45" s="300">
        <v>23</v>
      </c>
      <c r="W45" s="585">
        <f>SUM('Schedule 3B_Income_Eastern:Schedule 3D_Income_The Cape'!W45)</f>
        <v>18347.77972443324</v>
      </c>
      <c r="X45" s="585">
        <f>SUM('Schedule 3B_Income_Eastern:Schedule 3D_Income_The Cape'!X45)</f>
        <v>0</v>
      </c>
      <c r="Y45" s="585">
        <f>SUM('Schedule 3B_Income_Eastern:Schedule 3D_Income_The Cape'!Y45)</f>
        <v>8133.1017627808742</v>
      </c>
      <c r="Z45" s="585">
        <f>SUM('Schedule 3B_Income_Eastern:Schedule 3D_Income_The Cape'!Z45)</f>
        <v>1607.313455518706</v>
      </c>
      <c r="AA45" s="585">
        <f>SUM('Schedule 3B_Income_Eastern:Schedule 3D_Income_The Cape'!AA45)</f>
        <v>10708.88433324827</v>
      </c>
      <c r="AB45" s="585">
        <f>SUM('Schedule 3B_Income_Eastern:Schedule 3D_Income_The Cape'!AB45)</f>
        <v>0</v>
      </c>
      <c r="AC45" s="585">
        <f>SUM('Schedule 3B_Income_Eastern:Schedule 3D_Income_The Cape'!AC45)</f>
        <v>18882.193771346418</v>
      </c>
      <c r="AD45" s="585">
        <f>SUM('Schedule 3B_Income_Eastern:Schedule 3D_Income_The Cape'!AD45)</f>
        <v>0</v>
      </c>
      <c r="AE45" s="586">
        <f t="shared" ref="AE45:AE47" si="128">SUM(W45:AD45)</f>
        <v>57679.273047327515</v>
      </c>
      <c r="AF45" s="587">
        <f>SUM('Schedule 3B_Income_Eastern:Schedule 3D_Income_The Cape'!AF45)</f>
        <v>0</v>
      </c>
      <c r="AG45" s="585">
        <f>SUM('Schedule 3B_Income_Eastern:Schedule 3D_Income_The Cape'!AG45)</f>
        <v>179674.45198180503</v>
      </c>
      <c r="AH45" s="585">
        <f>SUM('Schedule 3B_Income_Eastern:Schedule 3D_Income_The Cape'!AH45)</f>
        <v>0</v>
      </c>
      <c r="AI45" s="585">
        <f>SUM('Schedule 3B_Income_Eastern:Schedule 3D_Income_The Cape'!AI45)</f>
        <v>217395.14501604944</v>
      </c>
      <c r="AJ45" s="585">
        <f>SUM('Schedule 3B_Income_Eastern:Schedule 3D_Income_The Cape'!AJ45)</f>
        <v>0</v>
      </c>
      <c r="AK45" s="585">
        <f>SUM('Schedule 3B_Income_Eastern:Schedule 3D_Income_The Cape'!AK45)</f>
        <v>275211.51992678805</v>
      </c>
      <c r="AL45" s="585">
        <f>SUM('Schedule 3B_Income_Eastern:Schedule 3D_Income_The Cape'!AL45)</f>
        <v>0</v>
      </c>
      <c r="AM45" s="585">
        <f>SUM('Schedule 3B_Income_Eastern:Schedule 3D_Income_The Cape'!AM45)</f>
        <v>251741.66057598995</v>
      </c>
      <c r="AN45" s="588">
        <f t="shared" ref="AN45:AN47" si="129">SUM(AF45:AM45)</f>
        <v>924022.77750063257</v>
      </c>
      <c r="AO45" s="589">
        <f t="shared" ref="AO45:AO47" si="130">SUM(AN45,AE45)</f>
        <v>981702.0505479601</v>
      </c>
      <c r="AP45" s="300">
        <v>23</v>
      </c>
      <c r="AQ45" s="585">
        <f>SUM('Schedule 3B_Income_Eastern:Schedule 3D_Income_The Cape'!AQ45)</f>
        <v>1605449.701254925</v>
      </c>
      <c r="AR45" s="585">
        <f>SUM('Schedule 3B_Income_Eastern:Schedule 3D_Income_The Cape'!AR45)</f>
        <v>9.4728204337424966</v>
      </c>
      <c r="AS45" s="585">
        <f>SUM('Schedule 3B_Income_Eastern:Schedule 3D_Income_The Cape'!AS45)</f>
        <v>1932047.0587076577</v>
      </c>
      <c r="AT45" s="585">
        <f>SUM('Schedule 3B_Income_Eastern:Schedule 3D_Income_The Cape'!AT45)</f>
        <v>159080.07099211891</v>
      </c>
      <c r="AU45" s="585">
        <f>SUM('Schedule 3B_Income_Eastern:Schedule 3D_Income_The Cape'!AU45)</f>
        <v>2303928.7961313827</v>
      </c>
      <c r="AV45" s="585">
        <f>SUM('Schedule 3B_Income_Eastern:Schedule 3D_Income_The Cape'!AV45)</f>
        <v>1651.1423327917462</v>
      </c>
      <c r="AW45" s="585">
        <f>SUM('Schedule 3B_Income_Eastern:Schedule 3D_Income_The Cape'!AW45)</f>
        <v>2540275.2883459586</v>
      </c>
      <c r="AX45" s="585">
        <f>SUM('Schedule 3B_Income_Eastern:Schedule 3D_Income_The Cape'!AX45)</f>
        <v>1321.9798954674677</v>
      </c>
      <c r="AY45" s="586">
        <f t="shared" ref="AY45:AY47" si="131">SUM(AQ45:AX45)</f>
        <v>8543763.5104807355</v>
      </c>
      <c r="AZ45" s="587">
        <f>SUM('Schedule 3B_Income_Eastern:Schedule 3D_Income_The Cape'!AZ45)</f>
        <v>0</v>
      </c>
      <c r="BA45" s="585">
        <f>SUM('Schedule 3B_Income_Eastern:Schedule 3D_Income_The Cape'!BA45)</f>
        <v>1797606.9323423088</v>
      </c>
      <c r="BB45" s="585">
        <f>SUM('Schedule 3B_Income_Eastern:Schedule 3D_Income_The Cape'!BB45)</f>
        <v>0</v>
      </c>
      <c r="BC45" s="585">
        <f>SUM('Schedule 3B_Income_Eastern:Schedule 3D_Income_The Cape'!BC45)</f>
        <v>2461721.5016950858</v>
      </c>
      <c r="BD45" s="585">
        <f>SUM('Schedule 3B_Income_Eastern:Schedule 3D_Income_The Cape'!BD45)</f>
        <v>0</v>
      </c>
      <c r="BE45" s="585">
        <f>SUM('Schedule 3B_Income_Eastern:Schedule 3D_Income_The Cape'!BE45)</f>
        <v>3182261.0399099081</v>
      </c>
      <c r="BF45" s="585">
        <f>SUM('Schedule 3B_Income_Eastern:Schedule 3D_Income_The Cape'!BF45)</f>
        <v>0</v>
      </c>
      <c r="BG45" s="585">
        <f>SUM('Schedule 3B_Income_Eastern:Schedule 3D_Income_The Cape'!BG45)</f>
        <v>4377060.4656467037</v>
      </c>
      <c r="BH45" s="588">
        <f t="shared" ref="BH45:BH47" si="132">SUM(AZ45:BG45)</f>
        <v>11818649.939594008</v>
      </c>
      <c r="BI45" s="589">
        <f t="shared" ref="BI45:BI47" si="133">SUM(BH45,AY45)</f>
        <v>20362413.450074743</v>
      </c>
      <c r="BJ45" s="300">
        <v>23</v>
      </c>
      <c r="BK45" s="585">
        <f>SUM('Schedule 3B_Income_Eastern:Schedule 3D_Income_The Cape'!BK45)</f>
        <v>15968.55894634055</v>
      </c>
      <c r="BL45" s="585">
        <f>SUM('Schedule 3B_Income_Eastern:Schedule 3D_Income_The Cape'!BL45)</f>
        <v>0</v>
      </c>
      <c r="BM45" s="585">
        <f>SUM('Schedule 3B_Income_Eastern:Schedule 3D_Income_The Cape'!BM45)</f>
        <v>20672.429560633336</v>
      </c>
      <c r="BN45" s="585">
        <f>SUM('Schedule 3B_Income_Eastern:Schedule 3D_Income_The Cape'!BN45)</f>
        <v>2668.76901104431</v>
      </c>
      <c r="BO45" s="585">
        <f>SUM('Schedule 3B_Income_Eastern:Schedule 3D_Income_The Cape'!BO45)</f>
        <v>20177.526650056374</v>
      </c>
      <c r="BP45" s="585">
        <f>SUM('Schedule 3B_Income_Eastern:Schedule 3D_Income_The Cape'!BP45)</f>
        <v>0</v>
      </c>
      <c r="BQ45" s="585">
        <f>SUM('Schedule 3B_Income_Eastern:Schedule 3D_Income_The Cape'!BQ45)</f>
        <v>39501.111072695567</v>
      </c>
      <c r="BR45" s="585">
        <f>SUM('Schedule 3B_Income_Eastern:Schedule 3D_Income_The Cape'!BR45)</f>
        <v>0</v>
      </c>
      <c r="BS45" s="586">
        <f t="shared" ref="BS45:BS47" si="134">SUM(BK45:BR45)</f>
        <v>98988.395240770129</v>
      </c>
      <c r="BT45" s="587">
        <f>SUM('Schedule 3B_Income_Eastern:Schedule 3D_Income_The Cape'!BT45)</f>
        <v>0</v>
      </c>
      <c r="BU45" s="585">
        <f>SUM('Schedule 3B_Income_Eastern:Schedule 3D_Income_The Cape'!BU45)</f>
        <v>-37338.317676180995</v>
      </c>
      <c r="BV45" s="585">
        <f>SUM('Schedule 3B_Income_Eastern:Schedule 3D_Income_The Cape'!BV45)</f>
        <v>0</v>
      </c>
      <c r="BW45" s="585">
        <f>SUM('Schedule 3B_Income_Eastern:Schedule 3D_Income_The Cape'!BW45)</f>
        <v>-93997.412724748225</v>
      </c>
      <c r="BX45" s="585">
        <f>SUM('Schedule 3B_Income_Eastern:Schedule 3D_Income_The Cape'!BX45)</f>
        <v>0</v>
      </c>
      <c r="BY45" s="585">
        <f>SUM('Schedule 3B_Income_Eastern:Schedule 3D_Income_The Cape'!BY45)</f>
        <v>38869.006748667482</v>
      </c>
      <c r="BZ45" s="585">
        <f>SUM('Schedule 3B_Income_Eastern:Schedule 3D_Income_The Cape'!BZ45)</f>
        <v>0</v>
      </c>
      <c r="CA45" s="585">
        <f>SUM('Schedule 3B_Income_Eastern:Schedule 3D_Income_The Cape'!CA45)</f>
        <v>172962.89780086314</v>
      </c>
      <c r="CB45" s="588">
        <f t="shared" ref="CB45:CB47" si="135">SUM(BT45:CA45)</f>
        <v>80496.174148601393</v>
      </c>
      <c r="CC45" s="589">
        <f t="shared" ref="CC45:CC47" si="136">SUM(CB45,BS45)</f>
        <v>179484.56938937152</v>
      </c>
      <c r="CD45" s="300">
        <v>23</v>
      </c>
      <c r="CE45" s="414">
        <f t="shared" si="101"/>
        <v>1862827.4515765614</v>
      </c>
      <c r="CF45" s="414">
        <f t="shared" si="102"/>
        <v>2401552.5821313183</v>
      </c>
      <c r="CG45" s="414">
        <f t="shared" si="103"/>
        <v>2582568.216683358</v>
      </c>
      <c r="CH45" s="414">
        <f t="shared" si="104"/>
        <v>2805215.9988205326</v>
      </c>
      <c r="CI45" s="416">
        <f t="shared" si="105"/>
        <v>9652164.2492117714</v>
      </c>
      <c r="CJ45" s="414">
        <f t="shared" si="106"/>
        <v>2157867.2898761644</v>
      </c>
      <c r="CK45" s="414">
        <f t="shared" si="107"/>
        <v>2984374.4229691629</v>
      </c>
      <c r="CL45" s="414">
        <f t="shared" si="108"/>
        <v>3776948.9990971098</v>
      </c>
      <c r="CM45" s="414">
        <f t="shared" si="109"/>
        <v>4925444.7692743996</v>
      </c>
      <c r="CN45" s="416">
        <f t="shared" si="110"/>
        <v>13844635.481216837</v>
      </c>
      <c r="CO45" s="414">
        <f t="shared" si="111"/>
        <v>4020694.7414527256</v>
      </c>
      <c r="CP45" s="414">
        <f t="shared" si="112"/>
        <v>5385927.0051004803</v>
      </c>
      <c r="CQ45" s="414">
        <f t="shared" si="113"/>
        <v>6359517.2157804677</v>
      </c>
      <c r="CR45" s="414">
        <f t="shared" si="114"/>
        <v>7730660.7680949317</v>
      </c>
      <c r="CS45" s="416">
        <f t="shared" si="115"/>
        <v>23496799.73042861</v>
      </c>
      <c r="CU45" s="319"/>
    </row>
    <row r="46" spans="1:101" ht="15.75" customHeight="1">
      <c r="A46" s="88" t="s">
        <v>211</v>
      </c>
      <c r="B46" s="300">
        <v>24</v>
      </c>
      <c r="C46" s="585">
        <f>SUM('Schedule 3B_Income_Eastern:Schedule 3D_Income_The Cape'!C46)</f>
        <v>6906.71</v>
      </c>
      <c r="D46" s="585">
        <f>SUM('Schedule 3B_Income_Eastern:Schedule 3D_Income_The Cape'!D46)</f>
        <v>0</v>
      </c>
      <c r="E46" s="585">
        <f>SUM('Schedule 3B_Income_Eastern:Schedule 3D_Income_The Cape'!E46)</f>
        <v>6487.24</v>
      </c>
      <c r="F46" s="585">
        <f>SUM('Schedule 3B_Income_Eastern:Schedule 3D_Income_The Cape'!F46)</f>
        <v>0</v>
      </c>
      <c r="G46" s="585">
        <f>SUM('Schedule 3B_Income_Eastern:Schedule 3D_Income_The Cape'!G46)</f>
        <v>15047.52</v>
      </c>
      <c r="H46" s="585">
        <f>SUM('Schedule 3B_Income_Eastern:Schedule 3D_Income_The Cape'!H46)</f>
        <v>0</v>
      </c>
      <c r="I46" s="585">
        <f>SUM('Schedule 3B_Income_Eastern:Schedule 3D_Income_The Cape'!I46)</f>
        <v>17777.100000000002</v>
      </c>
      <c r="J46" s="585">
        <f>SUM('Schedule 3B_Income_Eastern:Schedule 3D_Income_The Cape'!J46)</f>
        <v>0</v>
      </c>
      <c r="K46" s="586">
        <f t="shared" si="126"/>
        <v>46218.570000000007</v>
      </c>
      <c r="L46" s="587">
        <f>SUM('Schedule 3B_Income_Eastern:Schedule 3D_Income_The Cape'!L46)</f>
        <v>0</v>
      </c>
      <c r="M46" s="585">
        <f>SUM('Schedule 3B_Income_Eastern:Schedule 3D_Income_The Cape'!M46)</f>
        <v>54677.99</v>
      </c>
      <c r="N46" s="585">
        <f>SUM('Schedule 3B_Income_Eastern:Schedule 3D_Income_The Cape'!N46)</f>
        <v>0</v>
      </c>
      <c r="O46" s="585">
        <f>SUM('Schedule 3B_Income_Eastern:Schedule 3D_Income_The Cape'!O46)</f>
        <v>50287.360000000001</v>
      </c>
      <c r="P46" s="585">
        <f>SUM('Schedule 3B_Income_Eastern:Schedule 3D_Income_The Cape'!P46)</f>
        <v>0</v>
      </c>
      <c r="Q46" s="585">
        <f>SUM('Schedule 3B_Income_Eastern:Schedule 3D_Income_The Cape'!Q46)</f>
        <v>97197.160000000105</v>
      </c>
      <c r="R46" s="585">
        <f>SUM('Schedule 3B_Income_Eastern:Schedule 3D_Income_The Cape'!R46)</f>
        <v>0</v>
      </c>
      <c r="S46" s="585">
        <f>SUM('Schedule 3B_Income_Eastern:Schedule 3D_Income_The Cape'!S46)</f>
        <v>105968.4</v>
      </c>
      <c r="T46" s="588">
        <f>SUM(L46:S46)</f>
        <v>308130.91000000015</v>
      </c>
      <c r="U46" s="589">
        <f t="shared" si="127"/>
        <v>354349.48000000016</v>
      </c>
      <c r="V46" s="300">
        <v>24</v>
      </c>
      <c r="W46" s="585">
        <f>SUM('Schedule 3B_Income_Eastern:Schedule 3D_Income_The Cape'!W46)</f>
        <v>630.14</v>
      </c>
      <c r="X46" s="585">
        <f>SUM('Schedule 3B_Income_Eastern:Schedule 3D_Income_The Cape'!X46)</f>
        <v>0</v>
      </c>
      <c r="Y46" s="585">
        <f>SUM('Schedule 3B_Income_Eastern:Schedule 3D_Income_The Cape'!Y46)</f>
        <v>177.8</v>
      </c>
      <c r="Z46" s="585">
        <f>SUM('Schedule 3B_Income_Eastern:Schedule 3D_Income_The Cape'!Z46)</f>
        <v>0</v>
      </c>
      <c r="AA46" s="585">
        <f>SUM('Schedule 3B_Income_Eastern:Schedule 3D_Income_The Cape'!AA46)</f>
        <v>1160.0899999999999</v>
      </c>
      <c r="AB46" s="585">
        <f>SUM('Schedule 3B_Income_Eastern:Schedule 3D_Income_The Cape'!AB46)</f>
        <v>0</v>
      </c>
      <c r="AC46" s="585">
        <f>SUM('Schedule 3B_Income_Eastern:Schedule 3D_Income_The Cape'!AC46)</f>
        <v>1658.75</v>
      </c>
      <c r="AD46" s="585">
        <f>SUM('Schedule 3B_Income_Eastern:Schedule 3D_Income_The Cape'!AD46)</f>
        <v>0</v>
      </c>
      <c r="AE46" s="586">
        <f t="shared" si="128"/>
        <v>3626.7799999999997</v>
      </c>
      <c r="AF46" s="587">
        <f>SUM('Schedule 3B_Income_Eastern:Schedule 3D_Income_The Cape'!AF46)</f>
        <v>0</v>
      </c>
      <c r="AG46" s="585">
        <f>SUM('Schedule 3B_Income_Eastern:Schedule 3D_Income_The Cape'!AG46)</f>
        <v>14410.22</v>
      </c>
      <c r="AH46" s="585">
        <f>SUM('Schedule 3B_Income_Eastern:Schedule 3D_Income_The Cape'!AH46)</f>
        <v>0</v>
      </c>
      <c r="AI46" s="585">
        <f>SUM('Schedule 3B_Income_Eastern:Schedule 3D_Income_The Cape'!AI46)</f>
        <v>10901.61</v>
      </c>
      <c r="AJ46" s="585">
        <f>SUM('Schedule 3B_Income_Eastern:Schedule 3D_Income_The Cape'!AJ46)</f>
        <v>0</v>
      </c>
      <c r="AK46" s="585">
        <f>SUM('Schedule 3B_Income_Eastern:Schedule 3D_Income_The Cape'!AK46)</f>
        <v>26461.520000000004</v>
      </c>
      <c r="AL46" s="585">
        <f>SUM('Schedule 3B_Income_Eastern:Schedule 3D_Income_The Cape'!AL46)</f>
        <v>0</v>
      </c>
      <c r="AM46" s="585">
        <f>SUM('Schedule 3B_Income_Eastern:Schedule 3D_Income_The Cape'!AM46)</f>
        <v>31306.05</v>
      </c>
      <c r="AN46" s="588">
        <f t="shared" si="129"/>
        <v>83079.400000000009</v>
      </c>
      <c r="AO46" s="589">
        <f t="shared" si="130"/>
        <v>86706.180000000008</v>
      </c>
      <c r="AP46" s="300">
        <v>24</v>
      </c>
      <c r="AQ46" s="585">
        <f>SUM('Schedule 3B_Income_Eastern:Schedule 3D_Income_The Cape'!AQ46)</f>
        <v>48416.91</v>
      </c>
      <c r="AR46" s="585">
        <f>SUM('Schedule 3B_Income_Eastern:Schedule 3D_Income_The Cape'!AR46)</f>
        <v>0</v>
      </c>
      <c r="AS46" s="585">
        <f>SUM('Schedule 3B_Income_Eastern:Schedule 3D_Income_The Cape'!AS46)</f>
        <v>41861.08</v>
      </c>
      <c r="AT46" s="585">
        <f>SUM('Schedule 3B_Income_Eastern:Schedule 3D_Income_The Cape'!AT46)</f>
        <v>0</v>
      </c>
      <c r="AU46" s="585">
        <f>SUM('Schedule 3B_Income_Eastern:Schedule 3D_Income_The Cape'!AU46)</f>
        <v>112539.93999999999</v>
      </c>
      <c r="AV46" s="585">
        <f>SUM('Schedule 3B_Income_Eastern:Schedule 3D_Income_The Cape'!AV46)</f>
        <v>0</v>
      </c>
      <c r="AW46" s="585">
        <f>SUM('Schedule 3B_Income_Eastern:Schedule 3D_Income_The Cape'!AW46)</f>
        <v>124580.43</v>
      </c>
      <c r="AX46" s="585">
        <f>SUM('Schedule 3B_Income_Eastern:Schedule 3D_Income_The Cape'!AX46)</f>
        <v>0</v>
      </c>
      <c r="AY46" s="586">
        <f t="shared" si="131"/>
        <v>327398.36</v>
      </c>
      <c r="AZ46" s="587">
        <f>SUM('Schedule 3B_Income_Eastern:Schedule 3D_Income_The Cape'!AZ46)</f>
        <v>0</v>
      </c>
      <c r="BA46" s="585">
        <f>SUM('Schedule 3B_Income_Eastern:Schedule 3D_Income_The Cape'!BA46)</f>
        <v>464735.08999999892</v>
      </c>
      <c r="BB46" s="585">
        <f>SUM('Schedule 3B_Income_Eastern:Schedule 3D_Income_The Cape'!BB46)</f>
        <v>0</v>
      </c>
      <c r="BC46" s="585">
        <f>SUM('Schedule 3B_Income_Eastern:Schedule 3D_Income_The Cape'!BC46)</f>
        <v>465848.14</v>
      </c>
      <c r="BD46" s="585">
        <f>SUM('Schedule 3B_Income_Eastern:Schedule 3D_Income_The Cape'!BD46)</f>
        <v>0</v>
      </c>
      <c r="BE46" s="585">
        <f>SUM('Schedule 3B_Income_Eastern:Schedule 3D_Income_The Cape'!BE46)</f>
        <v>691114.73000000301</v>
      </c>
      <c r="BF46" s="585">
        <f>SUM('Schedule 3B_Income_Eastern:Schedule 3D_Income_The Cape'!BF46)</f>
        <v>0</v>
      </c>
      <c r="BG46" s="585">
        <f>SUM('Schedule 3B_Income_Eastern:Schedule 3D_Income_The Cape'!BG46)</f>
        <v>751986.16999999806</v>
      </c>
      <c r="BH46" s="588">
        <f t="shared" si="132"/>
        <v>2373684.13</v>
      </c>
      <c r="BI46" s="589">
        <f t="shared" si="133"/>
        <v>2701082.4899999998</v>
      </c>
      <c r="BJ46" s="300">
        <v>24</v>
      </c>
      <c r="BK46" s="585">
        <f>SUM('Schedule 3B_Income_Eastern:Schedule 3D_Income_The Cape'!BK46)</f>
        <v>280.37</v>
      </c>
      <c r="BL46" s="585">
        <f>SUM('Schedule 3B_Income_Eastern:Schedule 3D_Income_The Cape'!BL46)</f>
        <v>0</v>
      </c>
      <c r="BM46" s="585">
        <f>SUM('Schedule 3B_Income_Eastern:Schedule 3D_Income_The Cape'!BM46)</f>
        <v>0</v>
      </c>
      <c r="BN46" s="585">
        <f>SUM('Schedule 3B_Income_Eastern:Schedule 3D_Income_The Cape'!BN46)</f>
        <v>0</v>
      </c>
      <c r="BO46" s="585">
        <f>SUM('Schedule 3B_Income_Eastern:Schedule 3D_Income_The Cape'!BO46)</f>
        <v>839.22</v>
      </c>
      <c r="BP46" s="585">
        <f>SUM('Schedule 3B_Income_Eastern:Schedule 3D_Income_The Cape'!BP46)</f>
        <v>0</v>
      </c>
      <c r="BQ46" s="585">
        <f>SUM('Schedule 3B_Income_Eastern:Schedule 3D_Income_The Cape'!BQ46)</f>
        <v>156.59</v>
      </c>
      <c r="BR46" s="585">
        <f>SUM('Schedule 3B_Income_Eastern:Schedule 3D_Income_The Cape'!BR46)</f>
        <v>0</v>
      </c>
      <c r="BS46" s="586">
        <f t="shared" si="134"/>
        <v>1276.18</v>
      </c>
      <c r="BT46" s="587">
        <f>SUM('Schedule 3B_Income_Eastern:Schedule 3D_Income_The Cape'!BT46)</f>
        <v>0</v>
      </c>
      <c r="BU46" s="585">
        <f>SUM('Schedule 3B_Income_Eastern:Schedule 3D_Income_The Cape'!BU46)</f>
        <v>2732.86</v>
      </c>
      <c r="BV46" s="585">
        <f>SUM('Schedule 3B_Income_Eastern:Schedule 3D_Income_The Cape'!BV46)</f>
        <v>0</v>
      </c>
      <c r="BW46" s="585">
        <f>SUM('Schedule 3B_Income_Eastern:Schedule 3D_Income_The Cape'!BW46)</f>
        <v>3458.33</v>
      </c>
      <c r="BX46" s="585">
        <f>SUM('Schedule 3B_Income_Eastern:Schedule 3D_Income_The Cape'!BX46)</f>
        <v>0</v>
      </c>
      <c r="BY46" s="585">
        <f>SUM('Schedule 3B_Income_Eastern:Schedule 3D_Income_The Cape'!BY46)</f>
        <v>7656.2099999999991</v>
      </c>
      <c r="BZ46" s="585">
        <f>SUM('Schedule 3B_Income_Eastern:Schedule 3D_Income_The Cape'!BZ46)</f>
        <v>0</v>
      </c>
      <c r="CA46" s="585">
        <f>SUM('Schedule 3B_Income_Eastern:Schedule 3D_Income_The Cape'!CA46)</f>
        <v>13425.92</v>
      </c>
      <c r="CB46" s="588">
        <f t="shared" si="135"/>
        <v>27273.32</v>
      </c>
      <c r="CC46" s="589">
        <f t="shared" si="136"/>
        <v>28549.5</v>
      </c>
      <c r="CD46" s="300">
        <v>24</v>
      </c>
      <c r="CE46" s="414">
        <f t="shared" si="101"/>
        <v>56234.130000000005</v>
      </c>
      <c r="CF46" s="414">
        <f t="shared" si="102"/>
        <v>48526.12</v>
      </c>
      <c r="CG46" s="414">
        <f t="shared" si="103"/>
        <v>129586.76999999999</v>
      </c>
      <c r="CH46" s="414">
        <f t="shared" si="104"/>
        <v>144172.87</v>
      </c>
      <c r="CI46" s="416">
        <f t="shared" si="105"/>
        <v>378519.88999999996</v>
      </c>
      <c r="CJ46" s="414">
        <f t="shared" si="106"/>
        <v>536556.15999999887</v>
      </c>
      <c r="CK46" s="414">
        <f t="shared" si="107"/>
        <v>530495.43999999994</v>
      </c>
      <c r="CL46" s="414">
        <f t="shared" si="108"/>
        <v>822429.62000000314</v>
      </c>
      <c r="CM46" s="414">
        <f t="shared" si="109"/>
        <v>902686.53999999806</v>
      </c>
      <c r="CN46" s="416">
        <f t="shared" si="110"/>
        <v>2792167.76</v>
      </c>
      <c r="CO46" s="414">
        <f t="shared" si="111"/>
        <v>592790.28999999887</v>
      </c>
      <c r="CP46" s="414">
        <f t="shared" si="112"/>
        <v>579021.55999999994</v>
      </c>
      <c r="CQ46" s="414">
        <f t="shared" si="113"/>
        <v>952016.39000000304</v>
      </c>
      <c r="CR46" s="414">
        <f t="shared" si="114"/>
        <v>1046859.4099999981</v>
      </c>
      <c r="CS46" s="416">
        <f t="shared" si="115"/>
        <v>3170687.65</v>
      </c>
    </row>
    <row r="47" spans="1:101" ht="15.75" customHeight="1">
      <c r="A47" s="88" t="s">
        <v>212</v>
      </c>
      <c r="B47" s="300">
        <v>25</v>
      </c>
      <c r="C47" s="585">
        <f>SUM('Schedule 3B_Income_Eastern:Schedule 3D_Income_The Cape'!C47)</f>
        <v>5036.7931256181701</v>
      </c>
      <c r="D47" s="585">
        <f>SUM('Schedule 3B_Income_Eastern:Schedule 3D_Income_The Cape'!D47)</f>
        <v>0</v>
      </c>
      <c r="E47" s="585">
        <f>SUM('Schedule 3B_Income_Eastern:Schedule 3D_Income_The Cape'!E47)</f>
        <v>4914.713694630801</v>
      </c>
      <c r="F47" s="585">
        <f>SUM('Schedule 3B_Income_Eastern:Schedule 3D_Income_The Cape'!F47)</f>
        <v>0</v>
      </c>
      <c r="G47" s="585">
        <f>SUM('Schedule 3B_Income_Eastern:Schedule 3D_Income_The Cape'!G47)</f>
        <v>11909.74253173179</v>
      </c>
      <c r="H47" s="585">
        <f>SUM('Schedule 3B_Income_Eastern:Schedule 3D_Income_The Cape'!H47)</f>
        <v>0</v>
      </c>
      <c r="I47" s="585">
        <f>SUM('Schedule 3B_Income_Eastern:Schedule 3D_Income_The Cape'!I47)</f>
        <v>14312.360227713167</v>
      </c>
      <c r="J47" s="585">
        <f>SUM('Schedule 3B_Income_Eastern:Schedule 3D_Income_The Cape'!J47)</f>
        <v>0</v>
      </c>
      <c r="K47" s="586">
        <f t="shared" si="126"/>
        <v>36173.609579693926</v>
      </c>
      <c r="L47" s="587">
        <f>SUM('Schedule 3B_Income_Eastern:Schedule 3D_Income_The Cape'!L47)</f>
        <v>0</v>
      </c>
      <c r="M47" s="585">
        <f>SUM('Schedule 3B_Income_Eastern:Schedule 3D_Income_The Cape'!M47)</f>
        <v>36357.126692692465</v>
      </c>
      <c r="N47" s="585">
        <f>SUM('Schedule 3B_Income_Eastern:Schedule 3D_Income_The Cape'!N47)</f>
        <v>0</v>
      </c>
      <c r="O47" s="585">
        <f>SUM('Schedule 3B_Income_Eastern:Schedule 3D_Income_The Cape'!O47)</f>
        <v>33245.155995312372</v>
      </c>
      <c r="P47" s="585">
        <f>SUM('Schedule 3B_Income_Eastern:Schedule 3D_Income_The Cape'!P47)</f>
        <v>0</v>
      </c>
      <c r="Q47" s="585">
        <f>SUM('Schedule 3B_Income_Eastern:Schedule 3D_Income_The Cape'!Q47)</f>
        <v>75949.876594627174</v>
      </c>
      <c r="R47" s="585">
        <f>SUM('Schedule 3B_Income_Eastern:Schedule 3D_Income_The Cape'!R47)</f>
        <v>0</v>
      </c>
      <c r="S47" s="585">
        <f>SUM('Schedule 3B_Income_Eastern:Schedule 3D_Income_The Cape'!S47)</f>
        <v>84863.272082978947</v>
      </c>
      <c r="T47" s="588">
        <f>SUM(L47:S47)</f>
        <v>230415.43136561094</v>
      </c>
      <c r="U47" s="589">
        <f t="shared" si="127"/>
        <v>266589.04094530485</v>
      </c>
      <c r="V47" s="300">
        <v>25</v>
      </c>
      <c r="W47" s="585">
        <f>SUM('Schedule 3B_Income_Eastern:Schedule 3D_Income_The Cape'!W47)</f>
        <v>459.536424748836</v>
      </c>
      <c r="X47" s="585">
        <f>SUM('Schedule 3B_Income_Eastern:Schedule 3D_Income_The Cape'!X47)</f>
        <v>0</v>
      </c>
      <c r="Y47" s="585">
        <f>SUM('Schedule 3B_Income_Eastern:Schedule 3D_Income_The Cape'!Y47)</f>
        <v>134.70075022742438</v>
      </c>
      <c r="Z47" s="585">
        <f>SUM('Schedule 3B_Income_Eastern:Schedule 3D_Income_The Cape'!Z47)</f>
        <v>0</v>
      </c>
      <c r="AA47" s="585">
        <f>SUM('Schedule 3B_Income_Eastern:Schedule 3D_Income_The Cape'!AA47)</f>
        <v>918.18274464076012</v>
      </c>
      <c r="AB47" s="585">
        <f>SUM('Schedule 3B_Income_Eastern:Schedule 3D_Income_The Cape'!AB47)</f>
        <v>0</v>
      </c>
      <c r="AC47" s="585">
        <f>SUM('Schedule 3B_Income_Eastern:Schedule 3D_Income_The Cape'!AC47)</f>
        <v>1335.4612128929475</v>
      </c>
      <c r="AD47" s="585">
        <f>SUM('Schedule 3B_Income_Eastern:Schedule 3D_Income_The Cape'!AD47)</f>
        <v>0</v>
      </c>
      <c r="AE47" s="586">
        <f t="shared" si="128"/>
        <v>2847.8811325099678</v>
      </c>
      <c r="AF47" s="587">
        <f>SUM('Schedule 3B_Income_Eastern:Schedule 3D_Income_The Cape'!AF47)</f>
        <v>0</v>
      </c>
      <c r="AG47" s="585">
        <f>SUM('Schedule 3B_Income_Eastern:Schedule 3D_Income_The Cape'!AG47)</f>
        <v>9581.8115151923248</v>
      </c>
      <c r="AH47" s="585">
        <f>SUM('Schedule 3B_Income_Eastern:Schedule 3D_Income_The Cape'!AH47)</f>
        <v>0</v>
      </c>
      <c r="AI47" s="585">
        <f>SUM('Schedule 3B_Income_Eastern:Schedule 3D_Income_The Cape'!AI47)</f>
        <v>7207.0938909908427</v>
      </c>
      <c r="AJ47" s="585">
        <f>SUM('Schedule 3B_Income_Eastern:Schedule 3D_Income_The Cape'!AJ47)</f>
        <v>0</v>
      </c>
      <c r="AK47" s="585">
        <f>SUM('Schedule 3B_Income_Eastern:Schedule 3D_Income_The Cape'!AK47)</f>
        <v>20677.03602148722</v>
      </c>
      <c r="AL47" s="585">
        <f>SUM('Schedule 3B_Income_Eastern:Schedule 3D_Income_The Cape'!AL47)</f>
        <v>0</v>
      </c>
      <c r="AM47" s="585">
        <f>SUM('Schedule 3B_Income_Eastern:Schedule 3D_Income_The Cape'!AM47)</f>
        <v>25071.000779414833</v>
      </c>
      <c r="AN47" s="588">
        <f t="shared" si="129"/>
        <v>62536.942207085223</v>
      </c>
      <c r="AO47" s="589">
        <f t="shared" si="130"/>
        <v>65384.82333959519</v>
      </c>
      <c r="AP47" s="300">
        <v>25</v>
      </c>
      <c r="AQ47" s="585">
        <f>SUM('Schedule 3B_Income_Eastern:Schedule 3D_Income_The Cape'!AQ47)</f>
        <v>35308.556382369265</v>
      </c>
      <c r="AR47" s="585">
        <f>SUM('Schedule 3B_Income_Eastern:Schedule 3D_Income_The Cape'!AR47)</f>
        <v>0</v>
      </c>
      <c r="AS47" s="585">
        <f>SUM('Schedule 3B_Income_Eastern:Schedule 3D_Income_The Cape'!AS47)</f>
        <v>31713.829478797696</v>
      </c>
      <c r="AT47" s="585">
        <f>SUM('Schedule 3B_Income_Eastern:Schedule 3D_Income_The Cape'!AT47)</f>
        <v>0</v>
      </c>
      <c r="AU47" s="585">
        <f>SUM('Schedule 3B_Income_Eastern:Schedule 3D_Income_The Cape'!AU47)</f>
        <v>89072.598669850151</v>
      </c>
      <c r="AV47" s="585">
        <f>SUM('Schedule 3B_Income_Eastern:Schedule 3D_Income_The Cape'!AV47)</f>
        <v>0</v>
      </c>
      <c r="AW47" s="585">
        <f>SUM('Schedule 3B_Income_Eastern:Schedule 3D_Income_The Cape'!AW47)</f>
        <v>100299.82345171059</v>
      </c>
      <c r="AX47" s="585">
        <f>SUM('Schedule 3B_Income_Eastern:Schedule 3D_Income_The Cape'!AX47)</f>
        <v>0</v>
      </c>
      <c r="AY47" s="586">
        <f t="shared" si="131"/>
        <v>256394.80798272771</v>
      </c>
      <c r="AZ47" s="587">
        <f>SUM('Schedule 3B_Income_Eastern:Schedule 3D_Income_The Cape'!AZ47)</f>
        <v>0</v>
      </c>
      <c r="BA47" s="585">
        <f>SUM('Schedule 3B_Income_Eastern:Schedule 3D_Income_The Cape'!BA47)</f>
        <v>309017.07516442717</v>
      </c>
      <c r="BB47" s="585">
        <f>SUM('Schedule 3B_Income_Eastern:Schedule 3D_Income_The Cape'!BB47)</f>
        <v>0</v>
      </c>
      <c r="BC47" s="585">
        <f>SUM('Schedule 3B_Income_Eastern:Schedule 3D_Income_The Cape'!BC47)</f>
        <v>307973.89412421163</v>
      </c>
      <c r="BD47" s="585">
        <f>SUM('Schedule 3B_Income_Eastern:Schedule 3D_Income_The Cape'!BD47)</f>
        <v>0</v>
      </c>
      <c r="BE47" s="585">
        <f>SUM('Schedule 3B_Income_Eastern:Schedule 3D_Income_The Cape'!BE47)</f>
        <v>540037.16215812531</v>
      </c>
      <c r="BF47" s="585">
        <f>SUM('Schedule 3B_Income_Eastern:Schedule 3D_Income_The Cape'!BF47)</f>
        <v>0</v>
      </c>
      <c r="BG47" s="585">
        <f>SUM('Schedule 3B_Income_Eastern:Schedule 3D_Income_The Cape'!BG47)</f>
        <v>602217.33033005206</v>
      </c>
      <c r="BH47" s="588">
        <f t="shared" si="132"/>
        <v>1759245.4617768163</v>
      </c>
      <c r="BI47" s="589">
        <f t="shared" si="133"/>
        <v>2015640.2697595439</v>
      </c>
      <c r="BJ47" s="300">
        <v>25</v>
      </c>
      <c r="BK47" s="585">
        <f>SUM('Schedule 3B_Income_Eastern:Schedule 3D_Income_The Cape'!BK47)</f>
        <v>204.46286127976509</v>
      </c>
      <c r="BL47" s="585">
        <f>SUM('Schedule 3B_Income_Eastern:Schedule 3D_Income_The Cape'!BL47)</f>
        <v>0</v>
      </c>
      <c r="BM47" s="585">
        <f>SUM('Schedule 3B_Income_Eastern:Schedule 3D_Income_The Cape'!BM47)</f>
        <v>0</v>
      </c>
      <c r="BN47" s="585">
        <f>SUM('Schedule 3B_Income_Eastern:Schedule 3D_Income_The Cape'!BN47)</f>
        <v>0</v>
      </c>
      <c r="BO47" s="585">
        <f>SUM('Schedule 3B_Income_Eastern:Schedule 3D_Income_The Cape'!BO47)</f>
        <v>664.22201980658292</v>
      </c>
      <c r="BP47" s="585">
        <f>SUM('Schedule 3B_Income_Eastern:Schedule 3D_Income_The Cape'!BP47)</f>
        <v>0</v>
      </c>
      <c r="BQ47" s="585">
        <f>SUM('Schedule 3B_Income_Eastern:Schedule 3D_Income_The Cape'!BQ47)</f>
        <v>126.07075890092338</v>
      </c>
      <c r="BR47" s="585">
        <f>SUM('Schedule 3B_Income_Eastern:Schedule 3D_Income_The Cape'!BR47)</f>
        <v>0</v>
      </c>
      <c r="BS47" s="586">
        <f t="shared" si="134"/>
        <v>994.75563998727137</v>
      </c>
      <c r="BT47" s="587">
        <f>SUM('Schedule 3B_Income_Eastern:Schedule 3D_Income_The Cape'!BT47)</f>
        <v>0</v>
      </c>
      <c r="BU47" s="585">
        <f>SUM('Schedule 3B_Income_Eastern:Schedule 3D_Income_The Cape'!BU47)</f>
        <v>1817.1651381733586</v>
      </c>
      <c r="BV47" s="585">
        <f>SUM('Schedule 3B_Income_Eastern:Schedule 3D_Income_The Cape'!BV47)</f>
        <v>0</v>
      </c>
      <c r="BW47" s="585">
        <f>SUM('Schedule 3B_Income_Eastern:Schedule 3D_Income_The Cape'!BW47)</f>
        <v>2286.314499971138</v>
      </c>
      <c r="BX47" s="585">
        <f>SUM('Schedule 3B_Income_Eastern:Schedule 3D_Income_The Cape'!BX47)</f>
        <v>0</v>
      </c>
      <c r="BY47" s="585">
        <f>SUM('Schedule 3B_Income_Eastern:Schedule 3D_Income_The Cape'!BY47)</f>
        <v>5982.5637362506268</v>
      </c>
      <c r="BZ47" s="585">
        <f>SUM('Schedule 3B_Income_Eastern:Schedule 3D_Income_The Cape'!BZ47)</f>
        <v>0</v>
      </c>
      <c r="CA47" s="585">
        <f>SUM('Schedule 3B_Income_Eastern:Schedule 3D_Income_The Cape'!CA47)</f>
        <v>10751.95531804112</v>
      </c>
      <c r="CB47" s="588">
        <f t="shared" si="135"/>
        <v>20837.998692436246</v>
      </c>
      <c r="CC47" s="589">
        <f t="shared" si="136"/>
        <v>21832.754332423516</v>
      </c>
      <c r="CD47" s="300">
        <v>25</v>
      </c>
      <c r="CE47" s="414">
        <f t="shared" si="101"/>
        <v>41009.348794016041</v>
      </c>
      <c r="CF47" s="414">
        <f t="shared" si="102"/>
        <v>36763.243923655922</v>
      </c>
      <c r="CG47" s="414">
        <f t="shared" si="103"/>
        <v>102564.74596602928</v>
      </c>
      <c r="CH47" s="414">
        <f t="shared" si="104"/>
        <v>116073.71565121763</v>
      </c>
      <c r="CI47" s="416">
        <f t="shared" si="105"/>
        <v>296411.05433491891</v>
      </c>
      <c r="CJ47" s="414">
        <f t="shared" si="106"/>
        <v>356773.17851048533</v>
      </c>
      <c r="CK47" s="414">
        <f t="shared" si="107"/>
        <v>350712.458510486</v>
      </c>
      <c r="CL47" s="414">
        <f t="shared" si="108"/>
        <v>642646.6385104903</v>
      </c>
      <c r="CM47" s="414">
        <f t="shared" si="109"/>
        <v>722903.55851048697</v>
      </c>
      <c r="CN47" s="416">
        <f t="shared" si="110"/>
        <v>2073035.8340419487</v>
      </c>
      <c r="CO47" s="414">
        <f t="shared" si="111"/>
        <v>397782.52730450139</v>
      </c>
      <c r="CP47" s="414">
        <f t="shared" si="112"/>
        <v>387475.70243414195</v>
      </c>
      <c r="CQ47" s="414">
        <f t="shared" si="113"/>
        <v>745211.38447651966</v>
      </c>
      <c r="CR47" s="414">
        <f t="shared" si="114"/>
        <v>838977.2741617047</v>
      </c>
      <c r="CS47" s="416">
        <f t="shared" si="115"/>
        <v>2369446.8883768674</v>
      </c>
    </row>
    <row r="48" spans="1:101" ht="15.75" customHeight="1">
      <c r="A48" s="88" t="s">
        <v>213</v>
      </c>
      <c r="B48" s="300">
        <v>26</v>
      </c>
      <c r="C48" s="585">
        <f>SUM('Schedule 3B_Income_Eastern:Schedule 3D_Income_The Cape'!C48)</f>
        <v>21660.755480261603</v>
      </c>
      <c r="D48" s="585">
        <f>SUM('Schedule 3B_Income_Eastern:Schedule 3D_Income_The Cape'!D48)</f>
        <v>5624.9327356099775</v>
      </c>
      <c r="E48" s="585">
        <f>SUM('Schedule 3B_Income_Eastern:Schedule 3D_Income_The Cape'!E48)</f>
        <v>27267.870369250981</v>
      </c>
      <c r="F48" s="585">
        <f>SUM('Schedule 3B_Income_Eastern:Schedule 3D_Income_The Cape'!F48)</f>
        <v>6331.1111332955861</v>
      </c>
      <c r="G48" s="585">
        <f>SUM('Schedule 3B_Income_Eastern:Schedule 3D_Income_The Cape'!G48)</f>
        <v>36918.245475188094</v>
      </c>
      <c r="H48" s="585">
        <f>SUM('Schedule 3B_Income_Eastern:Schedule 3D_Income_The Cape'!H48)</f>
        <v>6198.8199233871583</v>
      </c>
      <c r="I48" s="585">
        <f>SUM('Schedule 3B_Income_Eastern:Schedule 3D_Income_The Cape'!I48)</f>
        <v>17732.373311252704</v>
      </c>
      <c r="J48" s="585">
        <f>SUM('Schedule 3B_Income_Eastern:Schedule 3D_Income_The Cape'!J48)</f>
        <v>2142.089003736211</v>
      </c>
      <c r="K48" s="586">
        <f t="shared" si="89"/>
        <v>123876.19743198232</v>
      </c>
      <c r="L48" s="587">
        <f>SUM('Schedule 3B_Income_Eastern:Schedule 3D_Income_The Cape'!L48)</f>
        <v>0</v>
      </c>
      <c r="M48" s="585">
        <f>SUM('Schedule 3B_Income_Eastern:Schedule 3D_Income_The Cape'!M48)</f>
        <v>65194.022503553511</v>
      </c>
      <c r="N48" s="585">
        <f>SUM('Schedule 3B_Income_Eastern:Schedule 3D_Income_The Cape'!N48)</f>
        <v>0</v>
      </c>
      <c r="O48" s="585">
        <f>SUM('Schedule 3B_Income_Eastern:Schedule 3D_Income_The Cape'!O48)</f>
        <v>127665.54784019139</v>
      </c>
      <c r="P48" s="585">
        <f>SUM('Schedule 3B_Income_Eastern:Schedule 3D_Income_The Cape'!P48)</f>
        <v>0</v>
      </c>
      <c r="Q48" s="585">
        <f>SUM('Schedule 3B_Income_Eastern:Schedule 3D_Income_The Cape'!Q48)</f>
        <v>94636.896349899325</v>
      </c>
      <c r="R48" s="585">
        <f>SUM('Schedule 3B_Income_Eastern:Schedule 3D_Income_The Cape'!R48)</f>
        <v>0</v>
      </c>
      <c r="S48" s="585">
        <f>SUM('Schedule 3B_Income_Eastern:Schedule 3D_Income_The Cape'!S48)</f>
        <v>101682.91044158101</v>
      </c>
      <c r="T48" s="588">
        <f t="shared" si="90"/>
        <v>389179.37713522522</v>
      </c>
      <c r="U48" s="589">
        <f t="shared" si="91"/>
        <v>513055.57456720754</v>
      </c>
      <c r="V48" s="300">
        <v>26</v>
      </c>
      <c r="W48" s="585">
        <f>SUM('Schedule 3B_Income_Eastern:Schedule 3D_Income_The Cape'!W48)</f>
        <v>874.1530712520281</v>
      </c>
      <c r="X48" s="585">
        <f>SUM('Schedule 3B_Income_Eastern:Schedule 3D_Income_The Cape'!X48)</f>
        <v>4153.511326523907</v>
      </c>
      <c r="Y48" s="585">
        <f>SUM('Schedule 3B_Income_Eastern:Schedule 3D_Income_The Cape'!Y48)</f>
        <v>621.09226979719665</v>
      </c>
      <c r="Z48" s="585">
        <f>SUM('Schedule 3B_Income_Eastern:Schedule 3D_Income_The Cape'!Z48)</f>
        <v>1190.2596852448664</v>
      </c>
      <c r="AA48" s="585">
        <f>SUM('Schedule 3B_Income_Eastern:Schedule 3D_Income_The Cape'!AA48)</f>
        <v>368.81707982980964</v>
      </c>
      <c r="AB48" s="585">
        <f>SUM('Schedule 3B_Income_Eastern:Schedule 3D_Income_The Cape'!AB48)</f>
        <v>1434.590113808501</v>
      </c>
      <c r="AC48" s="585">
        <f>SUM('Schedule 3B_Income_Eastern:Schedule 3D_Income_The Cape'!AC48)</f>
        <v>488.967393696724</v>
      </c>
      <c r="AD48" s="585">
        <f>SUM('Schedule 3B_Income_Eastern:Schedule 3D_Income_The Cape'!AD48)</f>
        <v>388.67283511299803</v>
      </c>
      <c r="AE48" s="586">
        <f t="shared" si="92"/>
        <v>9520.0637752660332</v>
      </c>
      <c r="AF48" s="587">
        <f>SUM('Schedule 3B_Income_Eastern:Schedule 3D_Income_The Cape'!AF48)</f>
        <v>0</v>
      </c>
      <c r="AG48" s="585">
        <f>SUM('Schedule 3B_Income_Eastern:Schedule 3D_Income_The Cape'!AG48)</f>
        <v>29500.736329444295</v>
      </c>
      <c r="AH48" s="585">
        <f>SUM('Schedule 3B_Income_Eastern:Schedule 3D_Income_The Cape'!AH48)</f>
        <v>0</v>
      </c>
      <c r="AI48" s="585">
        <f>SUM('Schedule 3B_Income_Eastern:Schedule 3D_Income_The Cape'!AI48)</f>
        <v>28023.30277160168</v>
      </c>
      <c r="AJ48" s="585">
        <f>SUM('Schedule 3B_Income_Eastern:Schedule 3D_Income_The Cape'!AJ48)</f>
        <v>0</v>
      </c>
      <c r="AK48" s="585">
        <f>SUM('Schedule 3B_Income_Eastern:Schedule 3D_Income_The Cape'!AK48)</f>
        <v>20154.040022280402</v>
      </c>
      <c r="AL48" s="585">
        <f>SUM('Schedule 3B_Income_Eastern:Schedule 3D_Income_The Cape'!AL48)</f>
        <v>0</v>
      </c>
      <c r="AM48" s="585">
        <f>SUM('Schedule 3B_Income_Eastern:Schedule 3D_Income_The Cape'!AM48)</f>
        <v>37734.399360401389</v>
      </c>
      <c r="AN48" s="588">
        <f t="shared" si="93"/>
        <v>115412.47848372775</v>
      </c>
      <c r="AO48" s="589">
        <f t="shared" si="94"/>
        <v>124932.54225899378</v>
      </c>
      <c r="AP48" s="300">
        <v>26</v>
      </c>
      <c r="AQ48" s="585">
        <f>SUM('Schedule 3B_Income_Eastern:Schedule 3D_Income_The Cape'!AQ48)</f>
        <v>82545.967002139252</v>
      </c>
      <c r="AR48" s="585">
        <f>SUM('Schedule 3B_Income_Eastern:Schedule 3D_Income_The Cape'!AR48)</f>
        <v>39531.741919681859</v>
      </c>
      <c r="AS48" s="585">
        <f>SUM('Schedule 3B_Income_Eastern:Schedule 3D_Income_The Cape'!AS48)</f>
        <v>86120.705884425086</v>
      </c>
      <c r="AT48" s="585">
        <f>SUM('Schedule 3B_Income_Eastern:Schedule 3D_Income_The Cape'!AT48)</f>
        <v>32716.329187988507</v>
      </c>
      <c r="AU48" s="585">
        <f>SUM('Schedule 3B_Income_Eastern:Schedule 3D_Income_The Cape'!AU48)</f>
        <v>87358.015553287376</v>
      </c>
      <c r="AV48" s="585">
        <f>SUM('Schedule 3B_Income_Eastern:Schedule 3D_Income_The Cape'!AV48)</f>
        <v>35946.564835937301</v>
      </c>
      <c r="AW48" s="585">
        <f>SUM('Schedule 3B_Income_Eastern:Schedule 3D_Income_The Cape'!AW48)</f>
        <v>100221.38000385698</v>
      </c>
      <c r="AX48" s="585">
        <f>SUM('Schedule 3B_Income_Eastern:Schedule 3D_Income_The Cape'!AX48)</f>
        <v>27757.095132398907</v>
      </c>
      <c r="AY48" s="586">
        <f t="shared" si="95"/>
        <v>492197.79951971519</v>
      </c>
      <c r="AZ48" s="587">
        <f>SUM('Schedule 3B_Income_Eastern:Schedule 3D_Income_The Cape'!AZ48)</f>
        <v>0</v>
      </c>
      <c r="BA48" s="585">
        <f>SUM('Schedule 3B_Income_Eastern:Schedule 3D_Income_The Cape'!BA48)</f>
        <v>385422.62734137697</v>
      </c>
      <c r="BB48" s="585">
        <f>SUM('Schedule 3B_Income_Eastern:Schedule 3D_Income_The Cape'!BB48)</f>
        <v>0</v>
      </c>
      <c r="BC48" s="585">
        <f>SUM('Schedule 3B_Income_Eastern:Schedule 3D_Income_The Cape'!BC48)</f>
        <v>395374.29490573518</v>
      </c>
      <c r="BD48" s="585">
        <f>SUM('Schedule 3B_Income_Eastern:Schedule 3D_Income_The Cape'!BD48)</f>
        <v>0</v>
      </c>
      <c r="BE48" s="585">
        <f>SUM('Schedule 3B_Income_Eastern:Schedule 3D_Income_The Cape'!BE48)</f>
        <v>442592.39204396011</v>
      </c>
      <c r="BF48" s="585">
        <f>SUM('Schedule 3B_Income_Eastern:Schedule 3D_Income_The Cape'!BF48)</f>
        <v>0</v>
      </c>
      <c r="BG48" s="585">
        <f>SUM('Schedule 3B_Income_Eastern:Schedule 3D_Income_The Cape'!BG48)</f>
        <v>468719.47652275348</v>
      </c>
      <c r="BH48" s="588">
        <f t="shared" si="96"/>
        <v>1692108.7908138258</v>
      </c>
      <c r="BI48" s="589">
        <f t="shared" si="97"/>
        <v>2184306.5903335409</v>
      </c>
      <c r="BJ48" s="300">
        <v>26</v>
      </c>
      <c r="BK48" s="585">
        <f>SUM('Schedule 3B_Income_Eastern:Schedule 3D_Income_The Cape'!BK48)</f>
        <v>1752.1914007792066</v>
      </c>
      <c r="BL48" s="585">
        <f>SUM('Schedule 3B_Income_Eastern:Schedule 3D_Income_The Cape'!BL48)</f>
        <v>6034.1265349804362</v>
      </c>
      <c r="BM48" s="585">
        <f>SUM('Schedule 3B_Income_Eastern:Schedule 3D_Income_The Cape'!BM48)</f>
        <v>247.28748000532718</v>
      </c>
      <c r="BN48" s="585">
        <f>SUM('Schedule 3B_Income_Eastern:Schedule 3D_Income_The Cape'!BN48)</f>
        <v>1919.1634789754335</v>
      </c>
      <c r="BO48" s="585">
        <f>SUM('Schedule 3B_Income_Eastern:Schedule 3D_Income_The Cape'!BO48)</f>
        <v>1248.0757832648669</v>
      </c>
      <c r="BP48" s="585">
        <f>SUM('Schedule 3B_Income_Eastern:Schedule 3D_Income_The Cape'!BP48)</f>
        <v>3363.4437097573009</v>
      </c>
      <c r="BQ48" s="585">
        <f>SUM('Schedule 3B_Income_Eastern:Schedule 3D_Income_The Cape'!BQ48)</f>
        <v>1564.2222561068784</v>
      </c>
      <c r="BR48" s="585">
        <f>SUM('Schedule 3B_Income_Eastern:Schedule 3D_Income_The Cape'!BR48)</f>
        <v>2676.9304749806292</v>
      </c>
      <c r="BS48" s="586">
        <f t="shared" si="98"/>
        <v>18805.441118850078</v>
      </c>
      <c r="BT48" s="587">
        <f>SUM('Schedule 3B_Income_Eastern:Schedule 3D_Income_The Cape'!BT48)</f>
        <v>0</v>
      </c>
      <c r="BU48" s="585">
        <f>SUM('Schedule 3B_Income_Eastern:Schedule 3D_Income_The Cape'!BU48)</f>
        <v>29252.000430411499</v>
      </c>
      <c r="BV48" s="585">
        <f>SUM('Schedule 3B_Income_Eastern:Schedule 3D_Income_The Cape'!BV48)</f>
        <v>0</v>
      </c>
      <c r="BW48" s="585">
        <f>SUM('Schedule 3B_Income_Eastern:Schedule 3D_Income_The Cape'!BW48)</f>
        <v>23124.455709920796</v>
      </c>
      <c r="BX48" s="585">
        <f>SUM('Schedule 3B_Income_Eastern:Schedule 3D_Income_The Cape'!BX48)</f>
        <v>0</v>
      </c>
      <c r="BY48" s="585">
        <f>SUM('Schedule 3B_Income_Eastern:Schedule 3D_Income_The Cape'!BY48)</f>
        <v>24974.775146243112</v>
      </c>
      <c r="BZ48" s="585">
        <f>SUM('Schedule 3B_Income_Eastern:Schedule 3D_Income_The Cape'!BZ48)</f>
        <v>0</v>
      </c>
      <c r="CA48" s="585">
        <f>SUM('Schedule 3B_Income_Eastern:Schedule 3D_Income_The Cape'!CA48)</f>
        <v>33710.730755240897</v>
      </c>
      <c r="CB48" s="588">
        <f t="shared" si="99"/>
        <v>111061.9620418163</v>
      </c>
      <c r="CC48" s="589">
        <f t="shared" si="100"/>
        <v>129867.40316066638</v>
      </c>
      <c r="CD48" s="300">
        <v>26</v>
      </c>
      <c r="CE48" s="414">
        <f t="shared" si="101"/>
        <v>162177.37947122828</v>
      </c>
      <c r="CF48" s="414">
        <f t="shared" si="102"/>
        <v>156413.81948898299</v>
      </c>
      <c r="CG48" s="414">
        <f t="shared" si="103"/>
        <v>172836.57247446041</v>
      </c>
      <c r="CH48" s="414">
        <f t="shared" si="104"/>
        <v>152971.73041114202</v>
      </c>
      <c r="CI48" s="416">
        <f t="shared" si="105"/>
        <v>644399.50184581359</v>
      </c>
      <c r="CJ48" s="414">
        <f t="shared" si="106"/>
        <v>509369.38660478627</v>
      </c>
      <c r="CK48" s="414">
        <f t="shared" si="107"/>
        <v>574187.60122744914</v>
      </c>
      <c r="CL48" s="414">
        <f t="shared" si="108"/>
        <v>582358.10356238298</v>
      </c>
      <c r="CM48" s="414">
        <f t="shared" si="109"/>
        <v>641847.51707997674</v>
      </c>
      <c r="CN48" s="416">
        <f t="shared" si="110"/>
        <v>2307762.608474595</v>
      </c>
      <c r="CO48" s="414">
        <f t="shared" si="111"/>
        <v>671546.76607601461</v>
      </c>
      <c r="CP48" s="414">
        <f t="shared" si="112"/>
        <v>730601.42071643204</v>
      </c>
      <c r="CQ48" s="414">
        <f t="shared" si="113"/>
        <v>755194.67603684333</v>
      </c>
      <c r="CR48" s="414">
        <f t="shared" si="114"/>
        <v>794819.24749111873</v>
      </c>
      <c r="CS48" s="416">
        <f t="shared" si="115"/>
        <v>2952162.1103204088</v>
      </c>
    </row>
    <row r="49" spans="1:101" ht="15.75" customHeight="1">
      <c r="A49" s="88" t="s">
        <v>214</v>
      </c>
      <c r="B49" s="300">
        <v>27</v>
      </c>
      <c r="C49" s="585">
        <f>SUM('Schedule 3B_Income_Eastern:Schedule 3D_Income_The Cape'!C49)</f>
        <v>22613.354719883544</v>
      </c>
      <c r="D49" s="585">
        <f>SUM('Schedule 3B_Income_Eastern:Schedule 3D_Income_The Cape'!D49)</f>
        <v>312165.72240518924</v>
      </c>
      <c r="E49" s="585">
        <f>SUM('Schedule 3B_Income_Eastern:Schedule 3D_Income_The Cape'!E49)</f>
        <v>97420.675535042101</v>
      </c>
      <c r="F49" s="585">
        <f>SUM('Schedule 3B_Income_Eastern:Schedule 3D_Income_The Cape'!F49)</f>
        <v>1001116.8988787929</v>
      </c>
      <c r="G49" s="585">
        <f>SUM('Schedule 3B_Income_Eastern:Schedule 3D_Income_The Cape'!G49)</f>
        <v>96624.850934811926</v>
      </c>
      <c r="H49" s="585">
        <f>SUM('Schedule 3B_Income_Eastern:Schedule 3D_Income_The Cape'!H49)</f>
        <v>755597.86984182103</v>
      </c>
      <c r="I49" s="585">
        <f>SUM('Schedule 3B_Income_Eastern:Schedule 3D_Income_The Cape'!I49)</f>
        <v>88807.123994964219</v>
      </c>
      <c r="J49" s="585">
        <f>SUM('Schedule 3B_Income_Eastern:Schedule 3D_Income_The Cape'!J49)</f>
        <v>358752.84006542747</v>
      </c>
      <c r="K49" s="586">
        <f t="shared" si="89"/>
        <v>2733099.3363759327</v>
      </c>
      <c r="L49" s="587">
        <f>SUM('Schedule 3B_Income_Eastern:Schedule 3D_Income_The Cape'!L49)</f>
        <v>0</v>
      </c>
      <c r="M49" s="585">
        <f>SUM('Schedule 3B_Income_Eastern:Schedule 3D_Income_The Cape'!M49)</f>
        <v>167453.80836129011</v>
      </c>
      <c r="N49" s="585">
        <f>SUM('Schedule 3B_Income_Eastern:Schedule 3D_Income_The Cape'!N49)</f>
        <v>0</v>
      </c>
      <c r="O49" s="585">
        <f>SUM('Schedule 3B_Income_Eastern:Schedule 3D_Income_The Cape'!O49)</f>
        <v>876356.97255912411</v>
      </c>
      <c r="P49" s="585">
        <f>SUM('Schedule 3B_Income_Eastern:Schedule 3D_Income_The Cape'!P49)</f>
        <v>0</v>
      </c>
      <c r="Q49" s="585">
        <f>SUM('Schedule 3B_Income_Eastern:Schedule 3D_Income_The Cape'!Q49)</f>
        <v>469811.14092239959</v>
      </c>
      <c r="R49" s="585">
        <f>SUM('Schedule 3B_Income_Eastern:Schedule 3D_Income_The Cape'!R49)</f>
        <v>0</v>
      </c>
      <c r="S49" s="585">
        <f>SUM('Schedule 3B_Income_Eastern:Schedule 3D_Income_The Cape'!S49)</f>
        <v>289839.32968259009</v>
      </c>
      <c r="T49" s="588">
        <f t="shared" si="90"/>
        <v>1803461.2515254039</v>
      </c>
      <c r="U49" s="589">
        <f t="shared" si="91"/>
        <v>4536560.5879013371</v>
      </c>
      <c r="V49" s="300">
        <v>27</v>
      </c>
      <c r="W49" s="585">
        <f>SUM('Schedule 3B_Income_Eastern:Schedule 3D_Income_The Cape'!W49)</f>
        <v>7385.9961436875947</v>
      </c>
      <c r="X49" s="585">
        <f>SUM('Schedule 3B_Income_Eastern:Schedule 3D_Income_The Cape'!X49)</f>
        <v>4632.069002368502</v>
      </c>
      <c r="Y49" s="585">
        <f>SUM('Schedule 3B_Income_Eastern:Schedule 3D_Income_The Cape'!Y49)</f>
        <v>0</v>
      </c>
      <c r="Z49" s="585">
        <f>SUM('Schedule 3B_Income_Eastern:Schedule 3D_Income_The Cape'!Z49)</f>
        <v>0</v>
      </c>
      <c r="AA49" s="585">
        <f>SUM('Schedule 3B_Income_Eastern:Schedule 3D_Income_The Cape'!AA49)</f>
        <v>0</v>
      </c>
      <c r="AB49" s="585">
        <f>SUM('Schedule 3B_Income_Eastern:Schedule 3D_Income_The Cape'!AB49)</f>
        <v>0</v>
      </c>
      <c r="AC49" s="585">
        <f>SUM('Schedule 3B_Income_Eastern:Schedule 3D_Income_The Cape'!AC49)</f>
        <v>0</v>
      </c>
      <c r="AD49" s="585">
        <f>SUM('Schedule 3B_Income_Eastern:Schedule 3D_Income_The Cape'!AD49)</f>
        <v>0</v>
      </c>
      <c r="AE49" s="586">
        <f t="shared" si="92"/>
        <v>12018.065146056097</v>
      </c>
      <c r="AF49" s="587">
        <f>SUM('Schedule 3B_Income_Eastern:Schedule 3D_Income_The Cape'!AF49)</f>
        <v>0</v>
      </c>
      <c r="AG49" s="585">
        <f>SUM('Schedule 3B_Income_Eastern:Schedule 3D_Income_The Cape'!AG49)</f>
        <v>65559.483181542397</v>
      </c>
      <c r="AH49" s="585">
        <f>SUM('Schedule 3B_Income_Eastern:Schedule 3D_Income_The Cape'!AH49)</f>
        <v>0</v>
      </c>
      <c r="AI49" s="585">
        <f>SUM('Schedule 3B_Income_Eastern:Schedule 3D_Income_The Cape'!AI49)</f>
        <v>18475.528035288407</v>
      </c>
      <c r="AJ49" s="585">
        <f>SUM('Schedule 3B_Income_Eastern:Schedule 3D_Income_The Cape'!AJ49)</f>
        <v>0</v>
      </c>
      <c r="AK49" s="585">
        <f>SUM('Schedule 3B_Income_Eastern:Schedule 3D_Income_The Cape'!AK49)</f>
        <v>105.91133826440974</v>
      </c>
      <c r="AL49" s="585">
        <f>SUM('Schedule 3B_Income_Eastern:Schedule 3D_Income_The Cape'!AL49)</f>
        <v>0</v>
      </c>
      <c r="AM49" s="585">
        <f>SUM('Schedule 3B_Income_Eastern:Schedule 3D_Income_The Cape'!AM49)</f>
        <v>2060.7992710024992</v>
      </c>
      <c r="AN49" s="588">
        <f t="shared" si="93"/>
        <v>86201.721826097724</v>
      </c>
      <c r="AO49" s="589">
        <f t="shared" si="94"/>
        <v>98219.786972153815</v>
      </c>
      <c r="AP49" s="300">
        <v>27</v>
      </c>
      <c r="AQ49" s="585">
        <f>SUM('Schedule 3B_Income_Eastern:Schedule 3D_Income_The Cape'!AQ49)</f>
        <v>249276.81910408224</v>
      </c>
      <c r="AR49" s="585">
        <f>SUM('Schedule 3B_Income_Eastern:Schedule 3D_Income_The Cape'!AR49)</f>
        <v>842662.02153605339</v>
      </c>
      <c r="AS49" s="585">
        <f>SUM('Schedule 3B_Income_Eastern:Schedule 3D_Income_The Cape'!AS49)</f>
        <v>84413.96591139301</v>
      </c>
      <c r="AT49" s="585">
        <f>SUM('Schedule 3B_Income_Eastern:Schedule 3D_Income_The Cape'!AT49)</f>
        <v>215707.24897786125</v>
      </c>
      <c r="AU49" s="585">
        <f>SUM('Schedule 3B_Income_Eastern:Schedule 3D_Income_The Cape'!AU49)</f>
        <v>111715.75649975712</v>
      </c>
      <c r="AV49" s="585">
        <f>SUM('Schedule 3B_Income_Eastern:Schedule 3D_Income_The Cape'!AV49)</f>
        <v>161645.04445827755</v>
      </c>
      <c r="AW49" s="585">
        <f>SUM('Schedule 3B_Income_Eastern:Schedule 3D_Income_The Cape'!AW49)</f>
        <v>131269.40605008497</v>
      </c>
      <c r="AX49" s="585">
        <f>SUM('Schedule 3B_Income_Eastern:Schedule 3D_Income_The Cape'!AX49)</f>
        <v>125295.50143233812</v>
      </c>
      <c r="AY49" s="586">
        <f t="shared" si="95"/>
        <v>1921985.7639698477</v>
      </c>
      <c r="AZ49" s="587">
        <f>SUM('Schedule 3B_Income_Eastern:Schedule 3D_Income_The Cape'!AZ49)</f>
        <v>0</v>
      </c>
      <c r="BA49" s="585">
        <f>SUM('Schedule 3B_Income_Eastern:Schedule 3D_Income_The Cape'!BA49)</f>
        <v>1749935.2332740179</v>
      </c>
      <c r="BB49" s="585">
        <f>SUM('Schedule 3B_Income_Eastern:Schedule 3D_Income_The Cape'!BB49)</f>
        <v>0</v>
      </c>
      <c r="BC49" s="585">
        <f>SUM('Schedule 3B_Income_Eastern:Schedule 3D_Income_The Cape'!BC49)</f>
        <v>1179855.1302535455</v>
      </c>
      <c r="BD49" s="585">
        <f>SUM('Schedule 3B_Income_Eastern:Schedule 3D_Income_The Cape'!BD49)</f>
        <v>0</v>
      </c>
      <c r="BE49" s="585">
        <f>SUM('Schedule 3B_Income_Eastern:Schedule 3D_Income_The Cape'!BE49)</f>
        <v>938243.4225767703</v>
      </c>
      <c r="BF49" s="585">
        <f>SUM('Schedule 3B_Income_Eastern:Schedule 3D_Income_The Cape'!BF49)</f>
        <v>0</v>
      </c>
      <c r="BG49" s="585">
        <f>SUM('Schedule 3B_Income_Eastern:Schedule 3D_Income_The Cape'!BG49)</f>
        <v>1348304.3336020873</v>
      </c>
      <c r="BH49" s="588">
        <f t="shared" si="96"/>
        <v>5216338.1197064212</v>
      </c>
      <c r="BI49" s="589">
        <f t="shared" si="97"/>
        <v>7138323.8836762691</v>
      </c>
      <c r="BJ49" s="300">
        <v>27</v>
      </c>
      <c r="BK49" s="585">
        <f>SUM('Schedule 3B_Income_Eastern:Schedule 3D_Income_The Cape'!BK49)</f>
        <v>433193.87086089799</v>
      </c>
      <c r="BL49" s="585">
        <f>SUM('Schedule 3B_Income_Eastern:Schedule 3D_Income_The Cape'!BL49)</f>
        <v>5672087.1539944587</v>
      </c>
      <c r="BM49" s="585">
        <f>SUM('Schedule 3B_Income_Eastern:Schedule 3D_Income_The Cape'!BM49)</f>
        <v>375286.96003554348</v>
      </c>
      <c r="BN49" s="585">
        <f>SUM('Schedule 3B_Income_Eastern:Schedule 3D_Income_The Cape'!BN49)</f>
        <v>4266815.9712982755</v>
      </c>
      <c r="BO49" s="585">
        <f>SUM('Schedule 3B_Income_Eastern:Schedule 3D_Income_The Cape'!BO49)</f>
        <v>389557.44706387876</v>
      </c>
      <c r="BP49" s="585">
        <f>SUM('Schedule 3B_Income_Eastern:Schedule 3D_Income_The Cape'!BP49)</f>
        <v>4691070.4518033387</v>
      </c>
      <c r="BQ49" s="585">
        <f>SUM('Schedule 3B_Income_Eastern:Schedule 3D_Income_The Cape'!BQ49)</f>
        <v>455202.36543562991</v>
      </c>
      <c r="BR49" s="585">
        <f>SUM('Schedule 3B_Income_Eastern:Schedule 3D_Income_The Cape'!BR49)</f>
        <v>4968940.949544739</v>
      </c>
      <c r="BS49" s="586">
        <f t="shared" si="98"/>
        <v>21252155.170036763</v>
      </c>
      <c r="BT49" s="587">
        <f>SUM('Schedule 3B_Income_Eastern:Schedule 3D_Income_The Cape'!BT49)</f>
        <v>0</v>
      </c>
      <c r="BU49" s="585">
        <f>SUM('Schedule 3B_Income_Eastern:Schedule 3D_Income_The Cape'!BU49)</f>
        <v>331617.83994648512</v>
      </c>
      <c r="BV49" s="585">
        <f>SUM('Schedule 3B_Income_Eastern:Schedule 3D_Income_The Cape'!BV49)</f>
        <v>0</v>
      </c>
      <c r="BW49" s="585">
        <f>SUM('Schedule 3B_Income_Eastern:Schedule 3D_Income_The Cape'!BW49)</f>
        <v>1068735.3105172152</v>
      </c>
      <c r="BX49" s="585">
        <f>SUM('Schedule 3B_Income_Eastern:Schedule 3D_Income_The Cape'!BX49)</f>
        <v>0</v>
      </c>
      <c r="BY49" s="585">
        <f>SUM('Schedule 3B_Income_Eastern:Schedule 3D_Income_The Cape'!BY49)</f>
        <v>482998.42693354102</v>
      </c>
      <c r="BZ49" s="585">
        <f>SUM('Schedule 3B_Income_Eastern:Schedule 3D_Income_The Cape'!BZ49)</f>
        <v>0</v>
      </c>
      <c r="CA49" s="585">
        <f>SUM('Schedule 3B_Income_Eastern:Schedule 3D_Income_The Cape'!CA49)</f>
        <v>346178.82212751958</v>
      </c>
      <c r="CB49" s="588">
        <f t="shared" si="99"/>
        <v>2229530.3995247609</v>
      </c>
      <c r="CC49" s="589">
        <f t="shared" si="100"/>
        <v>23481685.569561522</v>
      </c>
      <c r="CD49" s="300">
        <v>27</v>
      </c>
      <c r="CE49" s="414">
        <f t="shared" si="101"/>
        <v>7544017.0077666212</v>
      </c>
      <c r="CF49" s="414">
        <f t="shared" si="102"/>
        <v>6040761.720636908</v>
      </c>
      <c r="CG49" s="414">
        <f t="shared" si="103"/>
        <v>6206211.4206018848</v>
      </c>
      <c r="CH49" s="414">
        <f t="shared" si="104"/>
        <v>6128268.1865231842</v>
      </c>
      <c r="CI49" s="416">
        <f t="shared" si="105"/>
        <v>25919258.335528597</v>
      </c>
      <c r="CJ49" s="414">
        <f t="shared" si="106"/>
        <v>2314566.3647633353</v>
      </c>
      <c r="CK49" s="414">
        <f t="shared" si="107"/>
        <v>3143422.9413651731</v>
      </c>
      <c r="CL49" s="414">
        <f t="shared" si="108"/>
        <v>1891158.9017709752</v>
      </c>
      <c r="CM49" s="414">
        <f t="shared" si="109"/>
        <v>1986383.2846831996</v>
      </c>
      <c r="CN49" s="416">
        <f t="shared" si="110"/>
        <v>9335531.4925826844</v>
      </c>
      <c r="CO49" s="414">
        <f t="shared" si="111"/>
        <v>9858583.3725299574</v>
      </c>
      <c r="CP49" s="414">
        <f t="shared" si="112"/>
        <v>9184184.6620020829</v>
      </c>
      <c r="CQ49" s="414">
        <f t="shared" si="113"/>
        <v>8097370.3223728603</v>
      </c>
      <c r="CR49" s="414">
        <f t="shared" si="114"/>
        <v>8114651.4712063828</v>
      </c>
      <c r="CS49" s="416">
        <f t="shared" si="115"/>
        <v>35254789.828111283</v>
      </c>
    </row>
    <row r="50" spans="1:101" ht="15.75" customHeight="1">
      <c r="A50" s="88" t="s">
        <v>215</v>
      </c>
      <c r="B50" s="300">
        <v>28</v>
      </c>
      <c r="C50" s="585">
        <f>SUM('Schedule 3B_Income_Eastern:Schedule 3D_Income_The Cape'!C50)</f>
        <v>46305.849939242282</v>
      </c>
      <c r="D50" s="585">
        <f>SUM('Schedule 3B_Income_Eastern:Schedule 3D_Income_The Cape'!D50)</f>
        <v>176176.83621564062</v>
      </c>
      <c r="E50" s="585">
        <f>SUM('Schedule 3B_Income_Eastern:Schedule 3D_Income_The Cape'!E50)</f>
        <v>206990.99468465056</v>
      </c>
      <c r="F50" s="585">
        <f>SUM('Schedule 3B_Income_Eastern:Schedule 3D_Income_The Cape'!F50)</f>
        <v>871946.66734214814</v>
      </c>
      <c r="G50" s="585">
        <f>SUM('Schedule 3B_Income_Eastern:Schedule 3D_Income_The Cape'!G50)</f>
        <v>158299.27724100946</v>
      </c>
      <c r="H50" s="585">
        <f>SUM('Schedule 3B_Income_Eastern:Schedule 3D_Income_The Cape'!H50)</f>
        <v>765960.29341790685</v>
      </c>
      <c r="I50" s="585">
        <f>SUM('Schedule 3B_Income_Eastern:Schedule 3D_Income_The Cape'!I50)</f>
        <v>95562.836008287646</v>
      </c>
      <c r="J50" s="585">
        <f>SUM('Schedule 3B_Income_Eastern:Schedule 3D_Income_The Cape'!J50)</f>
        <v>378475.95981864445</v>
      </c>
      <c r="K50" s="586">
        <f t="shared" si="89"/>
        <v>2699718.7146675303</v>
      </c>
      <c r="L50" s="587">
        <f>SUM('Schedule 3B_Income_Eastern:Schedule 3D_Income_The Cape'!L50)</f>
        <v>0</v>
      </c>
      <c r="M50" s="585">
        <f>SUM('Schedule 3B_Income_Eastern:Schedule 3D_Income_The Cape'!M50)</f>
        <v>0</v>
      </c>
      <c r="N50" s="585">
        <f>SUM('Schedule 3B_Income_Eastern:Schedule 3D_Income_The Cape'!N50)</f>
        <v>0</v>
      </c>
      <c r="O50" s="585">
        <f>SUM('Schedule 3B_Income_Eastern:Schedule 3D_Income_The Cape'!O50)</f>
        <v>0</v>
      </c>
      <c r="P50" s="585">
        <f>SUM('Schedule 3B_Income_Eastern:Schedule 3D_Income_The Cape'!P50)</f>
        <v>0</v>
      </c>
      <c r="Q50" s="585">
        <f>SUM('Schedule 3B_Income_Eastern:Schedule 3D_Income_The Cape'!Q50)</f>
        <v>0</v>
      </c>
      <c r="R50" s="585">
        <f>SUM('Schedule 3B_Income_Eastern:Schedule 3D_Income_The Cape'!R50)</f>
        <v>0</v>
      </c>
      <c r="S50" s="585">
        <f>SUM('Schedule 3B_Income_Eastern:Schedule 3D_Income_The Cape'!S50)</f>
        <v>0</v>
      </c>
      <c r="T50" s="588">
        <f t="shared" si="90"/>
        <v>0</v>
      </c>
      <c r="U50" s="589">
        <f t="shared" si="91"/>
        <v>2699718.7146675303</v>
      </c>
      <c r="V50" s="300">
        <v>28</v>
      </c>
      <c r="W50" s="585">
        <f>SUM('Schedule 3B_Income_Eastern:Schedule 3D_Income_The Cape'!W50)</f>
        <v>0</v>
      </c>
      <c r="X50" s="585">
        <f>SUM('Schedule 3B_Income_Eastern:Schedule 3D_Income_The Cape'!X50)</f>
        <v>16885.042070787356</v>
      </c>
      <c r="Y50" s="585">
        <f>SUM('Schedule 3B_Income_Eastern:Schedule 3D_Income_The Cape'!Y50)</f>
        <v>0</v>
      </c>
      <c r="Z50" s="585">
        <f>SUM('Schedule 3B_Income_Eastern:Schedule 3D_Income_The Cape'!Z50)</f>
        <v>8812.5615080965563</v>
      </c>
      <c r="AA50" s="585">
        <f>SUM('Schedule 3B_Income_Eastern:Schedule 3D_Income_The Cape'!AA50)</f>
        <v>0</v>
      </c>
      <c r="AB50" s="585">
        <f>SUM('Schedule 3B_Income_Eastern:Schedule 3D_Income_The Cape'!AB50)</f>
        <v>11587.345786430136</v>
      </c>
      <c r="AC50" s="585">
        <f>SUM('Schedule 3B_Income_Eastern:Schedule 3D_Income_The Cape'!AC50)</f>
        <v>301.63777017661931</v>
      </c>
      <c r="AD50" s="585">
        <f>SUM('Schedule 3B_Income_Eastern:Schedule 3D_Income_The Cape'!AD50)</f>
        <v>7636.0334667569232</v>
      </c>
      <c r="AE50" s="586">
        <f t="shared" si="92"/>
        <v>45222.620602247596</v>
      </c>
      <c r="AF50" s="587">
        <f>SUM('Schedule 3B_Income_Eastern:Schedule 3D_Income_The Cape'!AF50)</f>
        <v>0</v>
      </c>
      <c r="AG50" s="585">
        <f>SUM('Schedule 3B_Income_Eastern:Schedule 3D_Income_The Cape'!AG50)</f>
        <v>0</v>
      </c>
      <c r="AH50" s="585">
        <f>SUM('Schedule 3B_Income_Eastern:Schedule 3D_Income_The Cape'!AH50)</f>
        <v>0</v>
      </c>
      <c r="AI50" s="585">
        <f>SUM('Schedule 3B_Income_Eastern:Schedule 3D_Income_The Cape'!AI50)</f>
        <v>0</v>
      </c>
      <c r="AJ50" s="585">
        <f>SUM('Schedule 3B_Income_Eastern:Schedule 3D_Income_The Cape'!AJ50)</f>
        <v>0</v>
      </c>
      <c r="AK50" s="585">
        <f>SUM('Schedule 3B_Income_Eastern:Schedule 3D_Income_The Cape'!AK50)</f>
        <v>0</v>
      </c>
      <c r="AL50" s="585">
        <f>SUM('Schedule 3B_Income_Eastern:Schedule 3D_Income_The Cape'!AL50)</f>
        <v>0</v>
      </c>
      <c r="AM50" s="585">
        <f>SUM('Schedule 3B_Income_Eastern:Schedule 3D_Income_The Cape'!AM50)</f>
        <v>0</v>
      </c>
      <c r="AN50" s="588">
        <f t="shared" si="93"/>
        <v>0</v>
      </c>
      <c r="AO50" s="589">
        <f t="shared" si="94"/>
        <v>45222.620602247596</v>
      </c>
      <c r="AP50" s="300">
        <v>28</v>
      </c>
      <c r="AQ50" s="585">
        <f>SUM('Schedule 3B_Income_Eastern:Schedule 3D_Income_The Cape'!AQ50)</f>
        <v>2434203.3198475987</v>
      </c>
      <c r="AR50" s="585">
        <f>SUM('Schedule 3B_Income_Eastern:Schedule 3D_Income_The Cape'!AR50)</f>
        <v>15507312.032796919</v>
      </c>
      <c r="AS50" s="585">
        <f>SUM('Schedule 3B_Income_Eastern:Schedule 3D_Income_The Cape'!AS50)</f>
        <v>2275068.4766113907</v>
      </c>
      <c r="AT50" s="585">
        <f>SUM('Schedule 3B_Income_Eastern:Schedule 3D_Income_The Cape'!AT50)</f>
        <v>15137859.364584072</v>
      </c>
      <c r="AU50" s="585">
        <f>SUM('Schedule 3B_Income_Eastern:Schedule 3D_Income_The Cape'!AU50)</f>
        <v>2362065.0445255712</v>
      </c>
      <c r="AV50" s="585">
        <f>SUM('Schedule 3B_Income_Eastern:Schedule 3D_Income_The Cape'!AV50)</f>
        <v>16242894.243309708</v>
      </c>
      <c r="AW50" s="585">
        <f>SUM('Schedule 3B_Income_Eastern:Schedule 3D_Income_The Cape'!AW50)</f>
        <v>2683267.2665935215</v>
      </c>
      <c r="AX50" s="585">
        <f>SUM('Schedule 3B_Income_Eastern:Schedule 3D_Income_The Cape'!AX50)</f>
        <v>17007868.744604327</v>
      </c>
      <c r="AY50" s="586">
        <f t="shared" si="95"/>
        <v>73650538.492873102</v>
      </c>
      <c r="AZ50" s="587">
        <f>SUM('Schedule 3B_Income_Eastern:Schedule 3D_Income_The Cape'!AZ50)</f>
        <v>0</v>
      </c>
      <c r="BA50" s="585">
        <f>SUM('Schedule 3B_Income_Eastern:Schedule 3D_Income_The Cape'!BA50)</f>
        <v>0</v>
      </c>
      <c r="BB50" s="585">
        <f>SUM('Schedule 3B_Income_Eastern:Schedule 3D_Income_The Cape'!BB50)</f>
        <v>0</v>
      </c>
      <c r="BC50" s="585">
        <f>SUM('Schedule 3B_Income_Eastern:Schedule 3D_Income_The Cape'!BC50)</f>
        <v>0</v>
      </c>
      <c r="BD50" s="585">
        <f>SUM('Schedule 3B_Income_Eastern:Schedule 3D_Income_The Cape'!BD50)</f>
        <v>0</v>
      </c>
      <c r="BE50" s="585">
        <f>SUM('Schedule 3B_Income_Eastern:Schedule 3D_Income_The Cape'!BE50)</f>
        <v>0</v>
      </c>
      <c r="BF50" s="585">
        <f>SUM('Schedule 3B_Income_Eastern:Schedule 3D_Income_The Cape'!BF50)</f>
        <v>0</v>
      </c>
      <c r="BG50" s="585">
        <f>SUM('Schedule 3B_Income_Eastern:Schedule 3D_Income_The Cape'!BG50)</f>
        <v>0</v>
      </c>
      <c r="BH50" s="588">
        <f t="shared" si="96"/>
        <v>0</v>
      </c>
      <c r="BI50" s="589">
        <f t="shared" si="97"/>
        <v>73650538.492873102</v>
      </c>
      <c r="BJ50" s="300">
        <v>28</v>
      </c>
      <c r="BK50" s="585">
        <f>SUM('Schedule 3B_Income_Eastern:Schedule 3D_Income_The Cape'!BK50)</f>
        <v>37.650956480836982</v>
      </c>
      <c r="BL50" s="585">
        <f>SUM('Schedule 3B_Income_Eastern:Schedule 3D_Income_The Cape'!BL50)</f>
        <v>80075.253159263622</v>
      </c>
      <c r="BM50" s="585">
        <f>SUM('Schedule 3B_Income_Eastern:Schedule 3D_Income_The Cape'!BM50)</f>
        <v>1505.6703274564879</v>
      </c>
      <c r="BN50" s="585">
        <f>SUM('Schedule 3B_Income_Eastern:Schedule 3D_Income_The Cape'!BN50)</f>
        <v>60765.509641094868</v>
      </c>
      <c r="BO50" s="585">
        <f>SUM('Schedule 3B_Income_Eastern:Schedule 3D_Income_The Cape'!BO50)</f>
        <v>2504.6759689787232</v>
      </c>
      <c r="BP50" s="585">
        <f>SUM('Schedule 3B_Income_Eastern:Schedule 3D_Income_The Cape'!BP50)</f>
        <v>61987.723406181423</v>
      </c>
      <c r="BQ50" s="585">
        <f>SUM('Schedule 3B_Income_Eastern:Schedule 3D_Income_The Cape'!BQ50)</f>
        <v>3779.7307309867738</v>
      </c>
      <c r="BR50" s="585">
        <f>SUM('Schedule 3B_Income_Eastern:Schedule 3D_Income_The Cape'!BR50)</f>
        <v>116057.8761412802</v>
      </c>
      <c r="BS50" s="586">
        <f t="shared" si="98"/>
        <v>326714.09033172292</v>
      </c>
      <c r="BT50" s="587">
        <f>SUM('Schedule 3B_Income_Eastern:Schedule 3D_Income_The Cape'!BT50)</f>
        <v>0</v>
      </c>
      <c r="BU50" s="585">
        <f>SUM('Schedule 3B_Income_Eastern:Schedule 3D_Income_The Cape'!BU50)</f>
        <v>0</v>
      </c>
      <c r="BV50" s="585">
        <f>SUM('Schedule 3B_Income_Eastern:Schedule 3D_Income_The Cape'!BV50)</f>
        <v>0</v>
      </c>
      <c r="BW50" s="585">
        <f>SUM('Schedule 3B_Income_Eastern:Schedule 3D_Income_The Cape'!BW50)</f>
        <v>0</v>
      </c>
      <c r="BX50" s="585">
        <f>SUM('Schedule 3B_Income_Eastern:Schedule 3D_Income_The Cape'!BX50)</f>
        <v>0</v>
      </c>
      <c r="BY50" s="585">
        <f>SUM('Schedule 3B_Income_Eastern:Schedule 3D_Income_The Cape'!BY50)</f>
        <v>0</v>
      </c>
      <c r="BZ50" s="585">
        <f>SUM('Schedule 3B_Income_Eastern:Schedule 3D_Income_The Cape'!BZ50)</f>
        <v>0</v>
      </c>
      <c r="CA50" s="585">
        <f>SUM('Schedule 3B_Income_Eastern:Schedule 3D_Income_The Cape'!CA50)</f>
        <v>0</v>
      </c>
      <c r="CB50" s="588">
        <f t="shared" si="99"/>
        <v>0</v>
      </c>
      <c r="CC50" s="589">
        <f t="shared" si="100"/>
        <v>326714.09033172292</v>
      </c>
      <c r="CD50" s="300">
        <v>28</v>
      </c>
      <c r="CE50" s="414">
        <f t="shared" si="101"/>
        <v>18260995.984985933</v>
      </c>
      <c r="CF50" s="414">
        <f t="shared" si="102"/>
        <v>18562949.244698908</v>
      </c>
      <c r="CG50" s="414">
        <f t="shared" si="103"/>
        <v>19605298.603655785</v>
      </c>
      <c r="CH50" s="414">
        <f t="shared" si="104"/>
        <v>20292950.085133981</v>
      </c>
      <c r="CI50" s="416">
        <f t="shared" si="105"/>
        <v>76722193.9184746</v>
      </c>
      <c r="CJ50" s="414">
        <f t="shared" si="106"/>
        <v>0</v>
      </c>
      <c r="CK50" s="414">
        <f t="shared" si="107"/>
        <v>0</v>
      </c>
      <c r="CL50" s="414">
        <f t="shared" si="108"/>
        <v>0</v>
      </c>
      <c r="CM50" s="414">
        <f t="shared" si="109"/>
        <v>0</v>
      </c>
      <c r="CN50" s="416">
        <f t="shared" si="110"/>
        <v>0</v>
      </c>
      <c r="CO50" s="414">
        <f t="shared" si="111"/>
        <v>18260995.984985933</v>
      </c>
      <c r="CP50" s="414">
        <f t="shared" si="112"/>
        <v>18562949.244698908</v>
      </c>
      <c r="CQ50" s="414">
        <f t="shared" si="113"/>
        <v>19605298.603655785</v>
      </c>
      <c r="CR50" s="414">
        <f t="shared" si="114"/>
        <v>20292950.085133981</v>
      </c>
      <c r="CS50" s="416">
        <f t="shared" si="115"/>
        <v>76722193.9184746</v>
      </c>
    </row>
    <row r="51" spans="1:101" ht="15.75" customHeight="1">
      <c r="A51" s="88" t="s">
        <v>216</v>
      </c>
      <c r="B51" s="300">
        <v>29</v>
      </c>
      <c r="C51" s="585">
        <f>SUM('Schedule 3B_Income_Eastern:Schedule 3D_Income_The Cape'!C51)</f>
        <v>10396.39038537562</v>
      </c>
      <c r="D51" s="585">
        <f>SUM('Schedule 3B_Income_Eastern:Schedule 3D_Income_The Cape'!D51)</f>
        <v>21493.489103385033</v>
      </c>
      <c r="E51" s="585">
        <f>SUM('Schedule 3B_Income_Eastern:Schedule 3D_Income_The Cape'!E51)</f>
        <v>18997.004347673494</v>
      </c>
      <c r="F51" s="585">
        <f>SUM('Schedule 3B_Income_Eastern:Schedule 3D_Income_The Cape'!F51)</f>
        <v>41981.851551267413</v>
      </c>
      <c r="G51" s="585">
        <f>SUM('Schedule 3B_Income_Eastern:Schedule 3D_Income_The Cape'!G51)</f>
        <v>18670.587649890098</v>
      </c>
      <c r="H51" s="585">
        <f>SUM('Schedule 3B_Income_Eastern:Schedule 3D_Income_The Cape'!H51)</f>
        <v>19362.441111361673</v>
      </c>
      <c r="I51" s="585">
        <f>SUM('Schedule 3B_Income_Eastern:Schedule 3D_Income_The Cape'!I51)</f>
        <v>12236.83687111162</v>
      </c>
      <c r="J51" s="585">
        <f>SUM('Schedule 3B_Income_Eastern:Schedule 3D_Income_The Cape'!J51)</f>
        <v>4248.5889400050564</v>
      </c>
      <c r="K51" s="586">
        <f t="shared" ref="K51:K54" si="137">SUM(C51:J51)</f>
        <v>147387.18996007001</v>
      </c>
      <c r="L51" s="587">
        <f>SUM('Schedule 3B_Income_Eastern:Schedule 3D_Income_The Cape'!L51)</f>
        <v>0</v>
      </c>
      <c r="M51" s="585">
        <f>SUM('Schedule 3B_Income_Eastern:Schedule 3D_Income_The Cape'!M51)</f>
        <v>57979.159804981653</v>
      </c>
      <c r="N51" s="585">
        <f>SUM('Schedule 3B_Income_Eastern:Schedule 3D_Income_The Cape'!N51)</f>
        <v>0</v>
      </c>
      <c r="O51" s="585">
        <f>SUM('Schedule 3B_Income_Eastern:Schedule 3D_Income_The Cape'!O51)</f>
        <v>92482.885221379096</v>
      </c>
      <c r="P51" s="585">
        <f>SUM('Schedule 3B_Income_Eastern:Schedule 3D_Income_The Cape'!P51)</f>
        <v>0</v>
      </c>
      <c r="Q51" s="585">
        <f>SUM('Schedule 3B_Income_Eastern:Schedule 3D_Income_The Cape'!Q51)</f>
        <v>63903.146690967871</v>
      </c>
      <c r="R51" s="585">
        <f>SUM('Schedule 3B_Income_Eastern:Schedule 3D_Income_The Cape'!R51)</f>
        <v>0</v>
      </c>
      <c r="S51" s="585">
        <f>SUM('Schedule 3B_Income_Eastern:Schedule 3D_Income_The Cape'!S51)</f>
        <v>60695.102928594279</v>
      </c>
      <c r="T51" s="588">
        <f t="shared" ref="T51:T54" si="138">SUM(L51:S51)</f>
        <v>275060.2946459229</v>
      </c>
      <c r="U51" s="589">
        <f t="shared" ref="U51:U54" si="139">SUM(T51,K51)</f>
        <v>422447.48460599291</v>
      </c>
      <c r="V51" s="300">
        <v>29</v>
      </c>
      <c r="W51" s="585">
        <f>SUM('Schedule 3B_Income_Eastern:Schedule 3D_Income_The Cape'!W51)</f>
        <v>3010.7747566737366</v>
      </c>
      <c r="X51" s="585">
        <f>SUM('Schedule 3B_Income_Eastern:Schedule 3D_Income_The Cape'!X51)</f>
        <v>217.20396197495609</v>
      </c>
      <c r="Y51" s="585">
        <f>SUM('Schedule 3B_Income_Eastern:Schedule 3D_Income_The Cape'!Y51)</f>
        <v>200.5480901523633</v>
      </c>
      <c r="Z51" s="585">
        <f>SUM('Schedule 3B_Income_Eastern:Schedule 3D_Income_The Cape'!Z51)</f>
        <v>433.0514798908946</v>
      </c>
      <c r="AA51" s="585">
        <f>SUM('Schedule 3B_Income_Eastern:Schedule 3D_Income_The Cape'!AA51)</f>
        <v>532.84602101571613</v>
      </c>
      <c r="AB51" s="585">
        <f>SUM('Schedule 3B_Income_Eastern:Schedule 3D_Income_The Cape'!AB51)</f>
        <v>72.89275253292972</v>
      </c>
      <c r="AC51" s="585">
        <f>SUM('Schedule 3B_Income_Eastern:Schedule 3D_Income_The Cape'!AC51)</f>
        <v>415.89354916470063</v>
      </c>
      <c r="AD51" s="585">
        <f>SUM('Schedule 3B_Income_Eastern:Schedule 3D_Income_The Cape'!AD51)</f>
        <v>0</v>
      </c>
      <c r="AE51" s="586">
        <f t="shared" ref="AE51:AE54" si="140">SUM(W51:AD51)</f>
        <v>4883.2106114052976</v>
      </c>
      <c r="AF51" s="587">
        <f>SUM('Schedule 3B_Income_Eastern:Schedule 3D_Income_The Cape'!AF51)</f>
        <v>0</v>
      </c>
      <c r="AG51" s="585">
        <f>SUM('Schedule 3B_Income_Eastern:Schedule 3D_Income_The Cape'!AG51)</f>
        <v>10328.190850831586</v>
      </c>
      <c r="AH51" s="585">
        <f>SUM('Schedule 3B_Income_Eastern:Schedule 3D_Income_The Cape'!AH51)</f>
        <v>0</v>
      </c>
      <c r="AI51" s="585">
        <f>SUM('Schedule 3B_Income_Eastern:Schedule 3D_Income_The Cape'!AI51)</f>
        <v>12308.828063242992</v>
      </c>
      <c r="AJ51" s="585">
        <f>SUM('Schedule 3B_Income_Eastern:Schedule 3D_Income_The Cape'!AJ51)</f>
        <v>0</v>
      </c>
      <c r="AK51" s="585">
        <f>SUM('Schedule 3B_Income_Eastern:Schedule 3D_Income_The Cape'!AK51)</f>
        <v>5083.9767644484527</v>
      </c>
      <c r="AL51" s="585">
        <f>SUM('Schedule 3B_Income_Eastern:Schedule 3D_Income_The Cape'!AL51)</f>
        <v>0</v>
      </c>
      <c r="AM51" s="585">
        <f>SUM('Schedule 3B_Income_Eastern:Schedule 3D_Income_The Cape'!AM51)</f>
        <v>14935.254480475403</v>
      </c>
      <c r="AN51" s="588">
        <f t="shared" ref="AN51:AN54" si="141">SUM(AF51:AM51)</f>
        <v>42656.250158998431</v>
      </c>
      <c r="AO51" s="589">
        <f t="shared" ref="AO51:AO54" si="142">SUM(AN51,AE51)</f>
        <v>47539.460770403726</v>
      </c>
      <c r="AP51" s="300">
        <v>29</v>
      </c>
      <c r="AQ51" s="585">
        <f>SUM('Schedule 3B_Income_Eastern:Schedule 3D_Income_The Cape'!AQ51)</f>
        <v>132733.79077139194</v>
      </c>
      <c r="AR51" s="585">
        <f>SUM('Schedule 3B_Income_Eastern:Schedule 3D_Income_The Cape'!AR51)</f>
        <v>253077.91347252484</v>
      </c>
      <c r="AS51" s="585">
        <f>SUM('Schedule 3B_Income_Eastern:Schedule 3D_Income_The Cape'!AS51)</f>
        <v>105670.81975845732</v>
      </c>
      <c r="AT51" s="585">
        <f>SUM('Schedule 3B_Income_Eastern:Schedule 3D_Income_The Cape'!AT51)</f>
        <v>270421.64250865096</v>
      </c>
      <c r="AU51" s="585">
        <f>SUM('Schedule 3B_Income_Eastern:Schedule 3D_Income_The Cape'!AU51)</f>
        <v>87638.774138460052</v>
      </c>
      <c r="AV51" s="585">
        <f>SUM('Schedule 3B_Income_Eastern:Schedule 3D_Income_The Cape'!AV51)</f>
        <v>292502.70099701051</v>
      </c>
      <c r="AW51" s="585">
        <f>SUM('Schedule 3B_Income_Eastern:Schedule 3D_Income_The Cape'!AW51)</f>
        <v>138293.72230833722</v>
      </c>
      <c r="AX51" s="585">
        <f>SUM('Schedule 3B_Income_Eastern:Schedule 3D_Income_The Cape'!AX51)</f>
        <v>349872.70789969724</v>
      </c>
      <c r="AY51" s="586">
        <f t="shared" ref="AY51:AY54" si="143">SUM(AQ51:AX51)</f>
        <v>1630212.0718545299</v>
      </c>
      <c r="AZ51" s="587">
        <f>SUM('Schedule 3B_Income_Eastern:Schedule 3D_Income_The Cape'!AZ51)</f>
        <v>0</v>
      </c>
      <c r="BA51" s="585">
        <f>SUM('Schedule 3B_Income_Eastern:Schedule 3D_Income_The Cape'!BA51)</f>
        <v>714331.84176329686</v>
      </c>
      <c r="BB51" s="585">
        <f>SUM('Schedule 3B_Income_Eastern:Schedule 3D_Income_The Cape'!BB51)</f>
        <v>0</v>
      </c>
      <c r="BC51" s="585">
        <f>SUM('Schedule 3B_Income_Eastern:Schedule 3D_Income_The Cape'!BC51)</f>
        <v>644872.84212796181</v>
      </c>
      <c r="BD51" s="585">
        <f>SUM('Schedule 3B_Income_Eastern:Schedule 3D_Income_The Cape'!BD51)</f>
        <v>0</v>
      </c>
      <c r="BE51" s="585">
        <f>SUM('Schedule 3B_Income_Eastern:Schedule 3D_Income_The Cape'!BE51)</f>
        <v>748709.16845966468</v>
      </c>
      <c r="BF51" s="585">
        <f>SUM('Schedule 3B_Income_Eastern:Schedule 3D_Income_The Cape'!BF51)</f>
        <v>0</v>
      </c>
      <c r="BG51" s="585">
        <f>SUM('Schedule 3B_Income_Eastern:Schedule 3D_Income_The Cape'!BG51)</f>
        <v>693043.87782084441</v>
      </c>
      <c r="BH51" s="588">
        <f t="shared" ref="BH51:BH54" si="144">SUM(AZ51:BG51)</f>
        <v>2800957.7301717675</v>
      </c>
      <c r="BI51" s="589">
        <f t="shared" ref="BI51:BI54" si="145">SUM(BH51,AY51)</f>
        <v>4431169.8020262979</v>
      </c>
      <c r="BJ51" s="300">
        <v>29</v>
      </c>
      <c r="BK51" s="585">
        <f>SUM('Schedule 3B_Income_Eastern:Schedule 3D_Income_The Cape'!BK51)</f>
        <v>2373.4421962652727</v>
      </c>
      <c r="BL51" s="585">
        <f>SUM('Schedule 3B_Income_Eastern:Schedule 3D_Income_The Cape'!BL51)</f>
        <v>10157.497069215156</v>
      </c>
      <c r="BM51" s="585">
        <f>SUM('Schedule 3B_Income_Eastern:Schedule 3D_Income_The Cape'!BM51)</f>
        <v>4297.5765679481883</v>
      </c>
      <c r="BN51" s="585">
        <f>SUM('Schedule 3B_Income_Eastern:Schedule 3D_Income_The Cape'!BN51)</f>
        <v>1805.364097586651</v>
      </c>
      <c r="BO51" s="585">
        <f>SUM('Schedule 3B_Income_Eastern:Schedule 3D_Income_The Cape'!BO51)</f>
        <v>2139.3212948942287</v>
      </c>
      <c r="BP51" s="585">
        <f>SUM('Schedule 3B_Income_Eastern:Schedule 3D_Income_The Cape'!BP51)</f>
        <v>8177.9087746232362</v>
      </c>
      <c r="BQ51" s="585">
        <f>SUM('Schedule 3B_Income_Eastern:Schedule 3D_Income_The Cape'!BQ51)</f>
        <v>4558.6474312657729</v>
      </c>
      <c r="BR51" s="585">
        <f>SUM('Schedule 3B_Income_Eastern:Schedule 3D_Income_The Cape'!BR51)</f>
        <v>7129.2505922591445</v>
      </c>
      <c r="BS51" s="586">
        <f t="shared" ref="BS51:BS54" si="146">SUM(BK51:BR51)</f>
        <v>40639.00802405765</v>
      </c>
      <c r="BT51" s="587">
        <f>SUM('Schedule 3B_Income_Eastern:Schedule 3D_Income_The Cape'!BT51)</f>
        <v>0</v>
      </c>
      <c r="BU51" s="585">
        <f>SUM('Schedule 3B_Income_Eastern:Schedule 3D_Income_The Cape'!BU51)</f>
        <v>63400.905659075215</v>
      </c>
      <c r="BV51" s="585">
        <f>SUM('Schedule 3B_Income_Eastern:Schedule 3D_Income_The Cape'!BV51)</f>
        <v>0</v>
      </c>
      <c r="BW51" s="585">
        <f>SUM('Schedule 3B_Income_Eastern:Schedule 3D_Income_The Cape'!BW51)</f>
        <v>38455.334385280272</v>
      </c>
      <c r="BX51" s="585">
        <f>SUM('Schedule 3B_Income_Eastern:Schedule 3D_Income_The Cape'!BX51)</f>
        <v>0</v>
      </c>
      <c r="BY51" s="585">
        <f>SUM('Schedule 3B_Income_Eastern:Schedule 3D_Income_The Cape'!BY51)</f>
        <v>56745.315523167308</v>
      </c>
      <c r="BZ51" s="585">
        <f>SUM('Schedule 3B_Income_Eastern:Schedule 3D_Income_The Cape'!BZ51)</f>
        <v>0</v>
      </c>
      <c r="CA51" s="585">
        <f>SUM('Schedule 3B_Income_Eastern:Schedule 3D_Income_The Cape'!CA51)</f>
        <v>92870.443791126512</v>
      </c>
      <c r="CB51" s="588">
        <f t="shared" ref="CB51:CB54" si="147">SUM(BT51:CA51)</f>
        <v>251471.99935864931</v>
      </c>
      <c r="CC51" s="589">
        <f t="shared" ref="CC51:CC54" si="148">SUM(CB51,BS51)</f>
        <v>292111.00738270697</v>
      </c>
      <c r="CD51" s="300">
        <v>29</v>
      </c>
      <c r="CE51" s="414">
        <f t="shared" si="101"/>
        <v>433460.50171680655</v>
      </c>
      <c r="CF51" s="414">
        <f t="shared" si="102"/>
        <v>443807.85840162734</v>
      </c>
      <c r="CG51" s="414">
        <f t="shared" si="103"/>
        <v>429097.47273978841</v>
      </c>
      <c r="CH51" s="414">
        <f t="shared" si="104"/>
        <v>516755.64759184077</v>
      </c>
      <c r="CI51" s="416">
        <f t="shared" si="105"/>
        <v>1823121.4804500628</v>
      </c>
      <c r="CJ51" s="414">
        <f t="shared" si="106"/>
        <v>846040.09807818534</v>
      </c>
      <c r="CK51" s="414">
        <f t="shared" si="107"/>
        <v>788119.88979786413</v>
      </c>
      <c r="CL51" s="414">
        <f t="shared" si="108"/>
        <v>874441.60743824823</v>
      </c>
      <c r="CM51" s="414">
        <f t="shared" si="109"/>
        <v>861544.67902104056</v>
      </c>
      <c r="CN51" s="416">
        <f t="shared" si="110"/>
        <v>3370146.2743353383</v>
      </c>
      <c r="CO51" s="414">
        <f t="shared" si="111"/>
        <v>1279500.5997949918</v>
      </c>
      <c r="CP51" s="414">
        <f t="shared" si="112"/>
        <v>1231927.7481994913</v>
      </c>
      <c r="CQ51" s="414">
        <f t="shared" si="113"/>
        <v>1303539.0801780368</v>
      </c>
      <c r="CR51" s="414">
        <f t="shared" si="114"/>
        <v>1378300.3266128814</v>
      </c>
      <c r="CS51" s="416">
        <f t="shared" si="115"/>
        <v>5193267.7547854017</v>
      </c>
    </row>
    <row r="52" spans="1:101" ht="15.75" customHeight="1">
      <c r="A52" s="88" t="s">
        <v>217</v>
      </c>
      <c r="B52" s="300">
        <v>30</v>
      </c>
      <c r="C52" s="585">
        <f>SUM('Schedule 3B_Income_Eastern:Schedule 3D_Income_The Cape'!C52)</f>
        <v>111229.16659789874</v>
      </c>
      <c r="D52" s="585">
        <f>SUM('Schedule 3B_Income_Eastern:Schedule 3D_Income_The Cape'!D52)</f>
        <v>218105.61226070195</v>
      </c>
      <c r="E52" s="585">
        <f>SUM('Schedule 3B_Income_Eastern:Schedule 3D_Income_The Cape'!E52)</f>
        <v>349030.26527303446</v>
      </c>
      <c r="F52" s="585">
        <f>SUM('Schedule 3B_Income_Eastern:Schedule 3D_Income_The Cape'!F52)</f>
        <v>581524.96910778491</v>
      </c>
      <c r="G52" s="585">
        <f>SUM('Schedule 3B_Income_Eastern:Schedule 3D_Income_The Cape'!G52)</f>
        <v>288456.83938763756</v>
      </c>
      <c r="H52" s="585">
        <f>SUM('Schedule 3B_Income_Eastern:Schedule 3D_Income_The Cape'!H52)</f>
        <v>528009.94122492534</v>
      </c>
      <c r="I52" s="585">
        <f>SUM('Schedule 3B_Income_Eastern:Schedule 3D_Income_The Cape'!I52)</f>
        <v>194787.20891990786</v>
      </c>
      <c r="J52" s="585">
        <f>SUM('Schedule 3B_Income_Eastern:Schedule 3D_Income_The Cape'!J52)</f>
        <v>294598.17303271813</v>
      </c>
      <c r="K52" s="586">
        <f t="shared" si="137"/>
        <v>2565742.175804609</v>
      </c>
      <c r="L52" s="587">
        <f>SUM('Schedule 3B_Income_Eastern:Schedule 3D_Income_The Cape'!L52)</f>
        <v>0</v>
      </c>
      <c r="M52" s="585">
        <f>SUM('Schedule 3B_Income_Eastern:Schedule 3D_Income_The Cape'!M52)</f>
        <v>0</v>
      </c>
      <c r="N52" s="585">
        <f>SUM('Schedule 3B_Income_Eastern:Schedule 3D_Income_The Cape'!N52)</f>
        <v>0</v>
      </c>
      <c r="O52" s="585">
        <f>SUM('Schedule 3B_Income_Eastern:Schedule 3D_Income_The Cape'!O52)</f>
        <v>46550.63125908959</v>
      </c>
      <c r="P52" s="585">
        <f>SUM('Schedule 3B_Income_Eastern:Schedule 3D_Income_The Cape'!P52)</f>
        <v>0</v>
      </c>
      <c r="Q52" s="585">
        <f>SUM('Schedule 3B_Income_Eastern:Schedule 3D_Income_The Cape'!Q52)</f>
        <v>7347.4524985077014</v>
      </c>
      <c r="R52" s="585">
        <f>SUM('Schedule 3B_Income_Eastern:Schedule 3D_Income_The Cape'!R52)</f>
        <v>0</v>
      </c>
      <c r="S52" s="585">
        <f>SUM('Schedule 3B_Income_Eastern:Schedule 3D_Income_The Cape'!S52)</f>
        <v>6131.8641608224225</v>
      </c>
      <c r="T52" s="588">
        <f t="shared" si="138"/>
        <v>60029.947918419712</v>
      </c>
      <c r="U52" s="589">
        <f t="shared" si="139"/>
        <v>2625772.1237230287</v>
      </c>
      <c r="V52" s="300">
        <v>30</v>
      </c>
      <c r="W52" s="585">
        <f>SUM('Schedule 3B_Income_Eastern:Schedule 3D_Income_The Cape'!W52)</f>
        <v>4954.3752088176243</v>
      </c>
      <c r="X52" s="585">
        <f>SUM('Schedule 3B_Income_Eastern:Schedule 3D_Income_The Cape'!X52)</f>
        <v>9982.9007720875361</v>
      </c>
      <c r="Y52" s="585">
        <f>SUM('Schedule 3B_Income_Eastern:Schedule 3D_Income_The Cape'!Y52)</f>
        <v>4253.5452543313404</v>
      </c>
      <c r="Z52" s="585">
        <f>SUM('Schedule 3B_Income_Eastern:Schedule 3D_Income_The Cape'!Z52)</f>
        <v>27244.019238549183</v>
      </c>
      <c r="AA52" s="585">
        <f>SUM('Schedule 3B_Income_Eastern:Schedule 3D_Income_The Cape'!AA52)</f>
        <v>2912.0452157037275</v>
      </c>
      <c r="AB52" s="585">
        <f>SUM('Schedule 3B_Income_Eastern:Schedule 3D_Income_The Cape'!AB52)</f>
        <v>28263.648470979722</v>
      </c>
      <c r="AC52" s="585">
        <f>SUM('Schedule 3B_Income_Eastern:Schedule 3D_Income_The Cape'!AC52)</f>
        <v>5927.7687018570241</v>
      </c>
      <c r="AD52" s="585">
        <f>SUM('Schedule 3B_Income_Eastern:Schedule 3D_Income_The Cape'!AD52)</f>
        <v>17998.024019681867</v>
      </c>
      <c r="AE52" s="586">
        <f t="shared" si="140"/>
        <v>101536.32688200803</v>
      </c>
      <c r="AF52" s="587">
        <f>SUM('Schedule 3B_Income_Eastern:Schedule 3D_Income_The Cape'!AF52)</f>
        <v>0</v>
      </c>
      <c r="AG52" s="585">
        <f>SUM('Schedule 3B_Income_Eastern:Schedule 3D_Income_The Cape'!AG52)</f>
        <v>0</v>
      </c>
      <c r="AH52" s="585">
        <f>SUM('Schedule 3B_Income_Eastern:Schedule 3D_Income_The Cape'!AH52)</f>
        <v>0</v>
      </c>
      <c r="AI52" s="585">
        <f>SUM('Schedule 3B_Income_Eastern:Schedule 3D_Income_The Cape'!AI52)</f>
        <v>7467.495844656386</v>
      </c>
      <c r="AJ52" s="585">
        <f>SUM('Schedule 3B_Income_Eastern:Schedule 3D_Income_The Cape'!AJ52)</f>
        <v>0</v>
      </c>
      <c r="AK52" s="585">
        <f>SUM('Schedule 3B_Income_Eastern:Schedule 3D_Income_The Cape'!AK52)</f>
        <v>274.83769861759862</v>
      </c>
      <c r="AL52" s="585">
        <f>SUM('Schedule 3B_Income_Eastern:Schedule 3D_Income_The Cape'!AL52)</f>
        <v>0</v>
      </c>
      <c r="AM52" s="585">
        <f>SUM('Schedule 3B_Income_Eastern:Schedule 3D_Income_The Cape'!AM52)</f>
        <v>114.09944639960032</v>
      </c>
      <c r="AN52" s="588">
        <f t="shared" si="141"/>
        <v>7856.4329896735853</v>
      </c>
      <c r="AO52" s="589">
        <f t="shared" si="142"/>
        <v>109392.75987168161</v>
      </c>
      <c r="AP52" s="300">
        <v>30</v>
      </c>
      <c r="AQ52" s="585">
        <f>SUM('Schedule 3B_Income_Eastern:Schedule 3D_Income_The Cape'!AQ52)</f>
        <v>3573837.0503416304</v>
      </c>
      <c r="AR52" s="585">
        <f>SUM('Schedule 3B_Income_Eastern:Schedule 3D_Income_The Cape'!AR52)</f>
        <v>8391420.9770143256</v>
      </c>
      <c r="AS52" s="585">
        <f>SUM('Schedule 3B_Income_Eastern:Schedule 3D_Income_The Cape'!AS52)</f>
        <v>3567967.8619733294</v>
      </c>
      <c r="AT52" s="585">
        <f>SUM('Schedule 3B_Income_Eastern:Schedule 3D_Income_The Cape'!AT52)</f>
        <v>8001966.3580337018</v>
      </c>
      <c r="AU52" s="585">
        <f>SUM('Schedule 3B_Income_Eastern:Schedule 3D_Income_The Cape'!AU52)</f>
        <v>3848491.310574864</v>
      </c>
      <c r="AV52" s="585">
        <f>SUM('Schedule 3B_Income_Eastern:Schedule 3D_Income_The Cape'!AV52)</f>
        <v>9989661.6113596819</v>
      </c>
      <c r="AW52" s="585">
        <f>SUM('Schedule 3B_Income_Eastern:Schedule 3D_Income_The Cape'!AW52)</f>
        <v>4981879.4084374849</v>
      </c>
      <c r="AX52" s="585">
        <f>SUM('Schedule 3B_Income_Eastern:Schedule 3D_Income_The Cape'!AX52)</f>
        <v>11630722.3747184</v>
      </c>
      <c r="AY52" s="586">
        <f t="shared" si="143"/>
        <v>53985946.952453412</v>
      </c>
      <c r="AZ52" s="587">
        <f>SUM('Schedule 3B_Income_Eastern:Schedule 3D_Income_The Cape'!AZ52)</f>
        <v>0</v>
      </c>
      <c r="BA52" s="585">
        <f>SUM('Schedule 3B_Income_Eastern:Schedule 3D_Income_The Cape'!BA52)</f>
        <v>23355.857445104171</v>
      </c>
      <c r="BB52" s="585">
        <f>SUM('Schedule 3B_Income_Eastern:Schedule 3D_Income_The Cape'!BB52)</f>
        <v>0</v>
      </c>
      <c r="BC52" s="585">
        <f>SUM('Schedule 3B_Income_Eastern:Schedule 3D_Income_The Cape'!BC52)</f>
        <v>661208.38089936075</v>
      </c>
      <c r="BD52" s="585">
        <f>SUM('Schedule 3B_Income_Eastern:Schedule 3D_Income_The Cape'!BD52)</f>
        <v>0</v>
      </c>
      <c r="BE52" s="585">
        <f>SUM('Schedule 3B_Income_Eastern:Schedule 3D_Income_The Cape'!BE52)</f>
        <v>30070.368188627326</v>
      </c>
      <c r="BF52" s="585">
        <f>SUM('Schedule 3B_Income_Eastern:Schedule 3D_Income_The Cape'!BF52)</f>
        <v>0</v>
      </c>
      <c r="BG52" s="585">
        <f>SUM('Schedule 3B_Income_Eastern:Schedule 3D_Income_The Cape'!BG52)</f>
        <v>33329.451411502901</v>
      </c>
      <c r="BH52" s="588">
        <f t="shared" si="144"/>
        <v>747964.05794459512</v>
      </c>
      <c r="BI52" s="589">
        <f t="shared" si="145"/>
        <v>54733911.010398008</v>
      </c>
      <c r="BJ52" s="300">
        <v>30</v>
      </c>
      <c r="BK52" s="585">
        <f>SUM('Schedule 3B_Income_Eastern:Schedule 3D_Income_The Cape'!BK52)</f>
        <v>0</v>
      </c>
      <c r="BL52" s="585">
        <f>SUM('Schedule 3B_Income_Eastern:Schedule 3D_Income_The Cape'!BL52)</f>
        <v>16183.772979227255</v>
      </c>
      <c r="BM52" s="585">
        <f>SUM('Schedule 3B_Income_Eastern:Schedule 3D_Income_The Cape'!BM52)</f>
        <v>0</v>
      </c>
      <c r="BN52" s="585">
        <f>SUM('Schedule 3B_Income_Eastern:Schedule 3D_Income_The Cape'!BN52)</f>
        <v>824.24813706581961</v>
      </c>
      <c r="BO52" s="585">
        <f>SUM('Schedule 3B_Income_Eastern:Schedule 3D_Income_The Cape'!BO52)</f>
        <v>3605.2451682984811</v>
      </c>
      <c r="BP52" s="585">
        <f>SUM('Schedule 3B_Income_Eastern:Schedule 3D_Income_The Cape'!BP52)</f>
        <v>0</v>
      </c>
      <c r="BQ52" s="585">
        <f>SUM('Schedule 3B_Income_Eastern:Schedule 3D_Income_The Cape'!BQ52)</f>
        <v>7503.3128478792114</v>
      </c>
      <c r="BR52" s="585">
        <f>SUM('Schedule 3B_Income_Eastern:Schedule 3D_Income_The Cape'!BR52)</f>
        <v>22091.416137517579</v>
      </c>
      <c r="BS52" s="586">
        <f t="shared" si="146"/>
        <v>50207.995269988343</v>
      </c>
      <c r="BT52" s="587">
        <f>SUM('Schedule 3B_Income_Eastern:Schedule 3D_Income_The Cape'!BT52)</f>
        <v>0</v>
      </c>
      <c r="BU52" s="585">
        <f>SUM('Schedule 3B_Income_Eastern:Schedule 3D_Income_The Cape'!BU52)</f>
        <v>0</v>
      </c>
      <c r="BV52" s="585">
        <f>SUM('Schedule 3B_Income_Eastern:Schedule 3D_Income_The Cape'!BV52)</f>
        <v>0</v>
      </c>
      <c r="BW52" s="585">
        <f>SUM('Schedule 3B_Income_Eastern:Schedule 3D_Income_The Cape'!BW52)</f>
        <v>0</v>
      </c>
      <c r="BX52" s="585">
        <f>SUM('Schedule 3B_Income_Eastern:Schedule 3D_Income_The Cape'!BX52)</f>
        <v>0</v>
      </c>
      <c r="BY52" s="585">
        <f>SUM('Schedule 3B_Income_Eastern:Schedule 3D_Income_The Cape'!BY52)</f>
        <v>0</v>
      </c>
      <c r="BZ52" s="585">
        <f>SUM('Schedule 3B_Income_Eastern:Schedule 3D_Income_The Cape'!BZ52)</f>
        <v>0</v>
      </c>
      <c r="CA52" s="585">
        <f>SUM('Schedule 3B_Income_Eastern:Schedule 3D_Income_The Cape'!CA52)</f>
        <v>0</v>
      </c>
      <c r="CB52" s="588">
        <f t="shared" si="147"/>
        <v>0</v>
      </c>
      <c r="CC52" s="589">
        <f t="shared" si="148"/>
        <v>50207.995269988343</v>
      </c>
      <c r="CD52" s="300">
        <v>30</v>
      </c>
      <c r="CE52" s="414">
        <f t="shared" si="101"/>
        <v>12325713.855174689</v>
      </c>
      <c r="CF52" s="414">
        <f t="shared" si="102"/>
        <v>12532811.267017798</v>
      </c>
      <c r="CG52" s="414">
        <f t="shared" si="103"/>
        <v>14689400.641402092</v>
      </c>
      <c r="CH52" s="414">
        <f t="shared" si="104"/>
        <v>17155507.686815444</v>
      </c>
      <c r="CI52" s="416">
        <f t="shared" si="105"/>
        <v>56703433.450410023</v>
      </c>
      <c r="CJ52" s="414">
        <f t="shared" si="106"/>
        <v>23355.857445104171</v>
      </c>
      <c r="CK52" s="414">
        <f t="shared" si="107"/>
        <v>715226.50800310669</v>
      </c>
      <c r="CL52" s="414">
        <f t="shared" si="108"/>
        <v>37692.658385752628</v>
      </c>
      <c r="CM52" s="414">
        <f t="shared" si="109"/>
        <v>39575.415018724925</v>
      </c>
      <c r="CN52" s="416">
        <f t="shared" si="110"/>
        <v>815850.43885268841</v>
      </c>
      <c r="CO52" s="414">
        <f t="shared" si="111"/>
        <v>12349069.712619793</v>
      </c>
      <c r="CP52" s="414">
        <f t="shared" si="112"/>
        <v>13248037.775020905</v>
      </c>
      <c r="CQ52" s="414">
        <f t="shared" si="113"/>
        <v>14727093.299787844</v>
      </c>
      <c r="CR52" s="414">
        <f t="shared" si="114"/>
        <v>17195083.101834171</v>
      </c>
      <c r="CS52" s="416">
        <f t="shared" si="115"/>
        <v>57519283.889262713</v>
      </c>
    </row>
    <row r="53" spans="1:101" ht="15.75" customHeight="1">
      <c r="A53" s="88" t="s">
        <v>218</v>
      </c>
      <c r="B53" s="300">
        <v>31</v>
      </c>
      <c r="C53" s="585">
        <f>SUM('Schedule 3B_Income_Eastern:Schedule 3D_Income_The Cape'!C53)</f>
        <v>87082.206309422196</v>
      </c>
      <c r="D53" s="585">
        <f>SUM('Schedule 3B_Income_Eastern:Schedule 3D_Income_The Cape'!D53)</f>
        <v>145280.08081248013</v>
      </c>
      <c r="E53" s="585">
        <f>SUM('Schedule 3B_Income_Eastern:Schedule 3D_Income_The Cape'!E53)</f>
        <v>398956.78001837083</v>
      </c>
      <c r="F53" s="585">
        <f>SUM('Schedule 3B_Income_Eastern:Schedule 3D_Income_The Cape'!F53)</f>
        <v>488261.90271893283</v>
      </c>
      <c r="G53" s="585">
        <f>SUM('Schedule 3B_Income_Eastern:Schedule 3D_Income_The Cape'!G53)</f>
        <v>387700.93952481897</v>
      </c>
      <c r="H53" s="585">
        <f>SUM('Schedule 3B_Income_Eastern:Schedule 3D_Income_The Cape'!H53)</f>
        <v>448087.82672144967</v>
      </c>
      <c r="I53" s="585">
        <f>SUM('Schedule 3B_Income_Eastern:Schedule 3D_Income_The Cape'!I53)</f>
        <v>185746.15090908157</v>
      </c>
      <c r="J53" s="585">
        <f>SUM('Schedule 3B_Income_Eastern:Schedule 3D_Income_The Cape'!J53)</f>
        <v>201270.83947511838</v>
      </c>
      <c r="K53" s="586">
        <f t="shared" si="137"/>
        <v>2342386.7264896748</v>
      </c>
      <c r="L53" s="587">
        <f>SUM('Schedule 3B_Income_Eastern:Schedule 3D_Income_The Cape'!L53)</f>
        <v>0</v>
      </c>
      <c r="M53" s="585">
        <f>SUM('Schedule 3B_Income_Eastern:Schedule 3D_Income_The Cape'!M53)</f>
        <v>0</v>
      </c>
      <c r="N53" s="585">
        <f>SUM('Schedule 3B_Income_Eastern:Schedule 3D_Income_The Cape'!N53)</f>
        <v>0</v>
      </c>
      <c r="O53" s="585">
        <f>SUM('Schedule 3B_Income_Eastern:Schedule 3D_Income_The Cape'!O53)</f>
        <v>11237.740679357657</v>
      </c>
      <c r="P53" s="585">
        <f>SUM('Schedule 3B_Income_Eastern:Schedule 3D_Income_The Cape'!P53)</f>
        <v>0</v>
      </c>
      <c r="Q53" s="585">
        <f>SUM('Schedule 3B_Income_Eastern:Schedule 3D_Income_The Cape'!Q53)</f>
        <v>2850.7498585762978</v>
      </c>
      <c r="R53" s="585">
        <f>SUM('Schedule 3B_Income_Eastern:Schedule 3D_Income_The Cape'!R53)</f>
        <v>0</v>
      </c>
      <c r="S53" s="585">
        <f>SUM('Schedule 3B_Income_Eastern:Schedule 3D_Income_The Cape'!S53)</f>
        <v>9607.8994933103331</v>
      </c>
      <c r="T53" s="588">
        <f t="shared" si="138"/>
        <v>23696.390031244286</v>
      </c>
      <c r="U53" s="589">
        <f t="shared" si="139"/>
        <v>2366083.1165209189</v>
      </c>
      <c r="V53" s="300">
        <v>31</v>
      </c>
      <c r="W53" s="585">
        <f>SUM('Schedule 3B_Income_Eastern:Schedule 3D_Income_The Cape'!W53)</f>
        <v>49631.731158293464</v>
      </c>
      <c r="X53" s="585">
        <f>SUM('Schedule 3B_Income_Eastern:Schedule 3D_Income_The Cape'!X53)</f>
        <v>14769.048303012061</v>
      </c>
      <c r="Y53" s="585">
        <f>SUM('Schedule 3B_Income_Eastern:Schedule 3D_Income_The Cape'!Y53)</f>
        <v>47019.806132257705</v>
      </c>
      <c r="Z53" s="585">
        <f>SUM('Schedule 3B_Income_Eastern:Schedule 3D_Income_The Cape'!Z53)</f>
        <v>21180.566336501706</v>
      </c>
      <c r="AA53" s="585">
        <f>SUM('Schedule 3B_Income_Eastern:Schedule 3D_Income_The Cape'!AA53)</f>
        <v>37890.928389786197</v>
      </c>
      <c r="AB53" s="585">
        <f>SUM('Schedule 3B_Income_Eastern:Schedule 3D_Income_The Cape'!AB53)</f>
        <v>21684.82445504763</v>
      </c>
      <c r="AC53" s="585">
        <f>SUM('Schedule 3B_Income_Eastern:Schedule 3D_Income_The Cape'!AC53)</f>
        <v>31504.200805951659</v>
      </c>
      <c r="AD53" s="585">
        <f>SUM('Schedule 3B_Income_Eastern:Schedule 3D_Income_The Cape'!AD53)</f>
        <v>3662.4271536958659</v>
      </c>
      <c r="AE53" s="586">
        <f t="shared" si="140"/>
        <v>227343.53273454629</v>
      </c>
      <c r="AF53" s="587">
        <f>SUM('Schedule 3B_Income_Eastern:Schedule 3D_Income_The Cape'!AF53)</f>
        <v>0</v>
      </c>
      <c r="AG53" s="585">
        <f>SUM('Schedule 3B_Income_Eastern:Schedule 3D_Income_The Cape'!AG53)</f>
        <v>0</v>
      </c>
      <c r="AH53" s="585">
        <f>SUM('Schedule 3B_Income_Eastern:Schedule 3D_Income_The Cape'!AH53)</f>
        <v>0</v>
      </c>
      <c r="AI53" s="585">
        <f>SUM('Schedule 3B_Income_Eastern:Schedule 3D_Income_The Cape'!AI53)</f>
        <v>2836.2025798205573</v>
      </c>
      <c r="AJ53" s="585">
        <f>SUM('Schedule 3B_Income_Eastern:Schedule 3D_Income_The Cape'!AJ53)</f>
        <v>0</v>
      </c>
      <c r="AK53" s="585">
        <f>SUM('Schedule 3B_Income_Eastern:Schedule 3D_Income_The Cape'!AK53)</f>
        <v>3350.4014583952667</v>
      </c>
      <c r="AL53" s="585">
        <f>SUM('Schedule 3B_Income_Eastern:Schedule 3D_Income_The Cape'!AL53)</f>
        <v>0</v>
      </c>
      <c r="AM53" s="585">
        <f>SUM('Schedule 3B_Income_Eastern:Schedule 3D_Income_The Cape'!AM53)</f>
        <v>7734.5762944819735</v>
      </c>
      <c r="AN53" s="588">
        <f t="shared" si="141"/>
        <v>13921.180332697797</v>
      </c>
      <c r="AO53" s="589">
        <f t="shared" si="142"/>
        <v>241264.7130672441</v>
      </c>
      <c r="AP53" s="300">
        <v>31</v>
      </c>
      <c r="AQ53" s="585">
        <f>SUM('Schedule 3B_Income_Eastern:Schedule 3D_Income_The Cape'!AQ53)</f>
        <v>6507921.3948709304</v>
      </c>
      <c r="AR53" s="585">
        <f>SUM('Schedule 3B_Income_Eastern:Schedule 3D_Income_The Cape'!AR53)</f>
        <v>8898033.1615896635</v>
      </c>
      <c r="AS53" s="585">
        <f>SUM('Schedule 3B_Income_Eastern:Schedule 3D_Income_The Cape'!AS53)</f>
        <v>6324614.1875975672</v>
      </c>
      <c r="AT53" s="585">
        <f>SUM('Schedule 3B_Income_Eastern:Schedule 3D_Income_The Cape'!AT53)</f>
        <v>9339560.3150318451</v>
      </c>
      <c r="AU53" s="585">
        <f>SUM('Schedule 3B_Income_Eastern:Schedule 3D_Income_The Cape'!AU53)</f>
        <v>7295451.2942312183</v>
      </c>
      <c r="AV53" s="585">
        <f>SUM('Schedule 3B_Income_Eastern:Schedule 3D_Income_The Cape'!AV53)</f>
        <v>10355154.245101573</v>
      </c>
      <c r="AW53" s="585">
        <f>SUM('Schedule 3B_Income_Eastern:Schedule 3D_Income_The Cape'!AW53)</f>
        <v>8445402.6051154602</v>
      </c>
      <c r="AX53" s="585">
        <f>SUM('Schedule 3B_Income_Eastern:Schedule 3D_Income_The Cape'!AX53)</f>
        <v>10819190.043184401</v>
      </c>
      <c r="AY53" s="586">
        <f t="shared" si="143"/>
        <v>67985327.246722654</v>
      </c>
      <c r="AZ53" s="587">
        <f>SUM('Schedule 3B_Income_Eastern:Schedule 3D_Income_The Cape'!AZ53)</f>
        <v>0</v>
      </c>
      <c r="BA53" s="585">
        <f>SUM('Schedule 3B_Income_Eastern:Schedule 3D_Income_The Cape'!BA53)</f>
        <v>0</v>
      </c>
      <c r="BB53" s="585">
        <f>SUM('Schedule 3B_Income_Eastern:Schedule 3D_Income_The Cape'!BB53)</f>
        <v>0</v>
      </c>
      <c r="BC53" s="585">
        <f>SUM('Schedule 3B_Income_Eastern:Schedule 3D_Income_The Cape'!BC53)</f>
        <v>164299.62564530448</v>
      </c>
      <c r="BD53" s="585">
        <f>SUM('Schedule 3B_Income_Eastern:Schedule 3D_Income_The Cape'!BD53)</f>
        <v>0</v>
      </c>
      <c r="BE53" s="585">
        <f>SUM('Schedule 3B_Income_Eastern:Schedule 3D_Income_The Cape'!BE53)</f>
        <v>127570.550676165</v>
      </c>
      <c r="BF53" s="585">
        <f>SUM('Schedule 3B_Income_Eastern:Schedule 3D_Income_The Cape'!BF53)</f>
        <v>0</v>
      </c>
      <c r="BG53" s="585">
        <f>SUM('Schedule 3B_Income_Eastern:Schedule 3D_Income_The Cape'!BG53)</f>
        <v>635107.4862911104</v>
      </c>
      <c r="BH53" s="588">
        <f t="shared" si="144"/>
        <v>926977.66261257988</v>
      </c>
      <c r="BI53" s="589">
        <f t="shared" si="145"/>
        <v>68912304.909335241</v>
      </c>
      <c r="BJ53" s="300">
        <v>31</v>
      </c>
      <c r="BK53" s="585">
        <f>SUM('Schedule 3B_Income_Eastern:Schedule 3D_Income_The Cape'!BK53)</f>
        <v>0</v>
      </c>
      <c r="BL53" s="585">
        <f>SUM('Schedule 3B_Income_Eastern:Schedule 3D_Income_The Cape'!BL53)</f>
        <v>10178.495488295033</v>
      </c>
      <c r="BM53" s="585">
        <f>SUM('Schedule 3B_Income_Eastern:Schedule 3D_Income_The Cape'!BM53)</f>
        <v>850.13533990069084</v>
      </c>
      <c r="BN53" s="585">
        <f>SUM('Schedule 3B_Income_Eastern:Schedule 3D_Income_The Cape'!BN53)</f>
        <v>3171.3779305554413</v>
      </c>
      <c r="BO53" s="585">
        <f>SUM('Schedule 3B_Income_Eastern:Schedule 3D_Income_The Cape'!BO53)</f>
        <v>827.23150131467878</v>
      </c>
      <c r="BP53" s="585">
        <f>SUM('Schedule 3B_Income_Eastern:Schedule 3D_Income_The Cape'!BP53)</f>
        <v>3008.6483607966743</v>
      </c>
      <c r="BQ53" s="585">
        <f>SUM('Schedule 3B_Income_Eastern:Schedule 3D_Income_The Cape'!BQ53)</f>
        <v>0</v>
      </c>
      <c r="BR53" s="585">
        <f>SUM('Schedule 3B_Income_Eastern:Schedule 3D_Income_The Cape'!BR53)</f>
        <v>6335.3986329429281</v>
      </c>
      <c r="BS53" s="586">
        <f t="shared" si="146"/>
        <v>24371.287253805447</v>
      </c>
      <c r="BT53" s="587">
        <f>SUM('Schedule 3B_Income_Eastern:Schedule 3D_Income_The Cape'!BT53)</f>
        <v>0</v>
      </c>
      <c r="BU53" s="585">
        <f>SUM('Schedule 3B_Income_Eastern:Schedule 3D_Income_The Cape'!BU53)</f>
        <v>0</v>
      </c>
      <c r="BV53" s="585">
        <f>SUM('Schedule 3B_Income_Eastern:Schedule 3D_Income_The Cape'!BV53)</f>
        <v>0</v>
      </c>
      <c r="BW53" s="585">
        <f>SUM('Schedule 3B_Income_Eastern:Schedule 3D_Income_The Cape'!BW53)</f>
        <v>0</v>
      </c>
      <c r="BX53" s="585">
        <f>SUM('Schedule 3B_Income_Eastern:Schedule 3D_Income_The Cape'!BX53)</f>
        <v>0</v>
      </c>
      <c r="BY53" s="585">
        <f>SUM('Schedule 3B_Income_Eastern:Schedule 3D_Income_The Cape'!BY53)</f>
        <v>0</v>
      </c>
      <c r="BZ53" s="585">
        <f>SUM('Schedule 3B_Income_Eastern:Schedule 3D_Income_The Cape'!BZ53)</f>
        <v>0</v>
      </c>
      <c r="CA53" s="585">
        <f>SUM('Schedule 3B_Income_Eastern:Schedule 3D_Income_The Cape'!CA53)</f>
        <v>0</v>
      </c>
      <c r="CB53" s="588">
        <f t="shared" si="147"/>
        <v>0</v>
      </c>
      <c r="CC53" s="589">
        <f t="shared" si="148"/>
        <v>24371.287253805447</v>
      </c>
      <c r="CD53" s="300">
        <v>31</v>
      </c>
      <c r="CE53" s="414">
        <f t="shared" si="101"/>
        <v>15712896.118532097</v>
      </c>
      <c r="CF53" s="414">
        <f t="shared" si="102"/>
        <v>16623615.071105931</v>
      </c>
      <c r="CG53" s="414">
        <f t="shared" si="103"/>
        <v>18549805.938286003</v>
      </c>
      <c r="CH53" s="414">
        <f t="shared" si="104"/>
        <v>19693111.665276654</v>
      </c>
      <c r="CI53" s="416">
        <f t="shared" si="105"/>
        <v>70579428.793200687</v>
      </c>
      <c r="CJ53" s="414">
        <f t="shared" si="106"/>
        <v>0</v>
      </c>
      <c r="CK53" s="414">
        <f t="shared" si="107"/>
        <v>178373.5689044827</v>
      </c>
      <c r="CL53" s="414">
        <f t="shared" si="108"/>
        <v>133771.70199313658</v>
      </c>
      <c r="CM53" s="414">
        <f t="shared" si="109"/>
        <v>652449.96207890275</v>
      </c>
      <c r="CN53" s="416">
        <f t="shared" si="110"/>
        <v>964595.23297652195</v>
      </c>
      <c r="CO53" s="414">
        <f t="shared" si="111"/>
        <v>15712896.118532097</v>
      </c>
      <c r="CP53" s="414">
        <f t="shared" si="112"/>
        <v>16801988.640010417</v>
      </c>
      <c r="CQ53" s="414">
        <f t="shared" si="113"/>
        <v>18683577.64027914</v>
      </c>
      <c r="CR53" s="414">
        <f t="shared" si="114"/>
        <v>20345561.627355553</v>
      </c>
      <c r="CS53" s="416">
        <f t="shared" si="115"/>
        <v>71544024.026177227</v>
      </c>
    </row>
    <row r="54" spans="1:101" ht="15.75" customHeight="1">
      <c r="A54" s="88" t="s">
        <v>219</v>
      </c>
      <c r="B54" s="300">
        <v>32</v>
      </c>
      <c r="C54" s="585">
        <f>SUM('Schedule 3B_Income_Eastern:Schedule 3D_Income_The Cape'!C54)</f>
        <v>0</v>
      </c>
      <c r="D54" s="585">
        <f>SUM('Schedule 3B_Income_Eastern:Schedule 3D_Income_The Cape'!D54)</f>
        <v>0</v>
      </c>
      <c r="E54" s="585">
        <f>SUM('Schedule 3B_Income_Eastern:Schedule 3D_Income_The Cape'!E54)</f>
        <v>0</v>
      </c>
      <c r="F54" s="585">
        <f>SUM('Schedule 3B_Income_Eastern:Schedule 3D_Income_The Cape'!F54)</f>
        <v>0</v>
      </c>
      <c r="G54" s="585">
        <f>SUM('Schedule 3B_Income_Eastern:Schedule 3D_Income_The Cape'!G54)</f>
        <v>0</v>
      </c>
      <c r="H54" s="585">
        <f>SUM('Schedule 3B_Income_Eastern:Schedule 3D_Income_The Cape'!H54)</f>
        <v>0</v>
      </c>
      <c r="I54" s="585">
        <f>SUM('Schedule 3B_Income_Eastern:Schedule 3D_Income_The Cape'!I54)</f>
        <v>0</v>
      </c>
      <c r="J54" s="585">
        <f>SUM('Schedule 3B_Income_Eastern:Schedule 3D_Income_The Cape'!J54)</f>
        <v>0</v>
      </c>
      <c r="K54" s="586">
        <f t="shared" si="137"/>
        <v>0</v>
      </c>
      <c r="L54" s="587">
        <f>SUM('Schedule 3B_Income_Eastern:Schedule 3D_Income_The Cape'!L54)</f>
        <v>0</v>
      </c>
      <c r="M54" s="585">
        <f>SUM('Schedule 3B_Income_Eastern:Schedule 3D_Income_The Cape'!M54)</f>
        <v>0</v>
      </c>
      <c r="N54" s="585">
        <f>SUM('Schedule 3B_Income_Eastern:Schedule 3D_Income_The Cape'!N54)</f>
        <v>0</v>
      </c>
      <c r="O54" s="585">
        <f>SUM('Schedule 3B_Income_Eastern:Schedule 3D_Income_The Cape'!O54)</f>
        <v>0</v>
      </c>
      <c r="P54" s="585">
        <f>SUM('Schedule 3B_Income_Eastern:Schedule 3D_Income_The Cape'!P54)</f>
        <v>0</v>
      </c>
      <c r="Q54" s="585">
        <f>SUM('Schedule 3B_Income_Eastern:Schedule 3D_Income_The Cape'!Q54)</f>
        <v>0</v>
      </c>
      <c r="R54" s="585">
        <f>SUM('Schedule 3B_Income_Eastern:Schedule 3D_Income_The Cape'!R54)</f>
        <v>0</v>
      </c>
      <c r="S54" s="585">
        <f>SUM('Schedule 3B_Income_Eastern:Schedule 3D_Income_The Cape'!S54)</f>
        <v>0</v>
      </c>
      <c r="T54" s="588">
        <f t="shared" si="138"/>
        <v>0</v>
      </c>
      <c r="U54" s="589">
        <f t="shared" si="139"/>
        <v>0</v>
      </c>
      <c r="V54" s="300">
        <v>32</v>
      </c>
      <c r="W54" s="585">
        <f>SUM('Schedule 3B_Income_Eastern:Schedule 3D_Income_The Cape'!W54)</f>
        <v>0</v>
      </c>
      <c r="X54" s="585">
        <f>SUM('Schedule 3B_Income_Eastern:Schedule 3D_Income_The Cape'!X54)</f>
        <v>0</v>
      </c>
      <c r="Y54" s="585">
        <f>SUM('Schedule 3B_Income_Eastern:Schedule 3D_Income_The Cape'!Y54)</f>
        <v>0</v>
      </c>
      <c r="Z54" s="585">
        <f>SUM('Schedule 3B_Income_Eastern:Schedule 3D_Income_The Cape'!Z54)</f>
        <v>0</v>
      </c>
      <c r="AA54" s="585">
        <f>SUM('Schedule 3B_Income_Eastern:Schedule 3D_Income_The Cape'!AA54)</f>
        <v>0</v>
      </c>
      <c r="AB54" s="585">
        <f>SUM('Schedule 3B_Income_Eastern:Schedule 3D_Income_The Cape'!AB54)</f>
        <v>0</v>
      </c>
      <c r="AC54" s="585">
        <f>SUM('Schedule 3B_Income_Eastern:Schedule 3D_Income_The Cape'!AC54)</f>
        <v>0</v>
      </c>
      <c r="AD54" s="585">
        <f>SUM('Schedule 3B_Income_Eastern:Schedule 3D_Income_The Cape'!AD54)</f>
        <v>0</v>
      </c>
      <c r="AE54" s="586">
        <f t="shared" si="140"/>
        <v>0</v>
      </c>
      <c r="AF54" s="587">
        <f>SUM('Schedule 3B_Income_Eastern:Schedule 3D_Income_The Cape'!AF54)</f>
        <v>0</v>
      </c>
      <c r="AG54" s="585">
        <f>SUM('Schedule 3B_Income_Eastern:Schedule 3D_Income_The Cape'!AG54)</f>
        <v>0</v>
      </c>
      <c r="AH54" s="585">
        <f>SUM('Schedule 3B_Income_Eastern:Schedule 3D_Income_The Cape'!AH54)</f>
        <v>0</v>
      </c>
      <c r="AI54" s="585">
        <f>SUM('Schedule 3B_Income_Eastern:Schedule 3D_Income_The Cape'!AI54)</f>
        <v>0</v>
      </c>
      <c r="AJ54" s="585">
        <f>SUM('Schedule 3B_Income_Eastern:Schedule 3D_Income_The Cape'!AJ54)</f>
        <v>0</v>
      </c>
      <c r="AK54" s="585">
        <f>SUM('Schedule 3B_Income_Eastern:Schedule 3D_Income_The Cape'!AK54)</f>
        <v>0</v>
      </c>
      <c r="AL54" s="585">
        <f>SUM('Schedule 3B_Income_Eastern:Schedule 3D_Income_The Cape'!AL54)</f>
        <v>0</v>
      </c>
      <c r="AM54" s="585">
        <f>SUM('Schedule 3B_Income_Eastern:Schedule 3D_Income_The Cape'!AM54)</f>
        <v>0</v>
      </c>
      <c r="AN54" s="588">
        <f t="shared" si="141"/>
        <v>0</v>
      </c>
      <c r="AO54" s="589">
        <f t="shared" si="142"/>
        <v>0</v>
      </c>
      <c r="AP54" s="300">
        <v>32</v>
      </c>
      <c r="AQ54" s="585">
        <f>SUM('Schedule 3B_Income_Eastern:Schedule 3D_Income_The Cape'!AQ54)</f>
        <v>0</v>
      </c>
      <c r="AR54" s="585">
        <f>SUM('Schedule 3B_Income_Eastern:Schedule 3D_Income_The Cape'!AR54)</f>
        <v>0</v>
      </c>
      <c r="AS54" s="585">
        <f>SUM('Schedule 3B_Income_Eastern:Schedule 3D_Income_The Cape'!AS54)</f>
        <v>0</v>
      </c>
      <c r="AT54" s="585">
        <f>SUM('Schedule 3B_Income_Eastern:Schedule 3D_Income_The Cape'!AT54)</f>
        <v>0</v>
      </c>
      <c r="AU54" s="585">
        <f>SUM('Schedule 3B_Income_Eastern:Schedule 3D_Income_The Cape'!AU54)</f>
        <v>0</v>
      </c>
      <c r="AV54" s="585">
        <f>SUM('Schedule 3B_Income_Eastern:Schedule 3D_Income_The Cape'!AV54)</f>
        <v>0</v>
      </c>
      <c r="AW54" s="585">
        <f>SUM('Schedule 3B_Income_Eastern:Schedule 3D_Income_The Cape'!AW54)</f>
        <v>0</v>
      </c>
      <c r="AX54" s="585">
        <f>SUM('Schedule 3B_Income_Eastern:Schedule 3D_Income_The Cape'!AX54)</f>
        <v>0</v>
      </c>
      <c r="AY54" s="586">
        <f t="shared" si="143"/>
        <v>0</v>
      </c>
      <c r="AZ54" s="587">
        <f>SUM('Schedule 3B_Income_Eastern:Schedule 3D_Income_The Cape'!AZ54)</f>
        <v>0</v>
      </c>
      <c r="BA54" s="585">
        <f>SUM('Schedule 3B_Income_Eastern:Schedule 3D_Income_The Cape'!BA54)</f>
        <v>0</v>
      </c>
      <c r="BB54" s="585">
        <f>SUM('Schedule 3B_Income_Eastern:Schedule 3D_Income_The Cape'!BB54)</f>
        <v>0</v>
      </c>
      <c r="BC54" s="585">
        <f>SUM('Schedule 3B_Income_Eastern:Schedule 3D_Income_The Cape'!BC54)</f>
        <v>0</v>
      </c>
      <c r="BD54" s="585">
        <f>SUM('Schedule 3B_Income_Eastern:Schedule 3D_Income_The Cape'!BD54)</f>
        <v>0</v>
      </c>
      <c r="BE54" s="585">
        <f>SUM('Schedule 3B_Income_Eastern:Schedule 3D_Income_The Cape'!BE54)</f>
        <v>0</v>
      </c>
      <c r="BF54" s="585">
        <f>SUM('Schedule 3B_Income_Eastern:Schedule 3D_Income_The Cape'!BF54)</f>
        <v>0</v>
      </c>
      <c r="BG54" s="585">
        <f>SUM('Schedule 3B_Income_Eastern:Schedule 3D_Income_The Cape'!BG54)</f>
        <v>0</v>
      </c>
      <c r="BH54" s="588">
        <f t="shared" si="144"/>
        <v>0</v>
      </c>
      <c r="BI54" s="589">
        <f t="shared" si="145"/>
        <v>0</v>
      </c>
      <c r="BJ54" s="300">
        <v>32</v>
      </c>
      <c r="BK54" s="585">
        <f>SUM('Schedule 3B_Income_Eastern:Schedule 3D_Income_The Cape'!BK54)</f>
        <v>0</v>
      </c>
      <c r="BL54" s="585">
        <f>SUM('Schedule 3B_Income_Eastern:Schedule 3D_Income_The Cape'!BL54)</f>
        <v>0</v>
      </c>
      <c r="BM54" s="585">
        <f>SUM('Schedule 3B_Income_Eastern:Schedule 3D_Income_The Cape'!BM54)</f>
        <v>0</v>
      </c>
      <c r="BN54" s="585">
        <f>SUM('Schedule 3B_Income_Eastern:Schedule 3D_Income_The Cape'!BN54)</f>
        <v>0</v>
      </c>
      <c r="BO54" s="585">
        <f>SUM('Schedule 3B_Income_Eastern:Schedule 3D_Income_The Cape'!BO54)</f>
        <v>0</v>
      </c>
      <c r="BP54" s="585">
        <f>SUM('Schedule 3B_Income_Eastern:Schedule 3D_Income_The Cape'!BP54)</f>
        <v>0</v>
      </c>
      <c r="BQ54" s="585">
        <f>SUM('Schedule 3B_Income_Eastern:Schedule 3D_Income_The Cape'!BQ54)</f>
        <v>0</v>
      </c>
      <c r="BR54" s="585">
        <f>SUM('Schedule 3B_Income_Eastern:Schedule 3D_Income_The Cape'!BR54)</f>
        <v>0</v>
      </c>
      <c r="BS54" s="586">
        <f t="shared" si="146"/>
        <v>0</v>
      </c>
      <c r="BT54" s="587">
        <f>SUM('Schedule 3B_Income_Eastern:Schedule 3D_Income_The Cape'!BT54)</f>
        <v>0</v>
      </c>
      <c r="BU54" s="585">
        <f>SUM('Schedule 3B_Income_Eastern:Schedule 3D_Income_The Cape'!BU54)</f>
        <v>0</v>
      </c>
      <c r="BV54" s="585">
        <f>SUM('Schedule 3B_Income_Eastern:Schedule 3D_Income_The Cape'!BV54)</f>
        <v>0</v>
      </c>
      <c r="BW54" s="585">
        <f>SUM('Schedule 3B_Income_Eastern:Schedule 3D_Income_The Cape'!BW54)</f>
        <v>0</v>
      </c>
      <c r="BX54" s="585">
        <f>SUM('Schedule 3B_Income_Eastern:Schedule 3D_Income_The Cape'!BX54)</f>
        <v>0</v>
      </c>
      <c r="BY54" s="585">
        <f>SUM('Schedule 3B_Income_Eastern:Schedule 3D_Income_The Cape'!BY54)</f>
        <v>0</v>
      </c>
      <c r="BZ54" s="585">
        <f>SUM('Schedule 3B_Income_Eastern:Schedule 3D_Income_The Cape'!BZ54)</f>
        <v>0</v>
      </c>
      <c r="CA54" s="585">
        <f>SUM('Schedule 3B_Income_Eastern:Schedule 3D_Income_The Cape'!CA54)</f>
        <v>0</v>
      </c>
      <c r="CB54" s="588">
        <f t="shared" si="147"/>
        <v>0</v>
      </c>
      <c r="CC54" s="589">
        <f t="shared" si="148"/>
        <v>0</v>
      </c>
      <c r="CD54" s="300">
        <v>32</v>
      </c>
      <c r="CE54" s="414">
        <f t="shared" si="101"/>
        <v>0</v>
      </c>
      <c r="CF54" s="414">
        <f t="shared" si="102"/>
        <v>0</v>
      </c>
      <c r="CG54" s="414">
        <f t="shared" si="103"/>
        <v>0</v>
      </c>
      <c r="CH54" s="414">
        <f t="shared" si="104"/>
        <v>0</v>
      </c>
      <c r="CI54" s="416">
        <f t="shared" si="105"/>
        <v>0</v>
      </c>
      <c r="CJ54" s="414">
        <f t="shared" si="106"/>
        <v>0</v>
      </c>
      <c r="CK54" s="414">
        <f t="shared" si="107"/>
        <v>0</v>
      </c>
      <c r="CL54" s="414">
        <f t="shared" si="108"/>
        <v>0</v>
      </c>
      <c r="CM54" s="414">
        <f t="shared" si="109"/>
        <v>0</v>
      </c>
      <c r="CN54" s="416">
        <f t="shared" si="110"/>
        <v>0</v>
      </c>
      <c r="CO54" s="414">
        <f t="shared" si="111"/>
        <v>0</v>
      </c>
      <c r="CP54" s="414">
        <f t="shared" si="112"/>
        <v>0</v>
      </c>
      <c r="CQ54" s="414">
        <f t="shared" si="113"/>
        <v>0</v>
      </c>
      <c r="CR54" s="414">
        <f t="shared" si="114"/>
        <v>0</v>
      </c>
      <c r="CS54" s="416">
        <f t="shared" si="115"/>
        <v>0</v>
      </c>
    </row>
    <row r="55" spans="1:101" ht="15.75" customHeight="1">
      <c r="A55" s="88" t="s">
        <v>220</v>
      </c>
      <c r="B55" s="300">
        <v>33</v>
      </c>
      <c r="C55" s="585">
        <f>SUM('Schedule 3B_Income_Eastern:Schedule 3D_Income_The Cape'!C55)</f>
        <v>48338.931494341719</v>
      </c>
      <c r="D55" s="585">
        <f>SUM('Schedule 3B_Income_Eastern:Schedule 3D_Income_The Cape'!D55)</f>
        <v>478381.23705385329</v>
      </c>
      <c r="E55" s="585">
        <f>SUM('Schedule 3B_Income_Eastern:Schedule 3D_Income_The Cape'!E55)</f>
        <v>71418.249071280181</v>
      </c>
      <c r="F55" s="585">
        <f>SUM('Schedule 3B_Income_Eastern:Schedule 3D_Income_The Cape'!F55)</f>
        <v>723850.8644909818</v>
      </c>
      <c r="G55" s="585">
        <f>SUM('Schedule 3B_Income_Eastern:Schedule 3D_Income_The Cape'!G55)</f>
        <v>82343.966082388928</v>
      </c>
      <c r="H55" s="585">
        <f>SUM('Schedule 3B_Income_Eastern:Schedule 3D_Income_The Cape'!H55)</f>
        <v>638867.44630756718</v>
      </c>
      <c r="I55" s="585">
        <f>SUM('Schedule 3B_Income_Eastern:Schedule 3D_Income_The Cape'!I55)</f>
        <v>73162.911462494987</v>
      </c>
      <c r="J55" s="585">
        <f>SUM('Schedule 3B_Income_Eastern:Schedule 3D_Income_The Cape'!J55)</f>
        <v>317131.2790328706</v>
      </c>
      <c r="K55" s="586">
        <f t="shared" si="89"/>
        <v>2433494.8849957786</v>
      </c>
      <c r="L55" s="587">
        <f>SUM('Schedule 3B_Income_Eastern:Schedule 3D_Income_The Cape'!L55)</f>
        <v>0</v>
      </c>
      <c r="M55" s="585">
        <f>SUM('Schedule 3B_Income_Eastern:Schedule 3D_Income_The Cape'!M55)</f>
        <v>70483.466927228379</v>
      </c>
      <c r="N55" s="585">
        <f>SUM('Schedule 3B_Income_Eastern:Schedule 3D_Income_The Cape'!N55)</f>
        <v>0</v>
      </c>
      <c r="O55" s="585">
        <f>SUM('Schedule 3B_Income_Eastern:Schedule 3D_Income_The Cape'!O55)</f>
        <v>436228.84137133579</v>
      </c>
      <c r="P55" s="585">
        <f>SUM('Schedule 3B_Income_Eastern:Schedule 3D_Income_The Cape'!P55)</f>
        <v>0</v>
      </c>
      <c r="Q55" s="585">
        <f>SUM('Schedule 3B_Income_Eastern:Schedule 3D_Income_The Cape'!Q55)</f>
        <v>269603.09441626735</v>
      </c>
      <c r="R55" s="585">
        <f>SUM('Schedule 3B_Income_Eastern:Schedule 3D_Income_The Cape'!R55)</f>
        <v>0</v>
      </c>
      <c r="S55" s="585">
        <f>SUM('Schedule 3B_Income_Eastern:Schedule 3D_Income_The Cape'!S55)</f>
        <v>356117.94998431182</v>
      </c>
      <c r="T55" s="588">
        <f t="shared" si="90"/>
        <v>1132433.3526991433</v>
      </c>
      <c r="U55" s="589">
        <f t="shared" si="91"/>
        <v>3565928.2376949219</v>
      </c>
      <c r="V55" s="300">
        <v>33</v>
      </c>
      <c r="W55" s="585">
        <f>SUM('Schedule 3B_Income_Eastern:Schedule 3D_Income_The Cape'!W55)</f>
        <v>9177.721048771682</v>
      </c>
      <c r="X55" s="585">
        <f>SUM('Schedule 3B_Income_Eastern:Schedule 3D_Income_The Cape'!X55)</f>
        <v>162471.72783977987</v>
      </c>
      <c r="Y55" s="585">
        <f>SUM('Schedule 3B_Income_Eastern:Schedule 3D_Income_The Cape'!Y55)</f>
        <v>7776.3713008627165</v>
      </c>
      <c r="Z55" s="585">
        <f>SUM('Schedule 3B_Income_Eastern:Schedule 3D_Income_The Cape'!Z55)</f>
        <v>90529.69471470952</v>
      </c>
      <c r="AA55" s="585">
        <f>SUM('Schedule 3B_Income_Eastern:Schedule 3D_Income_The Cape'!AA55)</f>
        <v>13358.923144795732</v>
      </c>
      <c r="AB55" s="585">
        <f>SUM('Schedule 3B_Income_Eastern:Schedule 3D_Income_The Cape'!AB55)</f>
        <v>125408.54869914048</v>
      </c>
      <c r="AC55" s="585">
        <f>SUM('Schedule 3B_Income_Eastern:Schedule 3D_Income_The Cape'!AC55)</f>
        <v>8677.3645535558971</v>
      </c>
      <c r="AD55" s="585">
        <f>SUM('Schedule 3B_Income_Eastern:Schedule 3D_Income_The Cape'!AD55)</f>
        <v>70753.328408400746</v>
      </c>
      <c r="AE55" s="586">
        <f t="shared" si="92"/>
        <v>488153.6797100167</v>
      </c>
      <c r="AF55" s="587">
        <f>SUM('Schedule 3B_Income_Eastern:Schedule 3D_Income_The Cape'!AF55)</f>
        <v>0</v>
      </c>
      <c r="AG55" s="585">
        <f>SUM('Schedule 3B_Income_Eastern:Schedule 3D_Income_The Cape'!AG55)</f>
        <v>34728.134425505879</v>
      </c>
      <c r="AH55" s="585">
        <f>SUM('Schedule 3B_Income_Eastern:Schedule 3D_Income_The Cape'!AH55)</f>
        <v>0</v>
      </c>
      <c r="AI55" s="585">
        <f>SUM('Schedule 3B_Income_Eastern:Schedule 3D_Income_The Cape'!AI55)</f>
        <v>94507.393662951697</v>
      </c>
      <c r="AJ55" s="585">
        <f>SUM('Schedule 3B_Income_Eastern:Schedule 3D_Income_The Cape'!AJ55)</f>
        <v>0</v>
      </c>
      <c r="AK55" s="585">
        <f>SUM('Schedule 3B_Income_Eastern:Schedule 3D_Income_The Cape'!AK55)</f>
        <v>60976.026629141343</v>
      </c>
      <c r="AL55" s="585">
        <f>SUM('Schedule 3B_Income_Eastern:Schedule 3D_Income_The Cape'!AL55)</f>
        <v>0</v>
      </c>
      <c r="AM55" s="585">
        <f>SUM('Schedule 3B_Income_Eastern:Schedule 3D_Income_The Cape'!AM55)</f>
        <v>128360.68101259893</v>
      </c>
      <c r="AN55" s="588">
        <f t="shared" si="93"/>
        <v>318572.23573019786</v>
      </c>
      <c r="AO55" s="589">
        <f t="shared" si="94"/>
        <v>806725.91544021457</v>
      </c>
      <c r="AP55" s="300">
        <v>33</v>
      </c>
      <c r="AQ55" s="585">
        <f>SUM('Schedule 3B_Income_Eastern:Schedule 3D_Income_The Cape'!AQ55)</f>
        <v>791840.34992257645</v>
      </c>
      <c r="AR55" s="585">
        <f>SUM('Schedule 3B_Income_Eastern:Schedule 3D_Income_The Cape'!AR55)</f>
        <v>5681759.1139419358</v>
      </c>
      <c r="AS55" s="585">
        <f>SUM('Schedule 3B_Income_Eastern:Schedule 3D_Income_The Cape'!AS55)</f>
        <v>837384.94467783463</v>
      </c>
      <c r="AT55" s="585">
        <f>SUM('Schedule 3B_Income_Eastern:Schedule 3D_Income_The Cape'!AT55)</f>
        <v>5411933.8812208138</v>
      </c>
      <c r="AU55" s="585">
        <f>SUM('Schedule 3B_Income_Eastern:Schedule 3D_Income_The Cape'!AU55)</f>
        <v>868033.96872049954</v>
      </c>
      <c r="AV55" s="585">
        <f>SUM('Schedule 3B_Income_Eastern:Schedule 3D_Income_The Cape'!AV55)</f>
        <v>5993419.5868619205</v>
      </c>
      <c r="AW55" s="585">
        <f>SUM('Schedule 3B_Income_Eastern:Schedule 3D_Income_The Cape'!AW55)</f>
        <v>951269.83045976248</v>
      </c>
      <c r="AX55" s="585">
        <f>SUM('Schedule 3B_Income_Eastern:Schedule 3D_Income_The Cape'!AX55)</f>
        <v>6327999.322284556</v>
      </c>
      <c r="AY55" s="586">
        <f t="shared" si="95"/>
        <v>26863640.998089898</v>
      </c>
      <c r="AZ55" s="587">
        <f>SUM('Schedule 3B_Income_Eastern:Schedule 3D_Income_The Cape'!AZ55)</f>
        <v>0</v>
      </c>
      <c r="BA55" s="585">
        <f>SUM('Schedule 3B_Income_Eastern:Schedule 3D_Income_The Cape'!BA55)</f>
        <v>1821081.2184341853</v>
      </c>
      <c r="BB55" s="585">
        <f>SUM('Schedule 3B_Income_Eastern:Schedule 3D_Income_The Cape'!BB55)</f>
        <v>0</v>
      </c>
      <c r="BC55" s="585">
        <f>SUM('Schedule 3B_Income_Eastern:Schedule 3D_Income_The Cape'!BC55)</f>
        <v>2044227.0401072348</v>
      </c>
      <c r="BD55" s="585">
        <f>SUM('Schedule 3B_Income_Eastern:Schedule 3D_Income_The Cape'!BD55)</f>
        <v>0</v>
      </c>
      <c r="BE55" s="585">
        <f>SUM('Schedule 3B_Income_Eastern:Schedule 3D_Income_The Cape'!BE55)</f>
        <v>1944652.5996927842</v>
      </c>
      <c r="BF55" s="585">
        <f>SUM('Schedule 3B_Income_Eastern:Schedule 3D_Income_The Cape'!BF55)</f>
        <v>0</v>
      </c>
      <c r="BG55" s="585">
        <f>SUM('Schedule 3B_Income_Eastern:Schedule 3D_Income_The Cape'!BG55)</f>
        <v>2422412.4408759116</v>
      </c>
      <c r="BH55" s="588">
        <f t="shared" si="96"/>
        <v>8232373.2991101164</v>
      </c>
      <c r="BI55" s="589">
        <f t="shared" si="97"/>
        <v>35096014.297200017</v>
      </c>
      <c r="BJ55" s="300">
        <v>33</v>
      </c>
      <c r="BK55" s="585">
        <f>SUM('Schedule 3B_Income_Eastern:Schedule 3D_Income_The Cape'!BK55)</f>
        <v>4690.7784592427433</v>
      </c>
      <c r="BL55" s="585">
        <f>SUM('Schedule 3B_Income_Eastern:Schedule 3D_Income_The Cape'!BL55)</f>
        <v>49962.448748637216</v>
      </c>
      <c r="BM55" s="585">
        <f>SUM('Schedule 3B_Income_Eastern:Schedule 3D_Income_The Cape'!BM55)</f>
        <v>3016.8069569451354</v>
      </c>
      <c r="BN55" s="585">
        <f>SUM('Schedule 3B_Income_Eastern:Schedule 3D_Income_The Cape'!BN55)</f>
        <v>51656.564233823403</v>
      </c>
      <c r="BO55" s="585">
        <f>SUM('Schedule 3B_Income_Eastern:Schedule 3D_Income_The Cape'!BO55)</f>
        <v>3074.3429540169773</v>
      </c>
      <c r="BP55" s="585">
        <f>SUM('Schedule 3B_Income_Eastern:Schedule 3D_Income_The Cape'!BP55)</f>
        <v>67052.534580024352</v>
      </c>
      <c r="BQ55" s="585">
        <f>SUM('Schedule 3B_Income_Eastern:Schedule 3D_Income_The Cape'!BQ55)</f>
        <v>5940.6511482916512</v>
      </c>
      <c r="BR55" s="585">
        <f>SUM('Schedule 3B_Income_Eastern:Schedule 3D_Income_The Cape'!BR55)</f>
        <v>67241.772507461661</v>
      </c>
      <c r="BS55" s="586">
        <f t="shared" si="98"/>
        <v>252635.89958844314</v>
      </c>
      <c r="BT55" s="587">
        <f>SUM('Schedule 3B_Income_Eastern:Schedule 3D_Income_The Cape'!BT55)</f>
        <v>0</v>
      </c>
      <c r="BU55" s="585">
        <f>SUM('Schedule 3B_Income_Eastern:Schedule 3D_Income_The Cape'!BU55)</f>
        <v>33607.296247886479</v>
      </c>
      <c r="BV55" s="585">
        <f>SUM('Schedule 3B_Income_Eastern:Schedule 3D_Income_The Cape'!BV55)</f>
        <v>0</v>
      </c>
      <c r="BW55" s="585">
        <f>SUM('Schedule 3B_Income_Eastern:Schedule 3D_Income_The Cape'!BW55)</f>
        <v>32903.071787891553</v>
      </c>
      <c r="BX55" s="585">
        <f>SUM('Schedule 3B_Income_Eastern:Schedule 3D_Income_The Cape'!BX55)</f>
        <v>0</v>
      </c>
      <c r="BY55" s="585">
        <f>SUM('Schedule 3B_Income_Eastern:Schedule 3D_Income_The Cape'!BY55)</f>
        <v>23910.940439146019</v>
      </c>
      <c r="BZ55" s="585">
        <f>SUM('Schedule 3B_Income_Eastern:Schedule 3D_Income_The Cape'!BZ55)</f>
        <v>0</v>
      </c>
      <c r="CA55" s="585">
        <f>SUM('Schedule 3B_Income_Eastern:Schedule 3D_Income_The Cape'!CA55)</f>
        <v>42218.18022642468</v>
      </c>
      <c r="CB55" s="588">
        <f t="shared" si="99"/>
        <v>132639.48870134872</v>
      </c>
      <c r="CC55" s="589">
        <f t="shared" si="100"/>
        <v>385275.38828979188</v>
      </c>
      <c r="CD55" s="300">
        <v>33</v>
      </c>
      <c r="CE55" s="414">
        <f t="shared" si="101"/>
        <v>7226622.3085091384</v>
      </c>
      <c r="CF55" s="414">
        <f t="shared" si="102"/>
        <v>7197567.3766672509</v>
      </c>
      <c r="CG55" s="414">
        <f t="shared" si="103"/>
        <v>7791559.317350354</v>
      </c>
      <c r="CH55" s="414">
        <f t="shared" si="104"/>
        <v>7822176.459857394</v>
      </c>
      <c r="CI55" s="416">
        <f t="shared" si="105"/>
        <v>30037925.462384138</v>
      </c>
      <c r="CJ55" s="414">
        <f t="shared" si="106"/>
        <v>1959900.116034806</v>
      </c>
      <c r="CK55" s="414">
        <f t="shared" si="107"/>
        <v>2607866.3469294137</v>
      </c>
      <c r="CL55" s="414">
        <f t="shared" si="108"/>
        <v>2299142.661177339</v>
      </c>
      <c r="CM55" s="414">
        <f t="shared" si="109"/>
        <v>2949109.2520992472</v>
      </c>
      <c r="CN55" s="416">
        <f t="shared" si="110"/>
        <v>9816018.3762408067</v>
      </c>
      <c r="CO55" s="414">
        <f t="shared" si="111"/>
        <v>9186522.4245439451</v>
      </c>
      <c r="CP55" s="414">
        <f t="shared" si="112"/>
        <v>9805433.7235966641</v>
      </c>
      <c r="CQ55" s="414">
        <f t="shared" si="113"/>
        <v>10090701.978527693</v>
      </c>
      <c r="CR55" s="414">
        <f t="shared" si="114"/>
        <v>10771285.711956641</v>
      </c>
      <c r="CS55" s="416">
        <f t="shared" si="115"/>
        <v>39853943.838624947</v>
      </c>
    </row>
    <row r="56" spans="1:101" ht="15.75" customHeight="1">
      <c r="A56" s="88" t="s">
        <v>221</v>
      </c>
      <c r="B56" s="300">
        <v>34</v>
      </c>
      <c r="C56" s="585">
        <f>SUM('Schedule 3B_Income_Eastern:Schedule 3D_Income_The Cape'!C56)</f>
        <v>23520.121930831865</v>
      </c>
      <c r="D56" s="585">
        <f>SUM('Schedule 3B_Income_Eastern:Schedule 3D_Income_The Cape'!D56)</f>
        <v>124090.66323688687</v>
      </c>
      <c r="E56" s="585">
        <f>SUM('Schedule 3B_Income_Eastern:Schedule 3D_Income_The Cape'!E56)</f>
        <v>49104.423039347836</v>
      </c>
      <c r="F56" s="585">
        <f>SUM('Schedule 3B_Income_Eastern:Schedule 3D_Income_The Cape'!F56)</f>
        <v>116217.66337789848</v>
      </c>
      <c r="G56" s="585">
        <f>SUM('Schedule 3B_Income_Eastern:Schedule 3D_Income_The Cape'!G56)</f>
        <v>47903.7198535512</v>
      </c>
      <c r="H56" s="585">
        <f>SUM('Schedule 3B_Income_Eastern:Schedule 3D_Income_The Cape'!H56)</f>
        <v>107326.40804205924</v>
      </c>
      <c r="I56" s="585">
        <f>SUM('Schedule 3B_Income_Eastern:Schedule 3D_Income_The Cape'!I56)</f>
        <v>34007.888560220781</v>
      </c>
      <c r="J56" s="585">
        <f>SUM('Schedule 3B_Income_Eastern:Schedule 3D_Income_The Cape'!J56)</f>
        <v>61829.364504191777</v>
      </c>
      <c r="K56" s="586">
        <f t="shared" si="89"/>
        <v>564000.25254498795</v>
      </c>
      <c r="L56" s="587">
        <f>SUM('Schedule 3B_Income_Eastern:Schedule 3D_Income_The Cape'!L56)</f>
        <v>0</v>
      </c>
      <c r="M56" s="585">
        <f>SUM('Schedule 3B_Income_Eastern:Schedule 3D_Income_The Cape'!M56)</f>
        <v>56248.129330922326</v>
      </c>
      <c r="N56" s="585">
        <f>SUM('Schedule 3B_Income_Eastern:Schedule 3D_Income_The Cape'!N56)</f>
        <v>0</v>
      </c>
      <c r="O56" s="585">
        <f>SUM('Schedule 3B_Income_Eastern:Schedule 3D_Income_The Cape'!O56)</f>
        <v>210007.52460086645</v>
      </c>
      <c r="P56" s="585">
        <f>SUM('Schedule 3B_Income_Eastern:Schedule 3D_Income_The Cape'!P56)</f>
        <v>0</v>
      </c>
      <c r="Q56" s="585">
        <f>SUM('Schedule 3B_Income_Eastern:Schedule 3D_Income_The Cape'!Q56)</f>
        <v>183240.92070942232</v>
      </c>
      <c r="R56" s="585">
        <f>SUM('Schedule 3B_Income_Eastern:Schedule 3D_Income_The Cape'!R56)</f>
        <v>0</v>
      </c>
      <c r="S56" s="585">
        <f>SUM('Schedule 3B_Income_Eastern:Schedule 3D_Income_The Cape'!S56)</f>
        <v>127571.74325502184</v>
      </c>
      <c r="T56" s="588">
        <f t="shared" si="90"/>
        <v>577068.31789623294</v>
      </c>
      <c r="U56" s="589">
        <f t="shared" si="91"/>
        <v>1141068.5704412209</v>
      </c>
      <c r="V56" s="300">
        <v>34</v>
      </c>
      <c r="W56" s="585">
        <f>SUM('Schedule 3B_Income_Eastern:Schedule 3D_Income_The Cape'!W56)</f>
        <v>8866.7702105803401</v>
      </c>
      <c r="X56" s="585">
        <f>SUM('Schedule 3B_Income_Eastern:Schedule 3D_Income_The Cape'!X56)</f>
        <v>40848.894542719048</v>
      </c>
      <c r="Y56" s="585">
        <f>SUM('Schedule 3B_Income_Eastern:Schedule 3D_Income_The Cape'!Y56)</f>
        <v>5191.6730120818274</v>
      </c>
      <c r="Z56" s="585">
        <f>SUM('Schedule 3B_Income_Eastern:Schedule 3D_Income_The Cape'!Z56)</f>
        <v>6166.1491708681824</v>
      </c>
      <c r="AA56" s="585">
        <f>SUM('Schedule 3B_Income_Eastern:Schedule 3D_Income_The Cape'!AA56)</f>
        <v>6591.1651638956509</v>
      </c>
      <c r="AB56" s="585">
        <f>SUM('Schedule 3B_Income_Eastern:Schedule 3D_Income_The Cape'!AB56)</f>
        <v>7722.875766936424</v>
      </c>
      <c r="AC56" s="585">
        <f>SUM('Schedule 3B_Income_Eastern:Schedule 3D_Income_The Cape'!AC56)</f>
        <v>8203.1438952900298</v>
      </c>
      <c r="AD56" s="585">
        <f>SUM('Schedule 3B_Income_Eastern:Schedule 3D_Income_The Cape'!AD56)</f>
        <v>11668.155412525513</v>
      </c>
      <c r="AE56" s="586">
        <f t="shared" si="92"/>
        <v>95258.827174897015</v>
      </c>
      <c r="AF56" s="587">
        <f>SUM('Schedule 3B_Income_Eastern:Schedule 3D_Income_The Cape'!AF56)</f>
        <v>0</v>
      </c>
      <c r="AG56" s="585">
        <f>SUM('Schedule 3B_Income_Eastern:Schedule 3D_Income_The Cape'!AG56)</f>
        <v>26387.498273497673</v>
      </c>
      <c r="AH56" s="585">
        <f>SUM('Schedule 3B_Income_Eastern:Schedule 3D_Income_The Cape'!AH56)</f>
        <v>0</v>
      </c>
      <c r="AI56" s="585">
        <f>SUM('Schedule 3B_Income_Eastern:Schedule 3D_Income_The Cape'!AI56)</f>
        <v>38134.305919956052</v>
      </c>
      <c r="AJ56" s="585">
        <f>SUM('Schedule 3B_Income_Eastern:Schedule 3D_Income_The Cape'!AJ56)</f>
        <v>0</v>
      </c>
      <c r="AK56" s="585">
        <f>SUM('Schedule 3B_Income_Eastern:Schedule 3D_Income_The Cape'!AK56)</f>
        <v>33124.822472050917</v>
      </c>
      <c r="AL56" s="585">
        <f>SUM('Schedule 3B_Income_Eastern:Schedule 3D_Income_The Cape'!AL56)</f>
        <v>0</v>
      </c>
      <c r="AM56" s="585">
        <f>SUM('Schedule 3B_Income_Eastern:Schedule 3D_Income_The Cape'!AM56)</f>
        <v>38490.200640901945</v>
      </c>
      <c r="AN56" s="588">
        <f t="shared" si="93"/>
        <v>136136.8273064066</v>
      </c>
      <c r="AO56" s="589">
        <f t="shared" si="94"/>
        <v>231395.65448130362</v>
      </c>
      <c r="AP56" s="300">
        <v>34</v>
      </c>
      <c r="AQ56" s="585">
        <f>SUM('Schedule 3B_Income_Eastern:Schedule 3D_Income_The Cape'!AQ56)</f>
        <v>325747.02322096261</v>
      </c>
      <c r="AR56" s="585">
        <f>SUM('Schedule 3B_Income_Eastern:Schedule 3D_Income_The Cape'!AR56)</f>
        <v>1058079.685951249</v>
      </c>
      <c r="AS56" s="585">
        <f>SUM('Schedule 3B_Income_Eastern:Schedule 3D_Income_The Cape'!AS56)</f>
        <v>285540.09995131142</v>
      </c>
      <c r="AT56" s="585">
        <f>SUM('Schedule 3B_Income_Eastern:Schedule 3D_Income_The Cape'!AT56)</f>
        <v>977194.36523357756</v>
      </c>
      <c r="AU56" s="585">
        <f>SUM('Schedule 3B_Income_Eastern:Schedule 3D_Income_The Cape'!AU56)</f>
        <v>349763.03580562328</v>
      </c>
      <c r="AV56" s="585">
        <f>SUM('Schedule 3B_Income_Eastern:Schedule 3D_Income_The Cape'!AV56)</f>
        <v>1094476.326987379</v>
      </c>
      <c r="AW56" s="585">
        <f>SUM('Schedule 3B_Income_Eastern:Schedule 3D_Income_The Cape'!AW56)</f>
        <v>468658.91861929256</v>
      </c>
      <c r="AX56" s="585">
        <f>SUM('Schedule 3B_Income_Eastern:Schedule 3D_Income_The Cape'!AX56)</f>
        <v>1209412.8481039598</v>
      </c>
      <c r="AY56" s="586">
        <f t="shared" si="95"/>
        <v>5768872.3038733555</v>
      </c>
      <c r="AZ56" s="587">
        <f>SUM('Schedule 3B_Income_Eastern:Schedule 3D_Income_The Cape'!AZ56)</f>
        <v>0</v>
      </c>
      <c r="BA56" s="585">
        <f>SUM('Schedule 3B_Income_Eastern:Schedule 3D_Income_The Cape'!BA56)</f>
        <v>612491.18395404331</v>
      </c>
      <c r="BB56" s="585">
        <f>SUM('Schedule 3B_Income_Eastern:Schedule 3D_Income_The Cape'!BB56)</f>
        <v>0</v>
      </c>
      <c r="BC56" s="585">
        <f>SUM('Schedule 3B_Income_Eastern:Schedule 3D_Income_The Cape'!BC56)</f>
        <v>702414.31227876258</v>
      </c>
      <c r="BD56" s="585">
        <f>SUM('Schedule 3B_Income_Eastern:Schedule 3D_Income_The Cape'!BD56)</f>
        <v>0</v>
      </c>
      <c r="BE56" s="585">
        <f>SUM('Schedule 3B_Income_Eastern:Schedule 3D_Income_The Cape'!BE56)</f>
        <v>696882.32048762927</v>
      </c>
      <c r="BF56" s="585">
        <f>SUM('Schedule 3B_Income_Eastern:Schedule 3D_Income_The Cape'!BF56)</f>
        <v>0</v>
      </c>
      <c r="BG56" s="585">
        <f>SUM('Schedule 3B_Income_Eastern:Schedule 3D_Income_The Cape'!BG56)</f>
        <v>788151.05480036826</v>
      </c>
      <c r="BH56" s="588">
        <f t="shared" si="96"/>
        <v>2799938.8715208033</v>
      </c>
      <c r="BI56" s="589">
        <f t="shared" si="97"/>
        <v>8568811.1753941588</v>
      </c>
      <c r="BJ56" s="300">
        <v>34</v>
      </c>
      <c r="BK56" s="585">
        <f>SUM('Schedule 3B_Income_Eastern:Schedule 3D_Income_The Cape'!BK56)</f>
        <v>24273.902090420033</v>
      </c>
      <c r="BL56" s="585">
        <f>SUM('Schedule 3B_Income_Eastern:Schedule 3D_Income_The Cape'!BL56)</f>
        <v>43799.09732179901</v>
      </c>
      <c r="BM56" s="585">
        <f>SUM('Schedule 3B_Income_Eastern:Schedule 3D_Income_The Cape'!BM56)</f>
        <v>10240.510047576518</v>
      </c>
      <c r="BN56" s="585">
        <f>SUM('Schedule 3B_Income_Eastern:Schedule 3D_Income_The Cape'!BN56)</f>
        <v>24257.863692632083</v>
      </c>
      <c r="BO56" s="585">
        <f>SUM('Schedule 3B_Income_Eastern:Schedule 3D_Income_The Cape'!BO56)</f>
        <v>22965.934828800688</v>
      </c>
      <c r="BP56" s="585">
        <f>SUM('Schedule 3B_Income_Eastern:Schedule 3D_Income_The Cape'!BP56)</f>
        <v>29155.734274061891</v>
      </c>
      <c r="BQ56" s="585">
        <f>SUM('Schedule 3B_Income_Eastern:Schedule 3D_Income_The Cape'!BQ56)</f>
        <v>16058.493157446206</v>
      </c>
      <c r="BR56" s="585">
        <f>SUM('Schedule 3B_Income_Eastern:Schedule 3D_Income_The Cape'!BR56)</f>
        <v>22231.436809374914</v>
      </c>
      <c r="BS56" s="586">
        <f t="shared" si="98"/>
        <v>192982.97222211133</v>
      </c>
      <c r="BT56" s="587">
        <f>SUM('Schedule 3B_Income_Eastern:Schedule 3D_Income_The Cape'!BT56)</f>
        <v>0</v>
      </c>
      <c r="BU56" s="585">
        <f>SUM('Schedule 3B_Income_Eastern:Schedule 3D_Income_The Cape'!BU56)</f>
        <v>102035.72633778845</v>
      </c>
      <c r="BV56" s="585">
        <f>SUM('Schedule 3B_Income_Eastern:Schedule 3D_Income_The Cape'!BV56)</f>
        <v>0</v>
      </c>
      <c r="BW56" s="585">
        <f>SUM('Schedule 3B_Income_Eastern:Schedule 3D_Income_The Cape'!BW56)</f>
        <v>101627.84552584155</v>
      </c>
      <c r="BX56" s="585">
        <f>SUM('Schedule 3B_Income_Eastern:Schedule 3D_Income_The Cape'!BX56)</f>
        <v>0</v>
      </c>
      <c r="BY56" s="585">
        <f>SUM('Schedule 3B_Income_Eastern:Schedule 3D_Income_The Cape'!BY56)</f>
        <v>121170.7802152895</v>
      </c>
      <c r="BZ56" s="585">
        <f>SUM('Schedule 3B_Income_Eastern:Schedule 3D_Income_The Cape'!BZ56)</f>
        <v>0</v>
      </c>
      <c r="CA56" s="585">
        <f>SUM('Schedule 3B_Income_Eastern:Schedule 3D_Income_The Cape'!CA56)</f>
        <v>86065.378206531299</v>
      </c>
      <c r="CB56" s="588">
        <f t="shared" si="99"/>
        <v>410899.73028545082</v>
      </c>
      <c r="CC56" s="589">
        <f t="shared" si="100"/>
        <v>603882.70250756212</v>
      </c>
      <c r="CD56" s="300">
        <v>34</v>
      </c>
      <c r="CE56" s="414">
        <f t="shared" si="101"/>
        <v>1649226.1585054488</v>
      </c>
      <c r="CF56" s="414">
        <f t="shared" si="102"/>
        <v>1473912.7475252941</v>
      </c>
      <c r="CG56" s="414">
        <f t="shared" si="103"/>
        <v>1665905.2007223072</v>
      </c>
      <c r="CH56" s="414">
        <f t="shared" si="104"/>
        <v>1832070.2490623016</v>
      </c>
      <c r="CI56" s="416">
        <f t="shared" si="105"/>
        <v>6621114.3558153519</v>
      </c>
      <c r="CJ56" s="414">
        <f t="shared" si="106"/>
        <v>797162.53789625177</v>
      </c>
      <c r="CK56" s="414">
        <f t="shared" si="107"/>
        <v>1052183.9883254266</v>
      </c>
      <c r="CL56" s="414">
        <f t="shared" si="108"/>
        <v>1034418.8438843919</v>
      </c>
      <c r="CM56" s="414">
        <f t="shared" si="109"/>
        <v>1040278.3769028233</v>
      </c>
      <c r="CN56" s="416">
        <f t="shared" si="110"/>
        <v>3924043.7470088936</v>
      </c>
      <c r="CO56" s="414">
        <f t="shared" si="111"/>
        <v>2446388.6964017008</v>
      </c>
      <c r="CP56" s="414">
        <f t="shared" si="112"/>
        <v>2526096.7358507202</v>
      </c>
      <c r="CQ56" s="414">
        <f t="shared" si="113"/>
        <v>2700324.0446066991</v>
      </c>
      <c r="CR56" s="414">
        <f t="shared" si="114"/>
        <v>2872348.6259651254</v>
      </c>
      <c r="CS56" s="416">
        <f t="shared" si="115"/>
        <v>10545158.102824245</v>
      </c>
    </row>
    <row r="57" spans="1:101" ht="15.75" customHeight="1">
      <c r="A57" s="88" t="s">
        <v>222</v>
      </c>
      <c r="B57" s="300">
        <v>35</v>
      </c>
      <c r="C57" s="585">
        <f>SUM('Schedule 3B_Income_Eastern:Schedule 3D_Income_The Cape'!C57)</f>
        <v>23086.084508315427</v>
      </c>
      <c r="D57" s="585">
        <f>SUM('Schedule 3B_Income_Eastern:Schedule 3D_Income_The Cape'!D57)</f>
        <v>55288.697247568882</v>
      </c>
      <c r="E57" s="585">
        <f>SUM('Schedule 3B_Income_Eastern:Schedule 3D_Income_The Cape'!E57)</f>
        <v>23826.527327690736</v>
      </c>
      <c r="F57" s="585">
        <f>SUM('Schedule 3B_Income_Eastern:Schedule 3D_Income_The Cape'!F57)</f>
        <v>48995.568404567937</v>
      </c>
      <c r="G57" s="585">
        <f>SUM('Schedule 3B_Income_Eastern:Schedule 3D_Income_The Cape'!G57)</f>
        <v>29007.23553876287</v>
      </c>
      <c r="H57" s="585">
        <f>SUM('Schedule 3B_Income_Eastern:Schedule 3D_Income_The Cape'!H57)</f>
        <v>65752.269610744581</v>
      </c>
      <c r="I57" s="585">
        <f>SUM('Schedule 3B_Income_Eastern:Schedule 3D_Income_The Cape'!I57)</f>
        <v>26759.721466482981</v>
      </c>
      <c r="J57" s="585">
        <f>SUM('Schedule 3B_Income_Eastern:Schedule 3D_Income_The Cape'!J57)</f>
        <v>30255.326175617272</v>
      </c>
      <c r="K57" s="586">
        <f t="shared" si="89"/>
        <v>302971.43027975073</v>
      </c>
      <c r="L57" s="587">
        <f>SUM('Schedule 3B_Income_Eastern:Schedule 3D_Income_The Cape'!L57)</f>
        <v>0</v>
      </c>
      <c r="M57" s="585">
        <f>SUM('Schedule 3B_Income_Eastern:Schedule 3D_Income_The Cape'!M57)</f>
        <v>46174.710832100478</v>
      </c>
      <c r="N57" s="585">
        <f>SUM('Schedule 3B_Income_Eastern:Schedule 3D_Income_The Cape'!N57)</f>
        <v>0</v>
      </c>
      <c r="O57" s="585">
        <f>SUM('Schedule 3B_Income_Eastern:Schedule 3D_Income_The Cape'!O57)</f>
        <v>85344.407964052516</v>
      </c>
      <c r="P57" s="585">
        <f>SUM('Schedule 3B_Income_Eastern:Schedule 3D_Income_The Cape'!P57)</f>
        <v>0</v>
      </c>
      <c r="Q57" s="585">
        <f>SUM('Schedule 3B_Income_Eastern:Schedule 3D_Income_The Cape'!Q57)</f>
        <v>91561.999843684593</v>
      </c>
      <c r="R57" s="585">
        <f>SUM('Schedule 3B_Income_Eastern:Schedule 3D_Income_The Cape'!R57)</f>
        <v>0</v>
      </c>
      <c r="S57" s="585">
        <f>SUM('Schedule 3B_Income_Eastern:Schedule 3D_Income_The Cape'!S57)</f>
        <v>60061.554052912725</v>
      </c>
      <c r="T57" s="588">
        <f t="shared" si="90"/>
        <v>283142.67269275035</v>
      </c>
      <c r="U57" s="589">
        <f t="shared" si="91"/>
        <v>586114.10297250107</v>
      </c>
      <c r="V57" s="300">
        <v>35</v>
      </c>
      <c r="W57" s="585">
        <f>SUM('Schedule 3B_Income_Eastern:Schedule 3D_Income_The Cape'!W57)</f>
        <v>1575.8327184546051</v>
      </c>
      <c r="X57" s="585">
        <f>SUM('Schedule 3B_Income_Eastern:Schedule 3D_Income_The Cape'!X57)</f>
        <v>13311.856151681115</v>
      </c>
      <c r="Y57" s="585">
        <f>SUM('Schedule 3B_Income_Eastern:Schedule 3D_Income_The Cape'!Y57)</f>
        <v>411.03582308247064</v>
      </c>
      <c r="Z57" s="585">
        <f>SUM('Schedule 3B_Income_Eastern:Schedule 3D_Income_The Cape'!Z57)</f>
        <v>3693.34458019881</v>
      </c>
      <c r="AA57" s="585">
        <f>SUM('Schedule 3B_Income_Eastern:Schedule 3D_Income_The Cape'!AA57)</f>
        <v>2746.1129637572385</v>
      </c>
      <c r="AB57" s="585">
        <f>SUM('Schedule 3B_Income_Eastern:Schedule 3D_Income_The Cape'!AB57)</f>
        <v>6909.7976084052225</v>
      </c>
      <c r="AC57" s="585">
        <f>SUM('Schedule 3B_Income_Eastern:Schedule 3D_Income_The Cape'!AC57)</f>
        <v>3544.8826851301651</v>
      </c>
      <c r="AD57" s="585">
        <f>SUM('Schedule 3B_Income_Eastern:Schedule 3D_Income_The Cape'!AD57)</f>
        <v>5104.1090656684937</v>
      </c>
      <c r="AE57" s="586">
        <f t="shared" si="92"/>
        <v>37296.97159637812</v>
      </c>
      <c r="AF57" s="587">
        <f>SUM('Schedule 3B_Income_Eastern:Schedule 3D_Income_The Cape'!AF57)</f>
        <v>0</v>
      </c>
      <c r="AG57" s="585">
        <f>SUM('Schedule 3B_Income_Eastern:Schedule 3D_Income_The Cape'!AG57)</f>
        <v>19474.758544813878</v>
      </c>
      <c r="AH57" s="585">
        <f>SUM('Schedule 3B_Income_Eastern:Schedule 3D_Income_The Cape'!AH57)</f>
        <v>0</v>
      </c>
      <c r="AI57" s="585">
        <f>SUM('Schedule 3B_Income_Eastern:Schedule 3D_Income_The Cape'!AI57)</f>
        <v>11527.720954153267</v>
      </c>
      <c r="AJ57" s="585">
        <f>SUM('Schedule 3B_Income_Eastern:Schedule 3D_Income_The Cape'!AJ57)</f>
        <v>0</v>
      </c>
      <c r="AK57" s="585">
        <f>SUM('Schedule 3B_Income_Eastern:Schedule 3D_Income_The Cape'!AK57)</f>
        <v>14429.105551204866</v>
      </c>
      <c r="AL57" s="585">
        <f>SUM('Schedule 3B_Income_Eastern:Schedule 3D_Income_The Cape'!AL57)</f>
        <v>0</v>
      </c>
      <c r="AM57" s="585">
        <f>SUM('Schedule 3B_Income_Eastern:Schedule 3D_Income_The Cape'!AM57)</f>
        <v>14240.364298590775</v>
      </c>
      <c r="AN57" s="588">
        <f t="shared" si="93"/>
        <v>59671.949348762791</v>
      </c>
      <c r="AO57" s="589">
        <f t="shared" si="94"/>
        <v>96968.920945140911</v>
      </c>
      <c r="AP57" s="300">
        <v>35</v>
      </c>
      <c r="AQ57" s="585">
        <f>SUM('Schedule 3B_Income_Eastern:Schedule 3D_Income_The Cape'!AQ57)</f>
        <v>195050.86015739403</v>
      </c>
      <c r="AR57" s="585">
        <f>SUM('Schedule 3B_Income_Eastern:Schedule 3D_Income_The Cape'!AR57)</f>
        <v>778132.68809089169</v>
      </c>
      <c r="AS57" s="585">
        <f>SUM('Schedule 3B_Income_Eastern:Schedule 3D_Income_The Cape'!AS57)</f>
        <v>146172.34656985587</v>
      </c>
      <c r="AT57" s="585">
        <f>SUM('Schedule 3B_Income_Eastern:Schedule 3D_Income_The Cape'!AT57)</f>
        <v>415165.72961175529</v>
      </c>
      <c r="AU57" s="585">
        <f>SUM('Schedule 3B_Income_Eastern:Schedule 3D_Income_The Cape'!AU57)</f>
        <v>213523.65672741644</v>
      </c>
      <c r="AV57" s="585">
        <f>SUM('Schedule 3B_Income_Eastern:Schedule 3D_Income_The Cape'!AV57)</f>
        <v>565117.05992112111</v>
      </c>
      <c r="AW57" s="585">
        <f>SUM('Schedule 3B_Income_Eastern:Schedule 3D_Income_The Cape'!AW57)</f>
        <v>175409.63199008268</v>
      </c>
      <c r="AX57" s="585">
        <f>SUM('Schedule 3B_Income_Eastern:Schedule 3D_Income_The Cape'!AX57)</f>
        <v>525022.05163059849</v>
      </c>
      <c r="AY57" s="586">
        <f t="shared" si="95"/>
        <v>3013594.0246991157</v>
      </c>
      <c r="AZ57" s="587">
        <f>SUM('Schedule 3B_Income_Eastern:Schedule 3D_Income_The Cape'!AZ57)</f>
        <v>0</v>
      </c>
      <c r="BA57" s="585">
        <f>SUM('Schedule 3B_Income_Eastern:Schedule 3D_Income_The Cape'!BA57)</f>
        <v>797980.63244049367</v>
      </c>
      <c r="BB57" s="585">
        <f>SUM('Schedule 3B_Income_Eastern:Schedule 3D_Income_The Cape'!BB57)</f>
        <v>0</v>
      </c>
      <c r="BC57" s="585">
        <f>SUM('Schedule 3B_Income_Eastern:Schedule 3D_Income_The Cape'!BC57)</f>
        <v>670197.1278022069</v>
      </c>
      <c r="BD57" s="585">
        <f>SUM('Schedule 3B_Income_Eastern:Schedule 3D_Income_The Cape'!BD57)</f>
        <v>0</v>
      </c>
      <c r="BE57" s="585">
        <f>SUM('Schedule 3B_Income_Eastern:Schedule 3D_Income_The Cape'!BE57)</f>
        <v>738493.68827926146</v>
      </c>
      <c r="BF57" s="585">
        <f>SUM('Schedule 3B_Income_Eastern:Schedule 3D_Income_The Cape'!BF57)</f>
        <v>0</v>
      </c>
      <c r="BG57" s="585">
        <f>SUM('Schedule 3B_Income_Eastern:Schedule 3D_Income_The Cape'!BG57)</f>
        <v>784705.10252037446</v>
      </c>
      <c r="BH57" s="588">
        <f t="shared" si="96"/>
        <v>2991376.5510423365</v>
      </c>
      <c r="BI57" s="589">
        <f t="shared" si="97"/>
        <v>6004970.5757414522</v>
      </c>
      <c r="BJ57" s="300">
        <v>35</v>
      </c>
      <c r="BK57" s="585">
        <f>SUM('Schedule 3B_Income_Eastern:Schedule 3D_Income_The Cape'!BK57)</f>
        <v>3368.9995750634885</v>
      </c>
      <c r="BL57" s="585">
        <f>SUM('Schedule 3B_Income_Eastern:Schedule 3D_Income_The Cape'!BL57)</f>
        <v>14440.1732062833</v>
      </c>
      <c r="BM57" s="585">
        <f>SUM('Schedule 3B_Income_Eastern:Schedule 3D_Income_The Cape'!BM57)</f>
        <v>1549.0196070583138</v>
      </c>
      <c r="BN57" s="585">
        <f>SUM('Schedule 3B_Income_Eastern:Schedule 3D_Income_The Cape'!BN57)</f>
        <v>5426.9747472643458</v>
      </c>
      <c r="BO57" s="585">
        <f>SUM('Schedule 3B_Income_Eastern:Schedule 3D_Income_The Cape'!BO57)</f>
        <v>10259.614423036222</v>
      </c>
      <c r="BP57" s="585">
        <f>SUM('Schedule 3B_Income_Eastern:Schedule 3D_Income_The Cape'!BP57)</f>
        <v>8095.3779803665093</v>
      </c>
      <c r="BQ57" s="585">
        <f>SUM('Schedule 3B_Income_Eastern:Schedule 3D_Income_The Cape'!BQ57)</f>
        <v>1406.0718974378869</v>
      </c>
      <c r="BR57" s="585">
        <f>SUM('Schedule 3B_Income_Eastern:Schedule 3D_Income_The Cape'!BR57)</f>
        <v>8318.9602307974274</v>
      </c>
      <c r="BS57" s="586">
        <f t="shared" si="98"/>
        <v>52865.191667307488</v>
      </c>
      <c r="BT57" s="587">
        <f>SUM('Schedule 3B_Income_Eastern:Schedule 3D_Income_The Cape'!BT57)</f>
        <v>0</v>
      </c>
      <c r="BU57" s="585">
        <f>SUM('Schedule 3B_Income_Eastern:Schedule 3D_Income_The Cape'!BU57)</f>
        <v>12522.726812922341</v>
      </c>
      <c r="BV57" s="585">
        <f>SUM('Schedule 3B_Income_Eastern:Schedule 3D_Income_The Cape'!BV57)</f>
        <v>0</v>
      </c>
      <c r="BW57" s="585">
        <f>SUM('Schedule 3B_Income_Eastern:Schedule 3D_Income_The Cape'!BW57)</f>
        <v>17489.454747522966</v>
      </c>
      <c r="BX57" s="585">
        <f>SUM('Schedule 3B_Income_Eastern:Schedule 3D_Income_The Cape'!BX57)</f>
        <v>0</v>
      </c>
      <c r="BY57" s="585">
        <f>SUM('Schedule 3B_Income_Eastern:Schedule 3D_Income_The Cape'!BY57)</f>
        <v>23879.185235491139</v>
      </c>
      <c r="BZ57" s="585">
        <f>SUM('Schedule 3B_Income_Eastern:Schedule 3D_Income_The Cape'!BZ57)</f>
        <v>0</v>
      </c>
      <c r="CA57" s="585">
        <f>SUM('Schedule 3B_Income_Eastern:Schedule 3D_Income_The Cape'!CA57)</f>
        <v>25042.037381829592</v>
      </c>
      <c r="CB57" s="588">
        <f t="shared" si="99"/>
        <v>78933.404177766031</v>
      </c>
      <c r="CC57" s="589">
        <f t="shared" si="100"/>
        <v>131798.59584507352</v>
      </c>
      <c r="CD57" s="300">
        <v>35</v>
      </c>
      <c r="CE57" s="414">
        <f t="shared" si="101"/>
        <v>1084255.1916556526</v>
      </c>
      <c r="CF57" s="414">
        <f t="shared" si="102"/>
        <v>645240.54667147365</v>
      </c>
      <c r="CG57" s="414">
        <f t="shared" si="103"/>
        <v>901411.12477361015</v>
      </c>
      <c r="CH57" s="414">
        <f t="shared" si="104"/>
        <v>775820.7551418154</v>
      </c>
      <c r="CI57" s="416">
        <f t="shared" si="105"/>
        <v>3406727.618242552</v>
      </c>
      <c r="CJ57" s="414">
        <f t="shared" si="106"/>
        <v>876152.82863033039</v>
      </c>
      <c r="CK57" s="414">
        <f t="shared" si="107"/>
        <v>784558.71146793559</v>
      </c>
      <c r="CL57" s="414">
        <f t="shared" si="108"/>
        <v>868363.97890964209</v>
      </c>
      <c r="CM57" s="414">
        <f t="shared" si="109"/>
        <v>884049.05825370748</v>
      </c>
      <c r="CN57" s="416">
        <f t="shared" si="110"/>
        <v>3413124.5772616155</v>
      </c>
      <c r="CO57" s="414">
        <f t="shared" si="111"/>
        <v>1960408.0202859829</v>
      </c>
      <c r="CP57" s="414">
        <f t="shared" si="112"/>
        <v>1429799.2581394094</v>
      </c>
      <c r="CQ57" s="414">
        <f t="shared" si="113"/>
        <v>1769775.1036832524</v>
      </c>
      <c r="CR57" s="414">
        <f t="shared" si="114"/>
        <v>1659869.813395523</v>
      </c>
      <c r="CS57" s="416">
        <f t="shared" si="115"/>
        <v>6819852.1955041671</v>
      </c>
    </row>
    <row r="58" spans="1:101" ht="15.75" customHeight="1">
      <c r="A58" s="88" t="s">
        <v>223</v>
      </c>
      <c r="B58" s="300">
        <v>36</v>
      </c>
      <c r="C58" s="585">
        <f>SUM('Schedule 3B_Income_Eastern:Schedule 3D_Income_The Cape'!C58)</f>
        <v>0</v>
      </c>
      <c r="D58" s="585">
        <f>SUM('Schedule 3B_Income_Eastern:Schedule 3D_Income_The Cape'!D58)</f>
        <v>0</v>
      </c>
      <c r="E58" s="585">
        <f>SUM('Schedule 3B_Income_Eastern:Schedule 3D_Income_The Cape'!E58)</f>
        <v>18285.512481149948</v>
      </c>
      <c r="F58" s="585">
        <f>SUM('Schedule 3B_Income_Eastern:Schedule 3D_Income_The Cape'!F58)</f>
        <v>0</v>
      </c>
      <c r="G58" s="585">
        <f>SUM('Schedule 3B_Income_Eastern:Schedule 3D_Income_The Cape'!G58)</f>
        <v>31058.822306788996</v>
      </c>
      <c r="H58" s="585">
        <f>SUM('Schedule 3B_Income_Eastern:Schedule 3D_Income_The Cape'!H58)</f>
        <v>0</v>
      </c>
      <c r="I58" s="585">
        <f>SUM('Schedule 3B_Income_Eastern:Schedule 3D_Income_The Cape'!I58)</f>
        <v>5915.9859764595003</v>
      </c>
      <c r="J58" s="585">
        <f>SUM('Schedule 3B_Income_Eastern:Schedule 3D_Income_The Cape'!J58)</f>
        <v>0</v>
      </c>
      <c r="K58" s="586">
        <f t="shared" si="89"/>
        <v>55260.32076439845</v>
      </c>
      <c r="L58" s="587">
        <f>SUM('Schedule 3B_Income_Eastern:Schedule 3D_Income_The Cape'!L58)</f>
        <v>0</v>
      </c>
      <c r="M58" s="585">
        <f>SUM('Schedule 3B_Income_Eastern:Schedule 3D_Income_The Cape'!M58)</f>
        <v>0</v>
      </c>
      <c r="N58" s="585">
        <f>SUM('Schedule 3B_Income_Eastern:Schedule 3D_Income_The Cape'!N58)</f>
        <v>0</v>
      </c>
      <c r="O58" s="585">
        <f>SUM('Schedule 3B_Income_Eastern:Schedule 3D_Income_The Cape'!O58)</f>
        <v>440.4692602737162</v>
      </c>
      <c r="P58" s="585">
        <f>SUM('Schedule 3B_Income_Eastern:Schedule 3D_Income_The Cape'!P58)</f>
        <v>0</v>
      </c>
      <c r="Q58" s="585">
        <f>SUM('Schedule 3B_Income_Eastern:Schedule 3D_Income_The Cape'!Q58)</f>
        <v>111.04716871862128</v>
      </c>
      <c r="R58" s="585">
        <f>SUM('Schedule 3B_Income_Eastern:Schedule 3D_Income_The Cape'!R58)</f>
        <v>0</v>
      </c>
      <c r="S58" s="585">
        <f>SUM('Schedule 3B_Income_Eastern:Schedule 3D_Income_The Cape'!S58)</f>
        <v>0</v>
      </c>
      <c r="T58" s="588">
        <f t="shared" si="90"/>
        <v>551.51642899233752</v>
      </c>
      <c r="U58" s="589">
        <f t="shared" si="91"/>
        <v>55811.837193390784</v>
      </c>
      <c r="V58" s="300">
        <v>36</v>
      </c>
      <c r="W58" s="585">
        <f>SUM('Schedule 3B_Income_Eastern:Schedule 3D_Income_The Cape'!W58)</f>
        <v>0</v>
      </c>
      <c r="X58" s="585">
        <f>SUM('Schedule 3B_Income_Eastern:Schedule 3D_Income_The Cape'!X58)</f>
        <v>0</v>
      </c>
      <c r="Y58" s="585">
        <f>SUM('Schedule 3B_Income_Eastern:Schedule 3D_Income_The Cape'!Y58)</f>
        <v>0</v>
      </c>
      <c r="Z58" s="585">
        <f>SUM('Schedule 3B_Income_Eastern:Schedule 3D_Income_The Cape'!Z58)</f>
        <v>0</v>
      </c>
      <c r="AA58" s="585">
        <f>SUM('Schedule 3B_Income_Eastern:Schedule 3D_Income_The Cape'!AA58)</f>
        <v>0</v>
      </c>
      <c r="AB58" s="585">
        <f>SUM('Schedule 3B_Income_Eastern:Schedule 3D_Income_The Cape'!AB58)</f>
        <v>0</v>
      </c>
      <c r="AC58" s="585">
        <f>SUM('Schedule 3B_Income_Eastern:Schedule 3D_Income_The Cape'!AC58)</f>
        <v>0</v>
      </c>
      <c r="AD58" s="585">
        <f>SUM('Schedule 3B_Income_Eastern:Schedule 3D_Income_The Cape'!AD58)</f>
        <v>0</v>
      </c>
      <c r="AE58" s="586">
        <f t="shared" si="92"/>
        <v>0</v>
      </c>
      <c r="AF58" s="587">
        <f>SUM('Schedule 3B_Income_Eastern:Schedule 3D_Income_The Cape'!AF58)</f>
        <v>0</v>
      </c>
      <c r="AG58" s="585">
        <f>SUM('Schedule 3B_Income_Eastern:Schedule 3D_Income_The Cape'!AG58)</f>
        <v>0</v>
      </c>
      <c r="AH58" s="585">
        <f>SUM('Schedule 3B_Income_Eastern:Schedule 3D_Income_The Cape'!AH58)</f>
        <v>0</v>
      </c>
      <c r="AI58" s="585">
        <f>SUM('Schedule 3B_Income_Eastern:Schedule 3D_Income_The Cape'!AI58)</f>
        <v>155.39133135111527</v>
      </c>
      <c r="AJ58" s="585">
        <f>SUM('Schedule 3B_Income_Eastern:Schedule 3D_Income_The Cape'!AJ58)</f>
        <v>0</v>
      </c>
      <c r="AK58" s="585">
        <f>SUM('Schedule 3B_Income_Eastern:Schedule 3D_Income_The Cape'!AK58)</f>
        <v>0</v>
      </c>
      <c r="AL58" s="585">
        <f>SUM('Schedule 3B_Income_Eastern:Schedule 3D_Income_The Cape'!AL58)</f>
        <v>0</v>
      </c>
      <c r="AM58" s="585">
        <f>SUM('Schedule 3B_Income_Eastern:Schedule 3D_Income_The Cape'!AM58)</f>
        <v>0</v>
      </c>
      <c r="AN58" s="588">
        <f t="shared" si="93"/>
        <v>155.39133135111527</v>
      </c>
      <c r="AO58" s="589">
        <f t="shared" si="94"/>
        <v>155.39133135111527</v>
      </c>
      <c r="AP58" s="300">
        <v>36</v>
      </c>
      <c r="AQ58" s="585">
        <f>SUM('Schedule 3B_Income_Eastern:Schedule 3D_Income_The Cape'!AQ58)</f>
        <v>39223.454686390491</v>
      </c>
      <c r="AR58" s="585">
        <f>SUM('Schedule 3B_Income_Eastern:Schedule 3D_Income_The Cape'!AR58)</f>
        <v>0</v>
      </c>
      <c r="AS58" s="585">
        <f>SUM('Schedule 3B_Income_Eastern:Schedule 3D_Income_The Cape'!AS58)</f>
        <v>30610.168029953275</v>
      </c>
      <c r="AT58" s="585">
        <f>SUM('Schedule 3B_Income_Eastern:Schedule 3D_Income_The Cape'!AT58)</f>
        <v>0</v>
      </c>
      <c r="AU58" s="585">
        <f>SUM('Schedule 3B_Income_Eastern:Schedule 3D_Income_The Cape'!AU58)</f>
        <v>54126.098309597262</v>
      </c>
      <c r="AV58" s="585">
        <f>SUM('Schedule 3B_Income_Eastern:Schedule 3D_Income_The Cape'!AV58)</f>
        <v>0</v>
      </c>
      <c r="AW58" s="585">
        <f>SUM('Schedule 3B_Income_Eastern:Schedule 3D_Income_The Cape'!AW58)</f>
        <v>38474.525998048994</v>
      </c>
      <c r="AX58" s="585">
        <f>SUM('Schedule 3B_Income_Eastern:Schedule 3D_Income_The Cape'!AX58)</f>
        <v>11547.85640460021</v>
      </c>
      <c r="AY58" s="586">
        <f t="shared" si="95"/>
        <v>173982.10342859023</v>
      </c>
      <c r="AZ58" s="587">
        <f>SUM('Schedule 3B_Income_Eastern:Schedule 3D_Income_The Cape'!AZ58)</f>
        <v>0</v>
      </c>
      <c r="BA58" s="585">
        <f>SUM('Schedule 3B_Income_Eastern:Schedule 3D_Income_The Cape'!BA58)</f>
        <v>14302.28916763165</v>
      </c>
      <c r="BB58" s="585">
        <f>SUM('Schedule 3B_Income_Eastern:Schedule 3D_Income_The Cape'!BB58)</f>
        <v>0</v>
      </c>
      <c r="BC58" s="585">
        <f>SUM('Schedule 3B_Income_Eastern:Schedule 3D_Income_The Cape'!BC58)</f>
        <v>2202.346301368581</v>
      </c>
      <c r="BD58" s="585">
        <f>SUM('Schedule 3B_Income_Eastern:Schedule 3D_Income_The Cape'!BD58)</f>
        <v>0</v>
      </c>
      <c r="BE58" s="585">
        <f>SUM('Schedule 3B_Income_Eastern:Schedule 3D_Income_The Cape'!BE58)</f>
        <v>6355.6104068917266</v>
      </c>
      <c r="BF58" s="585">
        <f>SUM('Schedule 3B_Income_Eastern:Schedule 3D_Income_The Cape'!BF58)</f>
        <v>0</v>
      </c>
      <c r="BG58" s="585">
        <f>SUM('Schedule 3B_Income_Eastern:Schedule 3D_Income_The Cape'!BG58)</f>
        <v>3649.2725828150492</v>
      </c>
      <c r="BH58" s="588">
        <f t="shared" si="96"/>
        <v>26509.518458707007</v>
      </c>
      <c r="BI58" s="589">
        <f t="shared" si="97"/>
        <v>200491.62188729722</v>
      </c>
      <c r="BJ58" s="300">
        <v>36</v>
      </c>
      <c r="BK58" s="585">
        <f>SUM('Schedule 3B_Income_Eastern:Schedule 3D_Income_The Cape'!BK58)</f>
        <v>964.98600376204729</v>
      </c>
      <c r="BL58" s="585">
        <f>SUM('Schedule 3B_Income_Eastern:Schedule 3D_Income_The Cape'!BL58)</f>
        <v>0</v>
      </c>
      <c r="BM58" s="585">
        <f>SUM('Schedule 3B_Income_Eastern:Schedule 3D_Income_The Cape'!BM58)</f>
        <v>0</v>
      </c>
      <c r="BN58" s="585">
        <f>SUM('Schedule 3B_Income_Eastern:Schedule 3D_Income_The Cape'!BN58)</f>
        <v>0</v>
      </c>
      <c r="BO58" s="585">
        <f>SUM('Schedule 3B_Income_Eastern:Schedule 3D_Income_The Cape'!BO58)</f>
        <v>0</v>
      </c>
      <c r="BP58" s="585">
        <f>SUM('Schedule 3B_Income_Eastern:Schedule 3D_Income_The Cape'!BP58)</f>
        <v>0</v>
      </c>
      <c r="BQ58" s="585">
        <f>SUM('Schedule 3B_Income_Eastern:Schedule 3D_Income_The Cape'!BQ58)</f>
        <v>0</v>
      </c>
      <c r="BR58" s="585">
        <f>SUM('Schedule 3B_Income_Eastern:Schedule 3D_Income_The Cape'!BR58)</f>
        <v>0</v>
      </c>
      <c r="BS58" s="586">
        <f t="shared" si="98"/>
        <v>964.98600376204729</v>
      </c>
      <c r="BT58" s="587">
        <f>SUM('Schedule 3B_Income_Eastern:Schedule 3D_Income_The Cape'!BT58)</f>
        <v>0</v>
      </c>
      <c r="BU58" s="585">
        <f>SUM('Schedule 3B_Income_Eastern:Schedule 3D_Income_The Cape'!BU58)</f>
        <v>0</v>
      </c>
      <c r="BV58" s="585">
        <f>SUM('Schedule 3B_Income_Eastern:Schedule 3D_Income_The Cape'!BV58)</f>
        <v>0</v>
      </c>
      <c r="BW58" s="585">
        <f>SUM('Schedule 3B_Income_Eastern:Schedule 3D_Income_The Cape'!BW58)</f>
        <v>330.35194520528711</v>
      </c>
      <c r="BX58" s="585">
        <f>SUM('Schedule 3B_Income_Eastern:Schedule 3D_Income_The Cape'!BX58)</f>
        <v>0</v>
      </c>
      <c r="BY58" s="585">
        <f>SUM('Schedule 3B_Income_Eastern:Schedule 3D_Income_The Cape'!BY58)</f>
        <v>111.04716871862128</v>
      </c>
      <c r="BZ58" s="585">
        <f>SUM('Schedule 3B_Income_Eastern:Schedule 3D_Income_The Cape'!BZ58)</f>
        <v>0</v>
      </c>
      <c r="CA58" s="585">
        <f>SUM('Schedule 3B_Income_Eastern:Schedule 3D_Income_The Cape'!CA58)</f>
        <v>576.26830938623857</v>
      </c>
      <c r="CB58" s="588">
        <f t="shared" si="99"/>
        <v>1017.6674233101469</v>
      </c>
      <c r="CC58" s="589">
        <f t="shared" si="100"/>
        <v>1982.6534270721941</v>
      </c>
      <c r="CD58" s="300">
        <v>36</v>
      </c>
      <c r="CE58" s="414">
        <f t="shared" si="101"/>
        <v>40188.440690152536</v>
      </c>
      <c r="CF58" s="414">
        <f t="shared" si="102"/>
        <v>48895.680511103223</v>
      </c>
      <c r="CG58" s="414">
        <f t="shared" si="103"/>
        <v>85184.920616386255</v>
      </c>
      <c r="CH58" s="414">
        <f t="shared" si="104"/>
        <v>55938.36837910871</v>
      </c>
      <c r="CI58" s="416">
        <f t="shared" si="105"/>
        <v>230207.41019675072</v>
      </c>
      <c r="CJ58" s="414">
        <f t="shared" si="106"/>
        <v>14302.28916763165</v>
      </c>
      <c r="CK58" s="414">
        <f t="shared" si="107"/>
        <v>3128.5588381986995</v>
      </c>
      <c r="CL58" s="414">
        <f t="shared" si="108"/>
        <v>6577.7047443289684</v>
      </c>
      <c r="CM58" s="414">
        <f t="shared" si="109"/>
        <v>4225.5408922012875</v>
      </c>
      <c r="CN58" s="416">
        <f t="shared" si="110"/>
        <v>28234.093642360607</v>
      </c>
      <c r="CO58" s="414">
        <f t="shared" si="111"/>
        <v>54490.729857784187</v>
      </c>
      <c r="CP58" s="414">
        <f t="shared" si="112"/>
        <v>52024.239349301919</v>
      </c>
      <c r="CQ58" s="414">
        <f t="shared" si="113"/>
        <v>91762.625360715232</v>
      </c>
      <c r="CR58" s="414">
        <f t="shared" si="114"/>
        <v>60163.909271309996</v>
      </c>
      <c r="CS58" s="416">
        <f t="shared" si="115"/>
        <v>258441.50383911133</v>
      </c>
    </row>
    <row r="59" spans="1:101" ht="15.75" customHeight="1">
      <c r="A59" s="88" t="s">
        <v>468</v>
      </c>
      <c r="B59" s="300">
        <v>37</v>
      </c>
      <c r="C59" s="585">
        <f>SUM('Schedule 3B_Income_Eastern:Schedule 3D_Income_The Cape'!C59)</f>
        <v>1008.8653897458313</v>
      </c>
      <c r="D59" s="585">
        <f>SUM('Schedule 3B_Income_Eastern:Schedule 3D_Income_The Cape'!D59)</f>
        <v>3842.2000004513693</v>
      </c>
      <c r="E59" s="585">
        <f>SUM('Schedule 3B_Income_Eastern:Schedule 3D_Income_The Cape'!E59)</f>
        <v>1341.5308178119055</v>
      </c>
      <c r="F59" s="585">
        <f>SUM('Schedule 3B_Income_Eastern:Schedule 3D_Income_The Cape'!F59)</f>
        <v>3202.1697603512785</v>
      </c>
      <c r="G59" s="585">
        <f>SUM('Schedule 3B_Income_Eastern:Schedule 3D_Income_The Cape'!G59)</f>
        <v>2498.4497130332029</v>
      </c>
      <c r="H59" s="585">
        <f>SUM('Schedule 3B_Income_Eastern:Schedule 3D_Income_The Cape'!H59)</f>
        <v>5364.2181548719273</v>
      </c>
      <c r="I59" s="585">
        <f>SUM('Schedule 3B_Income_Eastern:Schedule 3D_Income_The Cape'!I59)</f>
        <v>4805.0268377114253</v>
      </c>
      <c r="J59" s="585">
        <f>SUM('Schedule 3B_Income_Eastern:Schedule 3D_Income_The Cape'!J59)</f>
        <v>4291.1010132393239</v>
      </c>
      <c r="K59" s="586">
        <f t="shared" si="89"/>
        <v>26353.561687216265</v>
      </c>
      <c r="L59" s="587">
        <f>SUM('Schedule 3B_Income_Eastern:Schedule 3D_Income_The Cape'!L59)</f>
        <v>0</v>
      </c>
      <c r="M59" s="585">
        <f>SUM('Schedule 3B_Income_Eastern:Schedule 3D_Income_The Cape'!M59)</f>
        <v>1120.9983488425789</v>
      </c>
      <c r="N59" s="585">
        <f>SUM('Schedule 3B_Income_Eastern:Schedule 3D_Income_The Cape'!N59)</f>
        <v>0</v>
      </c>
      <c r="O59" s="585">
        <f>SUM('Schedule 3B_Income_Eastern:Schedule 3D_Income_The Cape'!O59)</f>
        <v>3128.7693683895623</v>
      </c>
      <c r="P59" s="585">
        <f>SUM('Schedule 3B_Income_Eastern:Schedule 3D_Income_The Cape'!P59)</f>
        <v>0</v>
      </c>
      <c r="Q59" s="585">
        <f>SUM('Schedule 3B_Income_Eastern:Schedule 3D_Income_The Cape'!Q59)</f>
        <v>3064.9685819902425</v>
      </c>
      <c r="R59" s="585">
        <f>SUM('Schedule 3B_Income_Eastern:Schedule 3D_Income_The Cape'!R59)</f>
        <v>0</v>
      </c>
      <c r="S59" s="585">
        <f>SUM('Schedule 3B_Income_Eastern:Schedule 3D_Income_The Cape'!S59)</f>
        <v>3633.449337903277</v>
      </c>
      <c r="T59" s="588">
        <f t="shared" si="90"/>
        <v>10948.18563712566</v>
      </c>
      <c r="U59" s="589">
        <f t="shared" si="91"/>
        <v>37301.747324341923</v>
      </c>
      <c r="V59" s="300">
        <v>37</v>
      </c>
      <c r="W59" s="585">
        <f>SUM('Schedule 3B_Income_Eastern:Schedule 3D_Income_The Cape'!W59)</f>
        <v>0</v>
      </c>
      <c r="X59" s="585">
        <f>SUM('Schedule 3B_Income_Eastern:Schedule 3D_Income_The Cape'!X59)</f>
        <v>697.94459221125999</v>
      </c>
      <c r="Y59" s="585">
        <f>SUM('Schedule 3B_Income_Eastern:Schedule 3D_Income_The Cape'!Y59)</f>
        <v>0</v>
      </c>
      <c r="Z59" s="585">
        <f>SUM('Schedule 3B_Income_Eastern:Schedule 3D_Income_The Cape'!Z59)</f>
        <v>202.60422210941428</v>
      </c>
      <c r="AA59" s="585">
        <f>SUM('Schedule 3B_Income_Eastern:Schedule 3D_Income_The Cape'!AA59)</f>
        <v>334.09178244259454</v>
      </c>
      <c r="AB59" s="585">
        <f>SUM('Schedule 3B_Income_Eastern:Schedule 3D_Income_The Cape'!AB59)</f>
        <v>1601.6157570429834</v>
      </c>
      <c r="AC59" s="585">
        <f>SUM('Schedule 3B_Income_Eastern:Schedule 3D_Income_The Cape'!AC59)</f>
        <v>631.03040462296235</v>
      </c>
      <c r="AD59" s="585">
        <f>SUM('Schedule 3B_Income_Eastern:Schedule 3D_Income_The Cape'!AD59)</f>
        <v>628.18160346018306</v>
      </c>
      <c r="AE59" s="586">
        <f t="shared" si="92"/>
        <v>4095.4683618893973</v>
      </c>
      <c r="AF59" s="587">
        <f>SUM('Schedule 3B_Income_Eastern:Schedule 3D_Income_The Cape'!AF59)</f>
        <v>0</v>
      </c>
      <c r="AG59" s="585">
        <f>SUM('Schedule 3B_Income_Eastern:Schedule 3D_Income_The Cape'!AG59)</f>
        <v>156.97780950348704</v>
      </c>
      <c r="AH59" s="585">
        <f>SUM('Schedule 3B_Income_Eastern:Schedule 3D_Income_The Cape'!AH59)</f>
        <v>0</v>
      </c>
      <c r="AI59" s="585">
        <f>SUM('Schedule 3B_Income_Eastern:Schedule 3D_Income_The Cape'!AI59)</f>
        <v>149.50651125414078</v>
      </c>
      <c r="AJ59" s="585">
        <f>SUM('Schedule 3B_Income_Eastern:Schedule 3D_Income_The Cape'!AJ59)</f>
        <v>0</v>
      </c>
      <c r="AK59" s="585">
        <f>SUM('Schedule 3B_Income_Eastern:Schedule 3D_Income_The Cape'!AK59)</f>
        <v>403.61763626670768</v>
      </c>
      <c r="AL59" s="585">
        <f>SUM('Schedule 3B_Income_Eastern:Schedule 3D_Income_The Cape'!AL59)</f>
        <v>0</v>
      </c>
      <c r="AM59" s="585">
        <f>SUM('Schedule 3B_Income_Eastern:Schedule 3D_Income_The Cape'!AM59)</f>
        <v>846.34423828813942</v>
      </c>
      <c r="AN59" s="588">
        <f t="shared" si="93"/>
        <v>1556.4461953124749</v>
      </c>
      <c r="AO59" s="589">
        <f t="shared" si="94"/>
        <v>5651.9145572018724</v>
      </c>
      <c r="AP59" s="300">
        <v>37</v>
      </c>
      <c r="AQ59" s="585">
        <f>SUM('Schedule 3B_Income_Eastern:Schedule 3D_Income_The Cape'!AQ59)</f>
        <v>12944.699244679421</v>
      </c>
      <c r="AR59" s="585">
        <f>SUM('Schedule 3B_Income_Eastern:Schedule 3D_Income_The Cape'!AR59)</f>
        <v>22887.305482490658</v>
      </c>
      <c r="AS59" s="585">
        <f>SUM('Schedule 3B_Income_Eastern:Schedule 3D_Income_The Cape'!AS59)</f>
        <v>9728.4328911509674</v>
      </c>
      <c r="AT59" s="585">
        <f>SUM('Schedule 3B_Income_Eastern:Schedule 3D_Income_The Cape'!AT59)</f>
        <v>12935.517308375196</v>
      </c>
      <c r="AU59" s="585">
        <f>SUM('Schedule 3B_Income_Eastern:Schedule 3D_Income_The Cape'!AU59)</f>
        <v>18495.979135593509</v>
      </c>
      <c r="AV59" s="585">
        <f>SUM('Schedule 3B_Income_Eastern:Schedule 3D_Income_The Cape'!AV59)</f>
        <v>31102.021386658151</v>
      </c>
      <c r="AW59" s="585">
        <f>SUM('Schedule 3B_Income_Eastern:Schedule 3D_Income_The Cape'!AW59)</f>
        <v>26756.600353444344</v>
      </c>
      <c r="AX59" s="585">
        <f>SUM('Schedule 3B_Income_Eastern:Schedule 3D_Income_The Cape'!AX59)</f>
        <v>31939.774124913645</v>
      </c>
      <c r="AY59" s="586">
        <f t="shared" si="95"/>
        <v>166790.32992730589</v>
      </c>
      <c r="AZ59" s="587">
        <f>SUM('Schedule 3B_Income_Eastern:Schedule 3D_Income_The Cape'!AZ59)</f>
        <v>0</v>
      </c>
      <c r="BA59" s="585">
        <f>SUM('Schedule 3B_Income_Eastern:Schedule 3D_Income_The Cape'!BA59)</f>
        <v>9745.0775018252352</v>
      </c>
      <c r="BB59" s="585">
        <f>SUM('Schedule 3B_Income_Eastern:Schedule 3D_Income_The Cape'!BB59)</f>
        <v>0</v>
      </c>
      <c r="BC59" s="585">
        <f>SUM('Schedule 3B_Income_Eastern:Schedule 3D_Income_The Cape'!BC59)</f>
        <v>13006.013828155934</v>
      </c>
      <c r="BD59" s="585">
        <f>SUM('Schedule 3B_Income_Eastern:Schedule 3D_Income_The Cape'!BD59)</f>
        <v>0</v>
      </c>
      <c r="BE59" s="585">
        <f>SUM('Schedule 3B_Income_Eastern:Schedule 3D_Income_The Cape'!BE59)</f>
        <v>28008.403030579702</v>
      </c>
      <c r="BF59" s="585">
        <f>SUM('Schedule 3B_Income_Eastern:Schedule 3D_Income_The Cape'!BF59)</f>
        <v>0</v>
      </c>
      <c r="BG59" s="585">
        <f>SUM('Schedule 3B_Income_Eastern:Schedule 3D_Income_The Cape'!BG59)</f>
        <v>35242.343215477253</v>
      </c>
      <c r="BH59" s="588">
        <f t="shared" si="96"/>
        <v>86001.837576038117</v>
      </c>
      <c r="BI59" s="589">
        <f t="shared" si="97"/>
        <v>252792.16750334401</v>
      </c>
      <c r="BJ59" s="300">
        <v>37</v>
      </c>
      <c r="BK59" s="585">
        <f>SUM('Schedule 3B_Income_Eastern:Schedule 3D_Income_The Cape'!BK59)</f>
        <v>0</v>
      </c>
      <c r="BL59" s="585">
        <f>SUM('Schedule 3B_Income_Eastern:Schedule 3D_Income_The Cape'!BL59)</f>
        <v>0</v>
      </c>
      <c r="BM59" s="585">
        <f>SUM('Schedule 3B_Income_Eastern:Schedule 3D_Income_The Cape'!BM59)</f>
        <v>0</v>
      </c>
      <c r="BN59" s="585">
        <f>SUM('Schedule 3B_Income_Eastern:Schedule 3D_Income_The Cape'!BN59)</f>
        <v>0</v>
      </c>
      <c r="BO59" s="585">
        <f>SUM('Schedule 3B_Income_Eastern:Schedule 3D_Income_The Cape'!BO59)</f>
        <v>0</v>
      </c>
      <c r="BP59" s="585">
        <f>SUM('Schedule 3B_Income_Eastern:Schedule 3D_Income_The Cape'!BP59)</f>
        <v>0</v>
      </c>
      <c r="BQ59" s="585">
        <f>SUM('Schedule 3B_Income_Eastern:Schedule 3D_Income_The Cape'!BQ59)</f>
        <v>0</v>
      </c>
      <c r="BR59" s="585">
        <f>SUM('Schedule 3B_Income_Eastern:Schedule 3D_Income_The Cape'!BR59)</f>
        <v>86.406652915177403</v>
      </c>
      <c r="BS59" s="586">
        <f t="shared" si="98"/>
        <v>86.406652915177403</v>
      </c>
      <c r="BT59" s="587">
        <f>SUM('Schedule 3B_Income_Eastern:Schedule 3D_Income_The Cape'!BT59)</f>
        <v>0</v>
      </c>
      <c r="BU59" s="585">
        <f>SUM('Schedule 3B_Income_Eastern:Schedule 3D_Income_The Cape'!BU59)</f>
        <v>0</v>
      </c>
      <c r="BV59" s="585">
        <f>SUM('Schedule 3B_Income_Eastern:Schedule 3D_Income_The Cape'!BV59)</f>
        <v>0</v>
      </c>
      <c r="BW59" s="585">
        <f>SUM('Schedule 3B_Income_Eastern:Schedule 3D_Income_The Cape'!BW59)</f>
        <v>0</v>
      </c>
      <c r="BX59" s="585">
        <f>SUM('Schedule 3B_Income_Eastern:Schedule 3D_Income_The Cape'!BX59)</f>
        <v>0</v>
      </c>
      <c r="BY59" s="585">
        <f>SUM('Schedule 3B_Income_Eastern:Schedule 3D_Income_The Cape'!BY59)</f>
        <v>0</v>
      </c>
      <c r="BZ59" s="585">
        <f>SUM('Schedule 3B_Income_Eastern:Schedule 3D_Income_The Cape'!BZ59)</f>
        <v>0</v>
      </c>
      <c r="CA59" s="585">
        <f>SUM('Schedule 3B_Income_Eastern:Schedule 3D_Income_The Cape'!CA59)</f>
        <v>0</v>
      </c>
      <c r="CB59" s="588">
        <f t="shared" si="99"/>
        <v>0</v>
      </c>
      <c r="CC59" s="589">
        <f t="shared" si="100"/>
        <v>86.406652915177403</v>
      </c>
      <c r="CD59" s="300">
        <v>37</v>
      </c>
      <c r="CE59" s="414">
        <f t="shared" si="101"/>
        <v>41381.014709578536</v>
      </c>
      <c r="CF59" s="414">
        <f t="shared" si="102"/>
        <v>27410.254999798759</v>
      </c>
      <c r="CG59" s="414">
        <f t="shared" si="103"/>
        <v>59396.375929642367</v>
      </c>
      <c r="CH59" s="414">
        <f t="shared" si="104"/>
        <v>69138.12099030707</v>
      </c>
      <c r="CI59" s="416">
        <f t="shared" si="105"/>
        <v>197325.76662932674</v>
      </c>
      <c r="CJ59" s="414">
        <f t="shared" si="106"/>
        <v>11023.053660171301</v>
      </c>
      <c r="CK59" s="414">
        <f t="shared" si="107"/>
        <v>16284.289707799637</v>
      </c>
      <c r="CL59" s="414">
        <f t="shared" si="108"/>
        <v>31476.989248836653</v>
      </c>
      <c r="CM59" s="414">
        <f t="shared" si="109"/>
        <v>39722.136791668672</v>
      </c>
      <c r="CN59" s="416">
        <f t="shared" si="110"/>
        <v>98506.46940847626</v>
      </c>
      <c r="CO59" s="414">
        <f t="shared" si="111"/>
        <v>52404.068369749846</v>
      </c>
      <c r="CP59" s="414">
        <f t="shared" si="112"/>
        <v>43694.544707598398</v>
      </c>
      <c r="CQ59" s="414">
        <f t="shared" si="113"/>
        <v>90873.365178479027</v>
      </c>
      <c r="CR59" s="414">
        <f t="shared" si="114"/>
        <v>108860.25778197573</v>
      </c>
      <c r="CS59" s="416">
        <f t="shared" si="115"/>
        <v>295832.236037803</v>
      </c>
    </row>
    <row r="60" spans="1:101" ht="15.75" customHeight="1">
      <c r="A60" s="932" t="s">
        <v>372</v>
      </c>
      <c r="B60" s="933">
        <v>38</v>
      </c>
      <c r="C60" s="585">
        <f>SUM('Schedule 3B_Income_Eastern:Schedule 3D_Income_The Cape'!C60)</f>
        <v>114825.19383813912</v>
      </c>
      <c r="D60" s="585">
        <f>SUM('Schedule 3B_Income_Eastern:Schedule 3D_Income_The Cape'!D60)</f>
        <v>491821.73629194882</v>
      </c>
      <c r="E60" s="585">
        <f>SUM('Schedule 3B_Income_Eastern:Schedule 3D_Income_The Cape'!E60)</f>
        <v>148195.3533991398</v>
      </c>
      <c r="F60" s="585">
        <f>SUM('Schedule 3B_Income_Eastern:Schedule 3D_Income_The Cape'!F60)</f>
        <v>622462.95518445643</v>
      </c>
      <c r="G60" s="585">
        <f>SUM('Schedule 3B_Income_Eastern:Schedule 3D_Income_The Cape'!G60)</f>
        <v>151901.59168882255</v>
      </c>
      <c r="H60" s="585">
        <f>SUM('Schedule 3B_Income_Eastern:Schedule 3D_Income_The Cape'!H60)</f>
        <v>593213.47843467782</v>
      </c>
      <c r="I60" s="585">
        <f>SUM('Schedule 3B_Income_Eastern:Schedule 3D_Income_The Cape'!I60)</f>
        <v>133777.37526015879</v>
      </c>
      <c r="J60" s="585">
        <f>SUM('Schedule 3B_Income_Eastern:Schedule 3D_Income_The Cape'!J60)</f>
        <v>539693.8074181251</v>
      </c>
      <c r="K60" s="586">
        <f>SUM(C60:J60)</f>
        <v>2795891.4915154688</v>
      </c>
      <c r="L60" s="587">
        <f>SUM('Schedule 3B_Income_Eastern:Schedule 3D_Income_The Cape'!L60)</f>
        <v>0</v>
      </c>
      <c r="M60" s="585">
        <f>SUM('Schedule 3B_Income_Eastern:Schedule 3D_Income_The Cape'!M60)</f>
        <v>0</v>
      </c>
      <c r="N60" s="585">
        <f>SUM('Schedule 3B_Income_Eastern:Schedule 3D_Income_The Cape'!N60)</f>
        <v>0</v>
      </c>
      <c r="O60" s="585">
        <f>SUM('Schedule 3B_Income_Eastern:Schedule 3D_Income_The Cape'!O60)</f>
        <v>0</v>
      </c>
      <c r="P60" s="585">
        <f>SUM('Schedule 3B_Income_Eastern:Schedule 3D_Income_The Cape'!P60)</f>
        <v>0</v>
      </c>
      <c r="Q60" s="585">
        <f>SUM('Schedule 3B_Income_Eastern:Schedule 3D_Income_The Cape'!Q60)</f>
        <v>0</v>
      </c>
      <c r="R60" s="585">
        <f>SUM('Schedule 3B_Income_Eastern:Schedule 3D_Income_The Cape'!R60)</f>
        <v>0</v>
      </c>
      <c r="S60" s="585">
        <f>SUM('Schedule 3B_Income_Eastern:Schedule 3D_Income_The Cape'!S60)</f>
        <v>0</v>
      </c>
      <c r="T60" s="588">
        <f>SUM(L60:S60)</f>
        <v>0</v>
      </c>
      <c r="U60" s="589">
        <f>SUM(T60,K60)</f>
        <v>2795891.4915154688</v>
      </c>
      <c r="V60" s="933">
        <v>38</v>
      </c>
      <c r="W60" s="585">
        <f>SUM('Schedule 3B_Income_Eastern:Schedule 3D_Income_The Cape'!W60)</f>
        <v>5394.4721937380791</v>
      </c>
      <c r="X60" s="585">
        <f>SUM('Schedule 3B_Income_Eastern:Schedule 3D_Income_The Cape'!X60)</f>
        <v>110221.9774923333</v>
      </c>
      <c r="Y60" s="585">
        <f>SUM('Schedule 3B_Income_Eastern:Schedule 3D_Income_The Cape'!Y60)</f>
        <v>5015.1315757490038</v>
      </c>
      <c r="Z60" s="585">
        <f>SUM('Schedule 3B_Income_Eastern:Schedule 3D_Income_The Cape'!Z60)</f>
        <v>99584.281952848294</v>
      </c>
      <c r="AA60" s="585">
        <f>SUM('Schedule 3B_Income_Eastern:Schedule 3D_Income_The Cape'!AA60)</f>
        <v>5932.482357629232</v>
      </c>
      <c r="AB60" s="585">
        <f>SUM('Schedule 3B_Income_Eastern:Schedule 3D_Income_The Cape'!AB60)</f>
        <v>101004.32875048043</v>
      </c>
      <c r="AC60" s="585">
        <f>SUM('Schedule 3B_Income_Eastern:Schedule 3D_Income_The Cape'!AC60)</f>
        <v>7081.1524152056509</v>
      </c>
      <c r="AD60" s="585">
        <f>SUM('Schedule 3B_Income_Eastern:Schedule 3D_Income_The Cape'!AD60)</f>
        <v>105216.68860419701</v>
      </c>
      <c r="AE60" s="586">
        <f>SUM(W60:AD60)</f>
        <v>439450.51534218102</v>
      </c>
      <c r="AF60" s="587">
        <f>SUM('Schedule 3B_Income_Eastern:Schedule 3D_Income_The Cape'!AF60)</f>
        <v>0</v>
      </c>
      <c r="AG60" s="585">
        <f>SUM('Schedule 3B_Income_Eastern:Schedule 3D_Income_The Cape'!AG60)</f>
        <v>0</v>
      </c>
      <c r="AH60" s="585">
        <f>SUM('Schedule 3B_Income_Eastern:Schedule 3D_Income_The Cape'!AH60)</f>
        <v>0</v>
      </c>
      <c r="AI60" s="585">
        <f>SUM('Schedule 3B_Income_Eastern:Schedule 3D_Income_The Cape'!AI60)</f>
        <v>0</v>
      </c>
      <c r="AJ60" s="585">
        <f>SUM('Schedule 3B_Income_Eastern:Schedule 3D_Income_The Cape'!AJ60)</f>
        <v>0</v>
      </c>
      <c r="AK60" s="585">
        <f>SUM('Schedule 3B_Income_Eastern:Schedule 3D_Income_The Cape'!AK60)</f>
        <v>0</v>
      </c>
      <c r="AL60" s="585">
        <f>SUM('Schedule 3B_Income_Eastern:Schedule 3D_Income_The Cape'!AL60)</f>
        <v>0</v>
      </c>
      <c r="AM60" s="585">
        <f>SUM('Schedule 3B_Income_Eastern:Schedule 3D_Income_The Cape'!AM60)</f>
        <v>0</v>
      </c>
      <c r="AN60" s="588">
        <f>SUM(AF60:AM60)</f>
        <v>0</v>
      </c>
      <c r="AO60" s="589">
        <f>SUM(AN60,AE60)</f>
        <v>439450.51534218102</v>
      </c>
      <c r="AP60" s="933">
        <v>38</v>
      </c>
      <c r="AQ60" s="585">
        <f>SUM('Schedule 3B_Income_Eastern:Schedule 3D_Income_The Cape'!AQ60)</f>
        <v>371928.5736750192</v>
      </c>
      <c r="AR60" s="585">
        <f>SUM('Schedule 3B_Income_Eastern:Schedule 3D_Income_The Cape'!AR60)</f>
        <v>1601226.109745176</v>
      </c>
      <c r="AS60" s="585">
        <f>SUM('Schedule 3B_Income_Eastern:Schedule 3D_Income_The Cape'!AS60)</f>
        <v>374505.76863546361</v>
      </c>
      <c r="AT60" s="585">
        <f>SUM('Schedule 3B_Income_Eastern:Schedule 3D_Income_The Cape'!AT60)</f>
        <v>1579470.214735389</v>
      </c>
      <c r="AU60" s="585">
        <f>SUM('Schedule 3B_Income_Eastern:Schedule 3D_Income_The Cape'!AU60)</f>
        <v>411813.8551839256</v>
      </c>
      <c r="AV60" s="585">
        <f>SUM('Schedule 3B_Income_Eastern:Schedule 3D_Income_The Cape'!AV60)</f>
        <v>1690768.6245325613</v>
      </c>
      <c r="AW60" s="585">
        <f>SUM('Schedule 3B_Income_Eastern:Schedule 3D_Income_The Cape'!AW60)</f>
        <v>462503.33798781974</v>
      </c>
      <c r="AX60" s="585">
        <f>SUM('Schedule 3B_Income_Eastern:Schedule 3D_Income_The Cape'!AX60)</f>
        <v>1829413.0930812194</v>
      </c>
      <c r="AY60" s="586">
        <f>SUM(AQ60:AX60)</f>
        <v>8321629.5775765739</v>
      </c>
      <c r="AZ60" s="587">
        <f>SUM('Schedule 3B_Income_Eastern:Schedule 3D_Income_The Cape'!AZ60)</f>
        <v>0</v>
      </c>
      <c r="BA60" s="585">
        <f>SUM('Schedule 3B_Income_Eastern:Schedule 3D_Income_The Cape'!BA60)</f>
        <v>0</v>
      </c>
      <c r="BB60" s="585">
        <f>SUM('Schedule 3B_Income_Eastern:Schedule 3D_Income_The Cape'!BB60)</f>
        <v>0</v>
      </c>
      <c r="BC60" s="585">
        <f>SUM('Schedule 3B_Income_Eastern:Schedule 3D_Income_The Cape'!BC60)</f>
        <v>0</v>
      </c>
      <c r="BD60" s="585">
        <f>SUM('Schedule 3B_Income_Eastern:Schedule 3D_Income_The Cape'!BD60)</f>
        <v>0</v>
      </c>
      <c r="BE60" s="585">
        <f>SUM('Schedule 3B_Income_Eastern:Schedule 3D_Income_The Cape'!BE60)</f>
        <v>0</v>
      </c>
      <c r="BF60" s="585">
        <f>SUM('Schedule 3B_Income_Eastern:Schedule 3D_Income_The Cape'!BF60)</f>
        <v>0</v>
      </c>
      <c r="BG60" s="585">
        <f>SUM('Schedule 3B_Income_Eastern:Schedule 3D_Income_The Cape'!BG60)</f>
        <v>0</v>
      </c>
      <c r="BH60" s="588">
        <f>SUM(AZ60:BG60)</f>
        <v>0</v>
      </c>
      <c r="BI60" s="589">
        <f>SUM(BH60,AY60)</f>
        <v>8321629.5775765739</v>
      </c>
      <c r="BJ60" s="933">
        <v>38</v>
      </c>
      <c r="BK60" s="585">
        <f>SUM('Schedule 3B_Income_Eastern:Schedule 3D_Income_The Cape'!BK60)</f>
        <v>2829.0692021680848</v>
      </c>
      <c r="BL60" s="585">
        <f>SUM('Schedule 3B_Income_Eastern:Schedule 3D_Income_The Cape'!BL60)</f>
        <v>58421.367561477069</v>
      </c>
      <c r="BM60" s="585">
        <f>SUM('Schedule 3B_Income_Eastern:Schedule 3D_Income_The Cape'!BM60)</f>
        <v>3009.078945449402</v>
      </c>
      <c r="BN60" s="585">
        <f>SUM('Schedule 3B_Income_Eastern:Schedule 3D_Income_The Cape'!BN60)</f>
        <v>54898.965571504246</v>
      </c>
      <c r="BO60" s="585">
        <f>SUM('Schedule 3B_Income_Eastern:Schedule 3D_Income_The Cape'!BO60)</f>
        <v>3652.7690667935708</v>
      </c>
      <c r="BP60" s="585">
        <f>SUM('Schedule 3B_Income_Eastern:Schedule 3D_Income_The Cape'!BP60)</f>
        <v>59416.259985110031</v>
      </c>
      <c r="BQ60" s="585">
        <f>SUM('Schedule 3B_Income_Eastern:Schedule 3D_Income_The Cape'!BQ60)</f>
        <v>4618.1428794819467</v>
      </c>
      <c r="BR60" s="585">
        <f>SUM('Schedule 3B_Income_Eastern:Schedule 3D_Income_The Cape'!BR60)</f>
        <v>66053.762353792132</v>
      </c>
      <c r="BS60" s="586">
        <f>SUM(BK60:BR60)</f>
        <v>252899.41556577646</v>
      </c>
      <c r="BT60" s="587">
        <f>SUM('Schedule 3B_Income_Eastern:Schedule 3D_Income_The Cape'!BT60)</f>
        <v>0</v>
      </c>
      <c r="BU60" s="585">
        <f>SUM('Schedule 3B_Income_Eastern:Schedule 3D_Income_The Cape'!BU60)</f>
        <v>0</v>
      </c>
      <c r="BV60" s="585">
        <f>SUM('Schedule 3B_Income_Eastern:Schedule 3D_Income_The Cape'!BV60)</f>
        <v>0</v>
      </c>
      <c r="BW60" s="585">
        <f>SUM('Schedule 3B_Income_Eastern:Schedule 3D_Income_The Cape'!BW60)</f>
        <v>0</v>
      </c>
      <c r="BX60" s="585">
        <f>SUM('Schedule 3B_Income_Eastern:Schedule 3D_Income_The Cape'!BX60)</f>
        <v>0</v>
      </c>
      <c r="BY60" s="585">
        <f>SUM('Schedule 3B_Income_Eastern:Schedule 3D_Income_The Cape'!BY60)</f>
        <v>0</v>
      </c>
      <c r="BZ60" s="585">
        <f>SUM('Schedule 3B_Income_Eastern:Schedule 3D_Income_The Cape'!BZ60)</f>
        <v>0</v>
      </c>
      <c r="CA60" s="585">
        <f>SUM('Schedule 3B_Income_Eastern:Schedule 3D_Income_The Cape'!CA60)</f>
        <v>0</v>
      </c>
      <c r="CB60" s="588">
        <f>SUM(BT60:CA60)</f>
        <v>0</v>
      </c>
      <c r="CC60" s="589">
        <f>SUM(CB60,BS60)</f>
        <v>252899.41556577646</v>
      </c>
      <c r="CD60" s="933">
        <v>38</v>
      </c>
      <c r="CE60" s="414">
        <f t="shared" si="101"/>
        <v>2756668.5</v>
      </c>
      <c r="CF60" s="414">
        <f t="shared" si="102"/>
        <v>2887141.75</v>
      </c>
      <c r="CG60" s="414">
        <f t="shared" si="103"/>
        <v>3017703.3900000006</v>
      </c>
      <c r="CH60" s="414">
        <f t="shared" si="104"/>
        <v>3148357.36</v>
      </c>
      <c r="CI60" s="416">
        <f t="shared" si="105"/>
        <v>11809871</v>
      </c>
      <c r="CJ60" s="414">
        <f t="shared" si="106"/>
        <v>0</v>
      </c>
      <c r="CK60" s="414">
        <f t="shared" si="107"/>
        <v>0</v>
      </c>
      <c r="CL60" s="414">
        <f t="shared" si="108"/>
        <v>0</v>
      </c>
      <c r="CM60" s="414">
        <f t="shared" si="109"/>
        <v>0</v>
      </c>
      <c r="CN60" s="416">
        <f t="shared" si="110"/>
        <v>0</v>
      </c>
      <c r="CO60" s="414">
        <f t="shared" si="111"/>
        <v>2756668.5</v>
      </c>
      <c r="CP60" s="414">
        <f t="shared" si="112"/>
        <v>2887141.75</v>
      </c>
      <c r="CQ60" s="414">
        <f t="shared" si="113"/>
        <v>3017703.3900000006</v>
      </c>
      <c r="CR60" s="414">
        <f t="shared" si="114"/>
        <v>3148357.36</v>
      </c>
      <c r="CS60" s="416">
        <f t="shared" si="115"/>
        <v>11809871</v>
      </c>
      <c r="CU60" s="319"/>
    </row>
    <row r="61" spans="1:101" ht="15.75" customHeight="1">
      <c r="A61" s="932" t="s">
        <v>226</v>
      </c>
      <c r="B61" s="933">
        <v>39</v>
      </c>
      <c r="C61" s="585">
        <f>SUM('Schedule 3B_Income_Eastern:Schedule 3D_Income_The Cape'!C61)</f>
        <v>43213.119999999995</v>
      </c>
      <c r="D61" s="585">
        <f>SUM('Schedule 3B_Income_Eastern:Schedule 3D_Income_The Cape'!D61)</f>
        <v>189145.13</v>
      </c>
      <c r="E61" s="585">
        <f>SUM('Schedule 3B_Income_Eastern:Schedule 3D_Income_The Cape'!E61)</f>
        <v>58452.73</v>
      </c>
      <c r="F61" s="585">
        <f>SUM('Schedule 3B_Income_Eastern:Schedule 3D_Income_The Cape'!F61)</f>
        <v>246825.67</v>
      </c>
      <c r="G61" s="585">
        <f>SUM('Schedule 3B_Income_Eastern:Schedule 3D_Income_The Cape'!G61)</f>
        <v>60949.01</v>
      </c>
      <c r="H61" s="585">
        <f>SUM('Schedule 3B_Income_Eastern:Schedule 3D_Income_The Cape'!H61)</f>
        <v>237956.44000000003</v>
      </c>
      <c r="I61" s="585">
        <f>SUM('Schedule 3B_Income_Eastern:Schedule 3D_Income_The Cape'!I61)</f>
        <v>42624.36</v>
      </c>
      <c r="J61" s="585">
        <f>SUM('Schedule 3B_Income_Eastern:Schedule 3D_Income_The Cape'!J61)</f>
        <v>172224.26</v>
      </c>
      <c r="K61" s="586">
        <f t="shared" si="89"/>
        <v>1051390.7200000002</v>
      </c>
      <c r="L61" s="587">
        <f>SUM('Schedule 3B_Income_Eastern:Schedule 3D_Income_The Cape'!L61)</f>
        <v>0</v>
      </c>
      <c r="M61" s="585">
        <f>SUM('Schedule 3B_Income_Eastern:Schedule 3D_Income_The Cape'!M61)</f>
        <v>896827.12000000011</v>
      </c>
      <c r="N61" s="585">
        <f>SUM('Schedule 3B_Income_Eastern:Schedule 3D_Income_The Cape'!N61)</f>
        <v>0</v>
      </c>
      <c r="O61" s="585">
        <f>SUM('Schedule 3B_Income_Eastern:Schedule 3D_Income_The Cape'!O61)</f>
        <v>1209325.07</v>
      </c>
      <c r="P61" s="585">
        <f>SUM('Schedule 3B_Income_Eastern:Schedule 3D_Income_The Cape'!P61)</f>
        <v>0</v>
      </c>
      <c r="Q61" s="585">
        <f>SUM('Schedule 3B_Income_Eastern:Schedule 3D_Income_The Cape'!Q61)</f>
        <v>1149425.04</v>
      </c>
      <c r="R61" s="585">
        <f>SUM('Schedule 3B_Income_Eastern:Schedule 3D_Income_The Cape'!R61)</f>
        <v>0</v>
      </c>
      <c r="S61" s="585">
        <f>SUM('Schedule 3B_Income_Eastern:Schedule 3D_Income_The Cape'!S61)</f>
        <v>1066900.93</v>
      </c>
      <c r="T61" s="588">
        <f t="shared" si="90"/>
        <v>4322478.16</v>
      </c>
      <c r="U61" s="589">
        <f t="shared" si="91"/>
        <v>5373868.8800000008</v>
      </c>
      <c r="V61" s="933">
        <v>39</v>
      </c>
      <c r="W61" s="585">
        <f>SUM('Schedule 3B_Income_Eastern:Schedule 3D_Income_The Cape'!W61)</f>
        <v>1970.57</v>
      </c>
      <c r="X61" s="585">
        <f>SUM('Schedule 3B_Income_Eastern:Schedule 3D_Income_The Cape'!X61)</f>
        <v>40074.06</v>
      </c>
      <c r="Y61" s="585">
        <f>SUM('Schedule 3B_Income_Eastern:Schedule 3D_Income_The Cape'!Y61)</f>
        <v>1866.25</v>
      </c>
      <c r="Z61" s="585">
        <f>SUM('Schedule 3B_Income_Eastern:Schedule 3D_Income_The Cape'!Z61)</f>
        <v>37640.35</v>
      </c>
      <c r="AA61" s="585">
        <f>SUM('Schedule 3B_Income_Eastern:Schedule 3D_Income_The Cape'!AA61)</f>
        <v>2252.36</v>
      </c>
      <c r="AB61" s="585">
        <f>SUM('Schedule 3B_Income_Eastern:Schedule 3D_Income_The Cape'!AB61)</f>
        <v>38657.730000000003</v>
      </c>
      <c r="AC61" s="585">
        <f>SUM('Schedule 3B_Income_Eastern:Schedule 3D_Income_The Cape'!AC61)</f>
        <v>2164.2800000000002</v>
      </c>
      <c r="AD61" s="585">
        <f>SUM('Schedule 3B_Income_Eastern:Schedule 3D_Income_The Cape'!AD61)</f>
        <v>32425.920000000006</v>
      </c>
      <c r="AE61" s="586">
        <f t="shared" si="92"/>
        <v>157051.52000000002</v>
      </c>
      <c r="AF61" s="587">
        <f>SUM('Schedule 3B_Income_Eastern:Schedule 3D_Income_The Cape'!AF61)</f>
        <v>0</v>
      </c>
      <c r="AG61" s="585">
        <f>SUM('Schedule 3B_Income_Eastern:Schedule 3D_Income_The Cape'!AG61)</f>
        <v>199218.14999999997</v>
      </c>
      <c r="AH61" s="585">
        <f>SUM('Schedule 3B_Income_Eastern:Schedule 3D_Income_The Cape'!AH61)</f>
        <v>0</v>
      </c>
      <c r="AI61" s="585">
        <f>SUM('Schedule 3B_Income_Eastern:Schedule 3D_Income_The Cape'!AI61)</f>
        <v>191980.11</v>
      </c>
      <c r="AJ61" s="585">
        <f>SUM('Schedule 3B_Income_Eastern:Schedule 3D_Income_The Cape'!AJ61)</f>
        <v>0</v>
      </c>
      <c r="AK61" s="585">
        <f>SUM('Schedule 3B_Income_Eastern:Schedule 3D_Income_The Cape'!AK61)</f>
        <v>194040.57</v>
      </c>
      <c r="AL61" s="585">
        <f>SUM('Schedule 3B_Income_Eastern:Schedule 3D_Income_The Cape'!AL61)</f>
        <v>0</v>
      </c>
      <c r="AM61" s="585">
        <f>SUM('Schedule 3B_Income_Eastern:Schedule 3D_Income_The Cape'!AM61)</f>
        <v>207373.69999999998</v>
      </c>
      <c r="AN61" s="588">
        <f t="shared" si="93"/>
        <v>792612.52999999991</v>
      </c>
      <c r="AO61" s="589">
        <f t="shared" si="94"/>
        <v>949664.04999999993</v>
      </c>
      <c r="AP61" s="933">
        <v>39</v>
      </c>
      <c r="AQ61" s="585">
        <f>SUM('Schedule 3B_Income_Eastern:Schedule 3D_Income_The Cape'!AQ61)</f>
        <v>151064.49</v>
      </c>
      <c r="AR61" s="585">
        <f>SUM('Schedule 3B_Income_Eastern:Schedule 3D_Income_The Cape'!AR61)</f>
        <v>660432.99000000011</v>
      </c>
      <c r="AS61" s="585">
        <f>SUM('Schedule 3B_Income_Eastern:Schedule 3D_Income_The Cape'!AS61)</f>
        <v>156902.07</v>
      </c>
      <c r="AT61" s="585">
        <f>SUM('Schedule 3B_Income_Eastern:Schedule 3D_Income_The Cape'!AT61)</f>
        <v>675466.45000000007</v>
      </c>
      <c r="AU61" s="585">
        <f>SUM('Schedule 3B_Income_Eastern:Schedule 3D_Income_The Cape'!AU61)</f>
        <v>174032.34</v>
      </c>
      <c r="AV61" s="585">
        <f>SUM('Schedule 3B_Income_Eastern:Schedule 3D_Income_The Cape'!AV61)</f>
        <v>731218.92999999993</v>
      </c>
      <c r="AW61" s="585">
        <f>SUM('Schedule 3B_Income_Eastern:Schedule 3D_Income_The Cape'!AW61)</f>
        <v>159547.04</v>
      </c>
      <c r="AX61" s="585">
        <f>SUM('Schedule 3B_Income_Eastern:Schedule 3D_Income_The Cape'!AX61)</f>
        <v>636115.34</v>
      </c>
      <c r="AY61" s="586">
        <f t="shared" si="95"/>
        <v>3344779.65</v>
      </c>
      <c r="AZ61" s="587">
        <f>SUM('Schedule 3B_Income_Eastern:Schedule 3D_Income_The Cape'!AZ61)</f>
        <v>0</v>
      </c>
      <c r="BA61" s="585">
        <f>SUM('Schedule 3B_Income_Eastern:Schedule 3D_Income_The Cape'!BA61)</f>
        <v>2949586.33</v>
      </c>
      <c r="BB61" s="585">
        <f>SUM('Schedule 3B_Income_Eastern:Schedule 3D_Income_The Cape'!BB61)</f>
        <v>0</v>
      </c>
      <c r="BC61" s="585">
        <f>SUM('Schedule 3B_Income_Eastern:Schedule 3D_Income_The Cape'!BC61)</f>
        <v>3098335.26</v>
      </c>
      <c r="BD61" s="585">
        <f>SUM('Schedule 3B_Income_Eastern:Schedule 3D_Income_The Cape'!BD61)</f>
        <v>0</v>
      </c>
      <c r="BE61" s="585">
        <f>SUM('Schedule 3B_Income_Eastern:Schedule 3D_Income_The Cape'!BE61)</f>
        <v>3308468.9699999997</v>
      </c>
      <c r="BF61" s="585">
        <f>SUM('Schedule 3B_Income_Eastern:Schedule 3D_Income_The Cape'!BF61)</f>
        <v>0</v>
      </c>
      <c r="BG61" s="585">
        <f>SUM('Schedule 3B_Income_Eastern:Schedule 3D_Income_The Cape'!BG61)</f>
        <v>3644738.34</v>
      </c>
      <c r="BH61" s="588">
        <f t="shared" si="96"/>
        <v>13001128.899999999</v>
      </c>
      <c r="BI61" s="589">
        <f t="shared" si="97"/>
        <v>16345908.549999999</v>
      </c>
      <c r="BJ61" s="933">
        <v>39</v>
      </c>
      <c r="BK61" s="585">
        <f>SUM('Schedule 3B_Income_Eastern:Schedule 3D_Income_The Cape'!BK61)</f>
        <v>1520.4</v>
      </c>
      <c r="BL61" s="585">
        <f>SUM('Schedule 3B_Income_Eastern:Schedule 3D_Income_The Cape'!BL61)</f>
        <v>29789.68</v>
      </c>
      <c r="BM61" s="585">
        <f>SUM('Schedule 3B_Income_Eastern:Schedule 3D_Income_The Cape'!BM61)</f>
        <v>1500.5499999999997</v>
      </c>
      <c r="BN61" s="585">
        <f>SUM('Schedule 3B_Income_Eastern:Schedule 3D_Income_The Cape'!BN61)</f>
        <v>28741.56</v>
      </c>
      <c r="BO61" s="585">
        <f>SUM('Schedule 3B_Income_Eastern:Schedule 3D_Income_The Cape'!BO61)</f>
        <v>1771.2499999999998</v>
      </c>
      <c r="BP61" s="585">
        <f>SUM('Schedule 3B_Income_Eastern:Schedule 3D_Income_The Cape'!BP61)</f>
        <v>30727.569999999996</v>
      </c>
      <c r="BQ61" s="585">
        <f>SUM('Schedule 3B_Income_Eastern:Schedule 3D_Income_The Cape'!BQ61)</f>
        <v>1871.79</v>
      </c>
      <c r="BR61" s="585">
        <f>SUM('Schedule 3B_Income_Eastern:Schedule 3D_Income_The Cape'!BR61)</f>
        <v>28397.47</v>
      </c>
      <c r="BS61" s="586">
        <f t="shared" si="98"/>
        <v>124320.26999999999</v>
      </c>
      <c r="BT61" s="587">
        <f>SUM('Schedule 3B_Income_Eastern:Schedule 3D_Income_The Cape'!BT61)</f>
        <v>0</v>
      </c>
      <c r="BU61" s="585">
        <f>SUM('Schedule 3B_Income_Eastern:Schedule 3D_Income_The Cape'!BU61)</f>
        <v>110210.48999999999</v>
      </c>
      <c r="BV61" s="585">
        <f>SUM('Schedule 3B_Income_Eastern:Schedule 3D_Income_The Cape'!BV61)</f>
        <v>0</v>
      </c>
      <c r="BW61" s="585">
        <f>SUM('Schedule 3B_Income_Eastern:Schedule 3D_Income_The Cape'!BW61)</f>
        <v>111931.68</v>
      </c>
      <c r="BX61" s="585">
        <f>SUM('Schedule 3B_Income_Eastern:Schedule 3D_Income_The Cape'!BX61)</f>
        <v>0</v>
      </c>
      <c r="BY61" s="585">
        <f>SUM('Schedule 3B_Income_Eastern:Schedule 3D_Income_The Cape'!BY61)</f>
        <v>119430.26000000001</v>
      </c>
      <c r="BZ61" s="585">
        <f>SUM('Schedule 3B_Income_Eastern:Schedule 3D_Income_The Cape'!BZ61)</f>
        <v>0</v>
      </c>
      <c r="CA61" s="585">
        <f>SUM('Schedule 3B_Income_Eastern:Schedule 3D_Income_The Cape'!CA61)</f>
        <v>135013.42000000001</v>
      </c>
      <c r="CB61" s="588">
        <f t="shared" si="99"/>
        <v>476585.85</v>
      </c>
      <c r="CC61" s="589">
        <f t="shared" si="100"/>
        <v>600906.12</v>
      </c>
      <c r="CD61" s="933">
        <v>39</v>
      </c>
      <c r="CE61" s="414">
        <f t="shared" si="101"/>
        <v>1117210.44</v>
      </c>
      <c r="CF61" s="414">
        <f t="shared" si="102"/>
        <v>1207395.6300000001</v>
      </c>
      <c r="CG61" s="414">
        <f t="shared" si="103"/>
        <v>1277565.6300000001</v>
      </c>
      <c r="CH61" s="414">
        <f t="shared" si="104"/>
        <v>1075370.46</v>
      </c>
      <c r="CI61" s="416">
        <f t="shared" si="105"/>
        <v>4677542.16</v>
      </c>
      <c r="CJ61" s="414">
        <f t="shared" si="106"/>
        <v>4155842.09</v>
      </c>
      <c r="CK61" s="414">
        <f t="shared" si="107"/>
        <v>4611572.1199999992</v>
      </c>
      <c r="CL61" s="414">
        <f t="shared" si="108"/>
        <v>4771364.84</v>
      </c>
      <c r="CM61" s="414">
        <f t="shared" si="109"/>
        <v>5054026.3899999997</v>
      </c>
      <c r="CN61" s="416">
        <f t="shared" si="110"/>
        <v>18592805.440000001</v>
      </c>
      <c r="CO61" s="414">
        <f t="shared" si="111"/>
        <v>5273052.5300000012</v>
      </c>
      <c r="CP61" s="414">
        <f t="shared" si="112"/>
        <v>5818967.7499999991</v>
      </c>
      <c r="CQ61" s="414">
        <f t="shared" si="113"/>
        <v>6048930.4699999997</v>
      </c>
      <c r="CR61" s="414">
        <f t="shared" si="114"/>
        <v>6129396.8499999996</v>
      </c>
      <c r="CS61" s="416">
        <f t="shared" si="115"/>
        <v>23270347.600000001</v>
      </c>
      <c r="CU61" s="319"/>
      <c r="CW61" s="319"/>
    </row>
    <row r="62" spans="1:101" ht="15.75" customHeight="1">
      <c r="A62" s="932" t="s">
        <v>227</v>
      </c>
      <c r="B62" s="933">
        <v>40</v>
      </c>
      <c r="C62" s="585">
        <f>SUM('Schedule 3B_Income_Eastern:Schedule 3D_Income_The Cape'!C62)</f>
        <v>0</v>
      </c>
      <c r="D62" s="585">
        <f>SUM('Schedule 3B_Income_Eastern:Schedule 3D_Income_The Cape'!D62)</f>
        <v>0</v>
      </c>
      <c r="E62" s="585">
        <f>SUM('Schedule 3B_Income_Eastern:Schedule 3D_Income_The Cape'!E62)</f>
        <v>0</v>
      </c>
      <c r="F62" s="585">
        <f>SUM('Schedule 3B_Income_Eastern:Schedule 3D_Income_The Cape'!F62)</f>
        <v>0</v>
      </c>
      <c r="G62" s="585">
        <f>SUM('Schedule 3B_Income_Eastern:Schedule 3D_Income_The Cape'!G62)</f>
        <v>0</v>
      </c>
      <c r="H62" s="585">
        <f>SUM('Schedule 3B_Income_Eastern:Schedule 3D_Income_The Cape'!H62)</f>
        <v>0</v>
      </c>
      <c r="I62" s="585">
        <f>SUM('Schedule 3B_Income_Eastern:Schedule 3D_Income_The Cape'!I62)</f>
        <v>0</v>
      </c>
      <c r="J62" s="585">
        <f>SUM('Schedule 3B_Income_Eastern:Schedule 3D_Income_The Cape'!J62)</f>
        <v>0</v>
      </c>
      <c r="K62" s="586">
        <f t="shared" si="89"/>
        <v>0</v>
      </c>
      <c r="L62" s="587">
        <f>SUM('Schedule 3B_Income_Eastern:Schedule 3D_Income_The Cape'!L62)</f>
        <v>0</v>
      </c>
      <c r="M62" s="585">
        <f>SUM('Schedule 3B_Income_Eastern:Schedule 3D_Income_The Cape'!M62)</f>
        <v>0</v>
      </c>
      <c r="N62" s="585">
        <f>SUM('Schedule 3B_Income_Eastern:Schedule 3D_Income_The Cape'!N62)</f>
        <v>0</v>
      </c>
      <c r="O62" s="585">
        <f>SUM('Schedule 3B_Income_Eastern:Schedule 3D_Income_The Cape'!O62)</f>
        <v>0</v>
      </c>
      <c r="P62" s="585">
        <f>SUM('Schedule 3B_Income_Eastern:Schedule 3D_Income_The Cape'!P62)</f>
        <v>0</v>
      </c>
      <c r="Q62" s="585">
        <f>SUM('Schedule 3B_Income_Eastern:Schedule 3D_Income_The Cape'!Q62)</f>
        <v>0</v>
      </c>
      <c r="R62" s="585">
        <f>SUM('Schedule 3B_Income_Eastern:Schedule 3D_Income_The Cape'!R62)</f>
        <v>0</v>
      </c>
      <c r="S62" s="585">
        <f>SUM('Schedule 3B_Income_Eastern:Schedule 3D_Income_The Cape'!S62)</f>
        <v>0</v>
      </c>
      <c r="T62" s="588">
        <f t="shared" si="90"/>
        <v>0</v>
      </c>
      <c r="U62" s="589">
        <f t="shared" si="91"/>
        <v>0</v>
      </c>
      <c r="V62" s="933">
        <v>40</v>
      </c>
      <c r="W62" s="585">
        <f>SUM('Schedule 3B_Income_Eastern:Schedule 3D_Income_The Cape'!W62)</f>
        <v>0</v>
      </c>
      <c r="X62" s="585">
        <f>SUM('Schedule 3B_Income_Eastern:Schedule 3D_Income_The Cape'!X62)</f>
        <v>0</v>
      </c>
      <c r="Y62" s="585">
        <f>SUM('Schedule 3B_Income_Eastern:Schedule 3D_Income_The Cape'!Y62)</f>
        <v>0</v>
      </c>
      <c r="Z62" s="585">
        <f>SUM('Schedule 3B_Income_Eastern:Schedule 3D_Income_The Cape'!Z62)</f>
        <v>0</v>
      </c>
      <c r="AA62" s="585">
        <f>SUM('Schedule 3B_Income_Eastern:Schedule 3D_Income_The Cape'!AA62)</f>
        <v>0</v>
      </c>
      <c r="AB62" s="585">
        <f>SUM('Schedule 3B_Income_Eastern:Schedule 3D_Income_The Cape'!AB62)</f>
        <v>0</v>
      </c>
      <c r="AC62" s="585">
        <f>SUM('Schedule 3B_Income_Eastern:Schedule 3D_Income_The Cape'!AC62)</f>
        <v>0</v>
      </c>
      <c r="AD62" s="585">
        <f>SUM('Schedule 3B_Income_Eastern:Schedule 3D_Income_The Cape'!AD62)</f>
        <v>0</v>
      </c>
      <c r="AE62" s="586">
        <f t="shared" si="92"/>
        <v>0</v>
      </c>
      <c r="AF62" s="587">
        <f>SUM('Schedule 3B_Income_Eastern:Schedule 3D_Income_The Cape'!AF62)</f>
        <v>0</v>
      </c>
      <c r="AG62" s="585">
        <f>SUM('Schedule 3B_Income_Eastern:Schedule 3D_Income_The Cape'!AG62)</f>
        <v>0</v>
      </c>
      <c r="AH62" s="585">
        <f>SUM('Schedule 3B_Income_Eastern:Schedule 3D_Income_The Cape'!AH62)</f>
        <v>0</v>
      </c>
      <c r="AI62" s="585">
        <f>SUM('Schedule 3B_Income_Eastern:Schedule 3D_Income_The Cape'!AI62)</f>
        <v>0</v>
      </c>
      <c r="AJ62" s="585">
        <f>SUM('Schedule 3B_Income_Eastern:Schedule 3D_Income_The Cape'!AJ62)</f>
        <v>0</v>
      </c>
      <c r="AK62" s="585">
        <f>SUM('Schedule 3B_Income_Eastern:Schedule 3D_Income_The Cape'!AK62)</f>
        <v>0</v>
      </c>
      <c r="AL62" s="585">
        <f>SUM('Schedule 3B_Income_Eastern:Schedule 3D_Income_The Cape'!AL62)</f>
        <v>0</v>
      </c>
      <c r="AM62" s="585">
        <f>SUM('Schedule 3B_Income_Eastern:Schedule 3D_Income_The Cape'!AM62)</f>
        <v>0</v>
      </c>
      <c r="AN62" s="588">
        <f t="shared" si="93"/>
        <v>0</v>
      </c>
      <c r="AO62" s="589">
        <f t="shared" si="94"/>
        <v>0</v>
      </c>
      <c r="AP62" s="933">
        <v>40</v>
      </c>
      <c r="AQ62" s="585">
        <f>SUM('Schedule 3B_Income_Eastern:Schedule 3D_Income_The Cape'!AQ62)</f>
        <v>0</v>
      </c>
      <c r="AR62" s="585">
        <f>SUM('Schedule 3B_Income_Eastern:Schedule 3D_Income_The Cape'!AR62)</f>
        <v>0</v>
      </c>
      <c r="AS62" s="585">
        <f>SUM('Schedule 3B_Income_Eastern:Schedule 3D_Income_The Cape'!AS62)</f>
        <v>0</v>
      </c>
      <c r="AT62" s="585">
        <f>SUM('Schedule 3B_Income_Eastern:Schedule 3D_Income_The Cape'!AT62)</f>
        <v>0</v>
      </c>
      <c r="AU62" s="585">
        <f>SUM('Schedule 3B_Income_Eastern:Schedule 3D_Income_The Cape'!AU62)</f>
        <v>0</v>
      </c>
      <c r="AV62" s="585">
        <f>SUM('Schedule 3B_Income_Eastern:Schedule 3D_Income_The Cape'!AV62)</f>
        <v>0</v>
      </c>
      <c r="AW62" s="585">
        <f>SUM('Schedule 3B_Income_Eastern:Schedule 3D_Income_The Cape'!AW62)</f>
        <v>0</v>
      </c>
      <c r="AX62" s="585">
        <f>SUM('Schedule 3B_Income_Eastern:Schedule 3D_Income_The Cape'!AX62)</f>
        <v>0</v>
      </c>
      <c r="AY62" s="586">
        <f t="shared" si="95"/>
        <v>0</v>
      </c>
      <c r="AZ62" s="587">
        <f>SUM('Schedule 3B_Income_Eastern:Schedule 3D_Income_The Cape'!AZ62)</f>
        <v>0</v>
      </c>
      <c r="BA62" s="585">
        <f>SUM('Schedule 3B_Income_Eastern:Schedule 3D_Income_The Cape'!BA62)</f>
        <v>0</v>
      </c>
      <c r="BB62" s="585">
        <f>SUM('Schedule 3B_Income_Eastern:Schedule 3D_Income_The Cape'!BB62)</f>
        <v>0</v>
      </c>
      <c r="BC62" s="585">
        <f>SUM('Schedule 3B_Income_Eastern:Schedule 3D_Income_The Cape'!BC62)</f>
        <v>0</v>
      </c>
      <c r="BD62" s="585">
        <f>SUM('Schedule 3B_Income_Eastern:Schedule 3D_Income_The Cape'!BD62)</f>
        <v>0</v>
      </c>
      <c r="BE62" s="585">
        <f>SUM('Schedule 3B_Income_Eastern:Schedule 3D_Income_The Cape'!BE62)</f>
        <v>0</v>
      </c>
      <c r="BF62" s="585">
        <f>SUM('Schedule 3B_Income_Eastern:Schedule 3D_Income_The Cape'!BF62)</f>
        <v>0</v>
      </c>
      <c r="BG62" s="585">
        <f>SUM('Schedule 3B_Income_Eastern:Schedule 3D_Income_The Cape'!BG62)</f>
        <v>0</v>
      </c>
      <c r="BH62" s="588">
        <f t="shared" si="96"/>
        <v>0</v>
      </c>
      <c r="BI62" s="589">
        <f t="shared" si="97"/>
        <v>0</v>
      </c>
      <c r="BJ62" s="933">
        <v>40</v>
      </c>
      <c r="BK62" s="585">
        <f>SUM('Schedule 3B_Income_Eastern:Schedule 3D_Income_The Cape'!BK62)</f>
        <v>0</v>
      </c>
      <c r="BL62" s="585">
        <f>SUM('Schedule 3B_Income_Eastern:Schedule 3D_Income_The Cape'!BL62)</f>
        <v>0</v>
      </c>
      <c r="BM62" s="585">
        <f>SUM('Schedule 3B_Income_Eastern:Schedule 3D_Income_The Cape'!BM62)</f>
        <v>0</v>
      </c>
      <c r="BN62" s="585">
        <f>SUM('Schedule 3B_Income_Eastern:Schedule 3D_Income_The Cape'!BN62)</f>
        <v>0</v>
      </c>
      <c r="BO62" s="585">
        <f>SUM('Schedule 3B_Income_Eastern:Schedule 3D_Income_The Cape'!BO62)</f>
        <v>0</v>
      </c>
      <c r="BP62" s="585">
        <f>SUM('Schedule 3B_Income_Eastern:Schedule 3D_Income_The Cape'!BP62)</f>
        <v>0</v>
      </c>
      <c r="BQ62" s="585">
        <f>SUM('Schedule 3B_Income_Eastern:Schedule 3D_Income_The Cape'!BQ62)</f>
        <v>0</v>
      </c>
      <c r="BR62" s="585">
        <f>SUM('Schedule 3B_Income_Eastern:Schedule 3D_Income_The Cape'!BR62)</f>
        <v>0</v>
      </c>
      <c r="BS62" s="586">
        <f t="shared" si="98"/>
        <v>0</v>
      </c>
      <c r="BT62" s="587">
        <f>SUM('Schedule 3B_Income_Eastern:Schedule 3D_Income_The Cape'!BT62)</f>
        <v>0</v>
      </c>
      <c r="BU62" s="585">
        <f>SUM('Schedule 3B_Income_Eastern:Schedule 3D_Income_The Cape'!BU62)</f>
        <v>0</v>
      </c>
      <c r="BV62" s="585">
        <f>SUM('Schedule 3B_Income_Eastern:Schedule 3D_Income_The Cape'!BV62)</f>
        <v>0</v>
      </c>
      <c r="BW62" s="585">
        <f>SUM('Schedule 3B_Income_Eastern:Schedule 3D_Income_The Cape'!BW62)</f>
        <v>0</v>
      </c>
      <c r="BX62" s="585">
        <f>SUM('Schedule 3B_Income_Eastern:Schedule 3D_Income_The Cape'!BX62)</f>
        <v>0</v>
      </c>
      <c r="BY62" s="585">
        <f>SUM('Schedule 3B_Income_Eastern:Schedule 3D_Income_The Cape'!BY62)</f>
        <v>0</v>
      </c>
      <c r="BZ62" s="585">
        <f>SUM('Schedule 3B_Income_Eastern:Schedule 3D_Income_The Cape'!BZ62)</f>
        <v>0</v>
      </c>
      <c r="CA62" s="585">
        <f>SUM('Schedule 3B_Income_Eastern:Schedule 3D_Income_The Cape'!CA62)</f>
        <v>0</v>
      </c>
      <c r="CB62" s="588">
        <f t="shared" si="99"/>
        <v>0</v>
      </c>
      <c r="CC62" s="589">
        <f t="shared" si="100"/>
        <v>0</v>
      </c>
      <c r="CD62" s="933">
        <v>40</v>
      </c>
      <c r="CE62" s="414">
        <f t="shared" si="101"/>
        <v>0</v>
      </c>
      <c r="CF62" s="414">
        <f t="shared" si="102"/>
        <v>0</v>
      </c>
      <c r="CG62" s="414">
        <f t="shared" si="103"/>
        <v>0</v>
      </c>
      <c r="CH62" s="414">
        <f t="shared" si="104"/>
        <v>0</v>
      </c>
      <c r="CI62" s="416">
        <f t="shared" si="105"/>
        <v>0</v>
      </c>
      <c r="CJ62" s="414">
        <f t="shared" si="106"/>
        <v>0</v>
      </c>
      <c r="CK62" s="414">
        <f t="shared" si="107"/>
        <v>0</v>
      </c>
      <c r="CL62" s="414">
        <f t="shared" si="108"/>
        <v>0</v>
      </c>
      <c r="CM62" s="414">
        <f t="shared" si="109"/>
        <v>0</v>
      </c>
      <c r="CN62" s="416">
        <f t="shared" si="110"/>
        <v>0</v>
      </c>
      <c r="CO62" s="414">
        <f t="shared" si="111"/>
        <v>0</v>
      </c>
      <c r="CP62" s="414">
        <f t="shared" si="112"/>
        <v>0</v>
      </c>
      <c r="CQ62" s="414">
        <f t="shared" si="113"/>
        <v>0</v>
      </c>
      <c r="CR62" s="414">
        <f t="shared" si="114"/>
        <v>0</v>
      </c>
      <c r="CS62" s="416">
        <f t="shared" si="115"/>
        <v>0</v>
      </c>
      <c r="CV62" s="693"/>
    </row>
    <row r="63" spans="1:101" ht="15.75" customHeight="1">
      <c r="A63" s="932" t="s">
        <v>229</v>
      </c>
      <c r="B63" s="933">
        <v>41</v>
      </c>
      <c r="C63" s="585">
        <f>SUM('Schedule 3B_Income_Eastern:Schedule 3D_Income_The Cape'!C63)</f>
        <v>0</v>
      </c>
      <c r="D63" s="585">
        <f>SUM('Schedule 3B_Income_Eastern:Schedule 3D_Income_The Cape'!D63)</f>
        <v>0</v>
      </c>
      <c r="E63" s="585">
        <f>SUM('Schedule 3B_Income_Eastern:Schedule 3D_Income_The Cape'!E63)</f>
        <v>0</v>
      </c>
      <c r="F63" s="585">
        <f>SUM('Schedule 3B_Income_Eastern:Schedule 3D_Income_The Cape'!F63)</f>
        <v>0</v>
      </c>
      <c r="G63" s="585">
        <f>SUM('Schedule 3B_Income_Eastern:Schedule 3D_Income_The Cape'!G63)</f>
        <v>0</v>
      </c>
      <c r="H63" s="585">
        <f>SUM('Schedule 3B_Income_Eastern:Schedule 3D_Income_The Cape'!H63)</f>
        <v>0</v>
      </c>
      <c r="I63" s="585">
        <f>SUM('Schedule 3B_Income_Eastern:Schedule 3D_Income_The Cape'!I63)</f>
        <v>0</v>
      </c>
      <c r="J63" s="585">
        <f>SUM('Schedule 3B_Income_Eastern:Schedule 3D_Income_The Cape'!J63)</f>
        <v>0</v>
      </c>
      <c r="K63" s="586">
        <f t="shared" si="89"/>
        <v>0</v>
      </c>
      <c r="L63" s="587">
        <f>SUM('Schedule 3B_Income_Eastern:Schedule 3D_Income_The Cape'!L63)</f>
        <v>0</v>
      </c>
      <c r="M63" s="585">
        <f>SUM('Schedule 3B_Income_Eastern:Schedule 3D_Income_The Cape'!M63)</f>
        <v>0</v>
      </c>
      <c r="N63" s="585">
        <f>SUM('Schedule 3B_Income_Eastern:Schedule 3D_Income_The Cape'!N63)</f>
        <v>0</v>
      </c>
      <c r="O63" s="585">
        <f>SUM('Schedule 3B_Income_Eastern:Schedule 3D_Income_The Cape'!O63)</f>
        <v>0</v>
      </c>
      <c r="P63" s="585">
        <f>SUM('Schedule 3B_Income_Eastern:Schedule 3D_Income_The Cape'!P63)</f>
        <v>0</v>
      </c>
      <c r="Q63" s="585">
        <f>SUM('Schedule 3B_Income_Eastern:Schedule 3D_Income_The Cape'!Q63)</f>
        <v>0</v>
      </c>
      <c r="R63" s="585">
        <f>SUM('Schedule 3B_Income_Eastern:Schedule 3D_Income_The Cape'!R63)</f>
        <v>0</v>
      </c>
      <c r="S63" s="585">
        <f>SUM('Schedule 3B_Income_Eastern:Schedule 3D_Income_The Cape'!S63)</f>
        <v>0</v>
      </c>
      <c r="T63" s="588">
        <f t="shared" si="90"/>
        <v>0</v>
      </c>
      <c r="U63" s="589">
        <f t="shared" si="91"/>
        <v>0</v>
      </c>
      <c r="V63" s="933">
        <v>41</v>
      </c>
      <c r="W63" s="585">
        <f>SUM('Schedule 3B_Income_Eastern:Schedule 3D_Income_The Cape'!W63)</f>
        <v>0</v>
      </c>
      <c r="X63" s="585">
        <f>SUM('Schedule 3B_Income_Eastern:Schedule 3D_Income_The Cape'!X63)</f>
        <v>0</v>
      </c>
      <c r="Y63" s="585">
        <f>SUM('Schedule 3B_Income_Eastern:Schedule 3D_Income_The Cape'!Y63)</f>
        <v>0</v>
      </c>
      <c r="Z63" s="585">
        <f>SUM('Schedule 3B_Income_Eastern:Schedule 3D_Income_The Cape'!Z63)</f>
        <v>0</v>
      </c>
      <c r="AA63" s="585">
        <f>SUM('Schedule 3B_Income_Eastern:Schedule 3D_Income_The Cape'!AA63)</f>
        <v>0</v>
      </c>
      <c r="AB63" s="585">
        <f>SUM('Schedule 3B_Income_Eastern:Schedule 3D_Income_The Cape'!AB63)</f>
        <v>0</v>
      </c>
      <c r="AC63" s="585">
        <f>SUM('Schedule 3B_Income_Eastern:Schedule 3D_Income_The Cape'!AC63)</f>
        <v>0</v>
      </c>
      <c r="AD63" s="585">
        <f>SUM('Schedule 3B_Income_Eastern:Schedule 3D_Income_The Cape'!AD63)</f>
        <v>0</v>
      </c>
      <c r="AE63" s="586">
        <f t="shared" si="92"/>
        <v>0</v>
      </c>
      <c r="AF63" s="587">
        <f>SUM('Schedule 3B_Income_Eastern:Schedule 3D_Income_The Cape'!AF63)</f>
        <v>0</v>
      </c>
      <c r="AG63" s="585">
        <f>SUM('Schedule 3B_Income_Eastern:Schedule 3D_Income_The Cape'!AG63)</f>
        <v>0</v>
      </c>
      <c r="AH63" s="585">
        <f>SUM('Schedule 3B_Income_Eastern:Schedule 3D_Income_The Cape'!AH63)</f>
        <v>0</v>
      </c>
      <c r="AI63" s="585">
        <f>SUM('Schedule 3B_Income_Eastern:Schedule 3D_Income_The Cape'!AI63)</f>
        <v>0</v>
      </c>
      <c r="AJ63" s="585">
        <f>SUM('Schedule 3B_Income_Eastern:Schedule 3D_Income_The Cape'!AJ63)</f>
        <v>0</v>
      </c>
      <c r="AK63" s="585">
        <f>SUM('Schedule 3B_Income_Eastern:Schedule 3D_Income_The Cape'!AK63)</f>
        <v>0</v>
      </c>
      <c r="AL63" s="585">
        <f>SUM('Schedule 3B_Income_Eastern:Schedule 3D_Income_The Cape'!AL63)</f>
        <v>0</v>
      </c>
      <c r="AM63" s="585">
        <f>SUM('Schedule 3B_Income_Eastern:Schedule 3D_Income_The Cape'!AM63)</f>
        <v>0</v>
      </c>
      <c r="AN63" s="588">
        <f t="shared" si="93"/>
        <v>0</v>
      </c>
      <c r="AO63" s="589">
        <f t="shared" si="94"/>
        <v>0</v>
      </c>
      <c r="AP63" s="933">
        <v>41</v>
      </c>
      <c r="AQ63" s="585">
        <f>SUM('Schedule 3B_Income_Eastern:Schedule 3D_Income_The Cape'!AQ63)</f>
        <v>0</v>
      </c>
      <c r="AR63" s="585">
        <f>SUM('Schedule 3B_Income_Eastern:Schedule 3D_Income_The Cape'!AR63)</f>
        <v>0</v>
      </c>
      <c r="AS63" s="585">
        <f>SUM('Schedule 3B_Income_Eastern:Schedule 3D_Income_The Cape'!AS63)</f>
        <v>0</v>
      </c>
      <c r="AT63" s="585">
        <f>SUM('Schedule 3B_Income_Eastern:Schedule 3D_Income_The Cape'!AT63)</f>
        <v>0</v>
      </c>
      <c r="AU63" s="585">
        <f>SUM('Schedule 3B_Income_Eastern:Schedule 3D_Income_The Cape'!AU63)</f>
        <v>0</v>
      </c>
      <c r="AV63" s="585">
        <f>SUM('Schedule 3B_Income_Eastern:Schedule 3D_Income_The Cape'!AV63)</f>
        <v>0</v>
      </c>
      <c r="AW63" s="585">
        <f>SUM('Schedule 3B_Income_Eastern:Schedule 3D_Income_The Cape'!AW63)</f>
        <v>0</v>
      </c>
      <c r="AX63" s="585">
        <f>SUM('Schedule 3B_Income_Eastern:Schedule 3D_Income_The Cape'!AX63)</f>
        <v>0</v>
      </c>
      <c r="AY63" s="586">
        <f t="shared" si="95"/>
        <v>0</v>
      </c>
      <c r="AZ63" s="587">
        <f>SUM('Schedule 3B_Income_Eastern:Schedule 3D_Income_The Cape'!AZ63)</f>
        <v>0</v>
      </c>
      <c r="BA63" s="585">
        <f>SUM('Schedule 3B_Income_Eastern:Schedule 3D_Income_The Cape'!BA63)</f>
        <v>0</v>
      </c>
      <c r="BB63" s="585">
        <f>SUM('Schedule 3B_Income_Eastern:Schedule 3D_Income_The Cape'!BB63)</f>
        <v>0</v>
      </c>
      <c r="BC63" s="585">
        <f>SUM('Schedule 3B_Income_Eastern:Schedule 3D_Income_The Cape'!BC63)</f>
        <v>0</v>
      </c>
      <c r="BD63" s="585">
        <f>SUM('Schedule 3B_Income_Eastern:Schedule 3D_Income_The Cape'!BD63)</f>
        <v>0</v>
      </c>
      <c r="BE63" s="585">
        <f>SUM('Schedule 3B_Income_Eastern:Schedule 3D_Income_The Cape'!BE63)</f>
        <v>0</v>
      </c>
      <c r="BF63" s="585">
        <f>SUM('Schedule 3B_Income_Eastern:Schedule 3D_Income_The Cape'!BF63)</f>
        <v>0</v>
      </c>
      <c r="BG63" s="585">
        <f>SUM('Schedule 3B_Income_Eastern:Schedule 3D_Income_The Cape'!BG63)</f>
        <v>0</v>
      </c>
      <c r="BH63" s="588">
        <f t="shared" si="96"/>
        <v>0</v>
      </c>
      <c r="BI63" s="589">
        <f t="shared" si="97"/>
        <v>0</v>
      </c>
      <c r="BJ63" s="933">
        <v>41</v>
      </c>
      <c r="BK63" s="585">
        <f>SUM('Schedule 3B_Income_Eastern:Schedule 3D_Income_The Cape'!BK63)</f>
        <v>0</v>
      </c>
      <c r="BL63" s="585">
        <f>SUM('Schedule 3B_Income_Eastern:Schedule 3D_Income_The Cape'!BL63)</f>
        <v>0</v>
      </c>
      <c r="BM63" s="585">
        <f>SUM('Schedule 3B_Income_Eastern:Schedule 3D_Income_The Cape'!BM63)</f>
        <v>0</v>
      </c>
      <c r="BN63" s="585">
        <f>SUM('Schedule 3B_Income_Eastern:Schedule 3D_Income_The Cape'!BN63)</f>
        <v>0</v>
      </c>
      <c r="BO63" s="585">
        <f>SUM('Schedule 3B_Income_Eastern:Schedule 3D_Income_The Cape'!BO63)</f>
        <v>0</v>
      </c>
      <c r="BP63" s="585">
        <f>SUM('Schedule 3B_Income_Eastern:Schedule 3D_Income_The Cape'!BP63)</f>
        <v>0</v>
      </c>
      <c r="BQ63" s="585">
        <f>SUM('Schedule 3B_Income_Eastern:Schedule 3D_Income_The Cape'!BQ63)</f>
        <v>0</v>
      </c>
      <c r="BR63" s="585">
        <f>SUM('Schedule 3B_Income_Eastern:Schedule 3D_Income_The Cape'!BR63)</f>
        <v>0</v>
      </c>
      <c r="BS63" s="586">
        <f t="shared" si="98"/>
        <v>0</v>
      </c>
      <c r="BT63" s="587">
        <f>SUM('Schedule 3B_Income_Eastern:Schedule 3D_Income_The Cape'!BT63)</f>
        <v>0</v>
      </c>
      <c r="BU63" s="585">
        <f>SUM('Schedule 3B_Income_Eastern:Schedule 3D_Income_The Cape'!BU63)</f>
        <v>0</v>
      </c>
      <c r="BV63" s="585">
        <f>SUM('Schedule 3B_Income_Eastern:Schedule 3D_Income_The Cape'!BV63)</f>
        <v>0</v>
      </c>
      <c r="BW63" s="585">
        <f>SUM('Schedule 3B_Income_Eastern:Schedule 3D_Income_The Cape'!BW63)</f>
        <v>0</v>
      </c>
      <c r="BX63" s="585">
        <f>SUM('Schedule 3B_Income_Eastern:Schedule 3D_Income_The Cape'!BX63)</f>
        <v>0</v>
      </c>
      <c r="BY63" s="585">
        <f>SUM('Schedule 3B_Income_Eastern:Schedule 3D_Income_The Cape'!BY63)</f>
        <v>0</v>
      </c>
      <c r="BZ63" s="585">
        <f>SUM('Schedule 3B_Income_Eastern:Schedule 3D_Income_The Cape'!BZ63)</f>
        <v>0</v>
      </c>
      <c r="CA63" s="585">
        <f>SUM('Schedule 3B_Income_Eastern:Schedule 3D_Income_The Cape'!CA63)</f>
        <v>0</v>
      </c>
      <c r="CB63" s="588">
        <f t="shared" si="99"/>
        <v>0</v>
      </c>
      <c r="CC63" s="589">
        <f t="shared" si="100"/>
        <v>0</v>
      </c>
      <c r="CD63" s="933">
        <v>41</v>
      </c>
      <c r="CE63" s="414">
        <f t="shared" si="101"/>
        <v>0</v>
      </c>
      <c r="CF63" s="414">
        <f t="shared" si="102"/>
        <v>0</v>
      </c>
      <c r="CG63" s="414">
        <f t="shared" si="103"/>
        <v>0</v>
      </c>
      <c r="CH63" s="414">
        <f t="shared" si="104"/>
        <v>0</v>
      </c>
      <c r="CI63" s="416">
        <f t="shared" si="105"/>
        <v>0</v>
      </c>
      <c r="CJ63" s="414">
        <f t="shared" si="106"/>
        <v>0</v>
      </c>
      <c r="CK63" s="414">
        <f t="shared" si="107"/>
        <v>0</v>
      </c>
      <c r="CL63" s="414">
        <f t="shared" si="108"/>
        <v>0</v>
      </c>
      <c r="CM63" s="414">
        <f t="shared" si="109"/>
        <v>0</v>
      </c>
      <c r="CN63" s="416">
        <f t="shared" si="110"/>
        <v>0</v>
      </c>
      <c r="CO63" s="414">
        <f t="shared" si="111"/>
        <v>0</v>
      </c>
      <c r="CP63" s="414">
        <f t="shared" si="112"/>
        <v>0</v>
      </c>
      <c r="CQ63" s="414">
        <f t="shared" si="113"/>
        <v>0</v>
      </c>
      <c r="CR63" s="414">
        <f t="shared" si="114"/>
        <v>0</v>
      </c>
      <c r="CS63" s="416">
        <f t="shared" si="115"/>
        <v>0</v>
      </c>
      <c r="CV63" s="693"/>
    </row>
    <row r="64" spans="1:101" ht="15.75" customHeight="1">
      <c r="A64" s="932" t="s">
        <v>231</v>
      </c>
      <c r="B64" s="933">
        <v>42</v>
      </c>
      <c r="C64" s="585">
        <f>SUM('Schedule 3B_Income_Eastern:Schedule 3D_Income_The Cape'!C64)</f>
        <v>0</v>
      </c>
      <c r="D64" s="585">
        <f>SUM('Schedule 3B_Income_Eastern:Schedule 3D_Income_The Cape'!D64)</f>
        <v>0</v>
      </c>
      <c r="E64" s="585">
        <f>SUM('Schedule 3B_Income_Eastern:Schedule 3D_Income_The Cape'!E64)</f>
        <v>0</v>
      </c>
      <c r="F64" s="585">
        <f>SUM('Schedule 3B_Income_Eastern:Schedule 3D_Income_The Cape'!F64)</f>
        <v>0</v>
      </c>
      <c r="G64" s="585">
        <f>SUM('Schedule 3B_Income_Eastern:Schedule 3D_Income_The Cape'!G64)</f>
        <v>0</v>
      </c>
      <c r="H64" s="585">
        <f>SUM('Schedule 3B_Income_Eastern:Schedule 3D_Income_The Cape'!H64)</f>
        <v>0</v>
      </c>
      <c r="I64" s="585">
        <f>SUM('Schedule 3B_Income_Eastern:Schedule 3D_Income_The Cape'!I64)</f>
        <v>0</v>
      </c>
      <c r="J64" s="585">
        <f>SUM('Schedule 3B_Income_Eastern:Schedule 3D_Income_The Cape'!J64)</f>
        <v>0</v>
      </c>
      <c r="K64" s="586">
        <f t="shared" ref="K64" si="149">SUM(C64:J64)</f>
        <v>0</v>
      </c>
      <c r="L64" s="587">
        <f>SUM('Schedule 3B_Income_Eastern:Schedule 3D_Income_The Cape'!L64)</f>
        <v>0</v>
      </c>
      <c r="M64" s="585">
        <f>SUM('Schedule 3B_Income_Eastern:Schedule 3D_Income_The Cape'!M64)</f>
        <v>0</v>
      </c>
      <c r="N64" s="585">
        <f>SUM('Schedule 3B_Income_Eastern:Schedule 3D_Income_The Cape'!N64)</f>
        <v>0</v>
      </c>
      <c r="O64" s="585">
        <f>SUM('Schedule 3B_Income_Eastern:Schedule 3D_Income_The Cape'!O64)</f>
        <v>0</v>
      </c>
      <c r="P64" s="585">
        <f>SUM('Schedule 3B_Income_Eastern:Schedule 3D_Income_The Cape'!P64)</f>
        <v>0</v>
      </c>
      <c r="Q64" s="585">
        <f>SUM('Schedule 3B_Income_Eastern:Schedule 3D_Income_The Cape'!Q64)</f>
        <v>0</v>
      </c>
      <c r="R64" s="585">
        <f>SUM('Schedule 3B_Income_Eastern:Schedule 3D_Income_The Cape'!R64)</f>
        <v>0</v>
      </c>
      <c r="S64" s="585">
        <f>SUM('Schedule 3B_Income_Eastern:Schedule 3D_Income_The Cape'!S64)</f>
        <v>0</v>
      </c>
      <c r="T64" s="588">
        <f t="shared" ref="T64" si="150">SUM(L64:S64)</f>
        <v>0</v>
      </c>
      <c r="U64" s="589">
        <f t="shared" ref="U64" si="151">SUM(T64,K64)</f>
        <v>0</v>
      </c>
      <c r="V64" s="933">
        <v>42</v>
      </c>
      <c r="W64" s="585">
        <f>SUM('Schedule 3B_Income_Eastern:Schedule 3D_Income_The Cape'!W64)</f>
        <v>0</v>
      </c>
      <c r="X64" s="585">
        <f>SUM('Schedule 3B_Income_Eastern:Schedule 3D_Income_The Cape'!X64)</f>
        <v>0</v>
      </c>
      <c r="Y64" s="585">
        <f>SUM('Schedule 3B_Income_Eastern:Schedule 3D_Income_The Cape'!Y64)</f>
        <v>0</v>
      </c>
      <c r="Z64" s="585">
        <f>SUM('Schedule 3B_Income_Eastern:Schedule 3D_Income_The Cape'!Z64)</f>
        <v>0</v>
      </c>
      <c r="AA64" s="585">
        <f>SUM('Schedule 3B_Income_Eastern:Schedule 3D_Income_The Cape'!AA64)</f>
        <v>0</v>
      </c>
      <c r="AB64" s="585">
        <f>SUM('Schedule 3B_Income_Eastern:Schedule 3D_Income_The Cape'!AB64)</f>
        <v>0</v>
      </c>
      <c r="AC64" s="585">
        <f>SUM('Schedule 3B_Income_Eastern:Schedule 3D_Income_The Cape'!AC64)</f>
        <v>0</v>
      </c>
      <c r="AD64" s="585">
        <f>SUM('Schedule 3B_Income_Eastern:Schedule 3D_Income_The Cape'!AD64)</f>
        <v>0</v>
      </c>
      <c r="AE64" s="586">
        <f t="shared" ref="AE64" si="152">SUM(W64:AD64)</f>
        <v>0</v>
      </c>
      <c r="AF64" s="587">
        <f>SUM('Schedule 3B_Income_Eastern:Schedule 3D_Income_The Cape'!AF64)</f>
        <v>0</v>
      </c>
      <c r="AG64" s="585">
        <f>SUM('Schedule 3B_Income_Eastern:Schedule 3D_Income_The Cape'!AG64)</f>
        <v>0</v>
      </c>
      <c r="AH64" s="585">
        <f>SUM('Schedule 3B_Income_Eastern:Schedule 3D_Income_The Cape'!AH64)</f>
        <v>0</v>
      </c>
      <c r="AI64" s="585">
        <f>SUM('Schedule 3B_Income_Eastern:Schedule 3D_Income_The Cape'!AI64)</f>
        <v>0</v>
      </c>
      <c r="AJ64" s="585">
        <f>SUM('Schedule 3B_Income_Eastern:Schedule 3D_Income_The Cape'!AJ64)</f>
        <v>0</v>
      </c>
      <c r="AK64" s="585">
        <f>SUM('Schedule 3B_Income_Eastern:Schedule 3D_Income_The Cape'!AK64)</f>
        <v>0</v>
      </c>
      <c r="AL64" s="585">
        <f>SUM('Schedule 3B_Income_Eastern:Schedule 3D_Income_The Cape'!AL64)</f>
        <v>0</v>
      </c>
      <c r="AM64" s="585">
        <f>SUM('Schedule 3B_Income_Eastern:Schedule 3D_Income_The Cape'!AM64)</f>
        <v>0</v>
      </c>
      <c r="AN64" s="588">
        <f t="shared" ref="AN64" si="153">SUM(AF64:AM64)</f>
        <v>0</v>
      </c>
      <c r="AO64" s="589">
        <f t="shared" ref="AO64" si="154">SUM(AN64,AE64)</f>
        <v>0</v>
      </c>
      <c r="AP64" s="933">
        <v>42</v>
      </c>
      <c r="AQ64" s="585">
        <f>SUM('Schedule 3B_Income_Eastern:Schedule 3D_Income_The Cape'!AQ64)</f>
        <v>0</v>
      </c>
      <c r="AR64" s="585">
        <f>SUM('Schedule 3B_Income_Eastern:Schedule 3D_Income_The Cape'!AR64)</f>
        <v>0</v>
      </c>
      <c r="AS64" s="585">
        <f>SUM('Schedule 3B_Income_Eastern:Schedule 3D_Income_The Cape'!AS64)</f>
        <v>0</v>
      </c>
      <c r="AT64" s="585">
        <f>SUM('Schedule 3B_Income_Eastern:Schedule 3D_Income_The Cape'!AT64)</f>
        <v>0</v>
      </c>
      <c r="AU64" s="585">
        <f>SUM('Schedule 3B_Income_Eastern:Schedule 3D_Income_The Cape'!AU64)</f>
        <v>0</v>
      </c>
      <c r="AV64" s="585">
        <f>SUM('Schedule 3B_Income_Eastern:Schedule 3D_Income_The Cape'!AV64)</f>
        <v>0</v>
      </c>
      <c r="AW64" s="585">
        <f>SUM('Schedule 3B_Income_Eastern:Schedule 3D_Income_The Cape'!AW64)</f>
        <v>0</v>
      </c>
      <c r="AX64" s="585">
        <f>SUM('Schedule 3B_Income_Eastern:Schedule 3D_Income_The Cape'!AX64)</f>
        <v>0</v>
      </c>
      <c r="AY64" s="586">
        <f t="shared" ref="AY64" si="155">SUM(AQ64:AX64)</f>
        <v>0</v>
      </c>
      <c r="AZ64" s="587">
        <f>SUM('Schedule 3B_Income_Eastern:Schedule 3D_Income_The Cape'!AZ64)</f>
        <v>0</v>
      </c>
      <c r="BA64" s="585">
        <f>SUM('Schedule 3B_Income_Eastern:Schedule 3D_Income_The Cape'!BA64)</f>
        <v>0</v>
      </c>
      <c r="BB64" s="585">
        <f>SUM('Schedule 3B_Income_Eastern:Schedule 3D_Income_The Cape'!BB64)</f>
        <v>0</v>
      </c>
      <c r="BC64" s="585">
        <f>SUM('Schedule 3B_Income_Eastern:Schedule 3D_Income_The Cape'!BC64)</f>
        <v>0</v>
      </c>
      <c r="BD64" s="585">
        <f>SUM('Schedule 3B_Income_Eastern:Schedule 3D_Income_The Cape'!BD64)</f>
        <v>0</v>
      </c>
      <c r="BE64" s="585">
        <f>SUM('Schedule 3B_Income_Eastern:Schedule 3D_Income_The Cape'!BE64)</f>
        <v>0</v>
      </c>
      <c r="BF64" s="585">
        <f>SUM('Schedule 3B_Income_Eastern:Schedule 3D_Income_The Cape'!BF64)</f>
        <v>0</v>
      </c>
      <c r="BG64" s="585">
        <f>SUM('Schedule 3B_Income_Eastern:Schedule 3D_Income_The Cape'!BG64)</f>
        <v>0</v>
      </c>
      <c r="BH64" s="588">
        <f t="shared" ref="BH64" si="156">SUM(AZ64:BG64)</f>
        <v>0</v>
      </c>
      <c r="BI64" s="589">
        <f t="shared" ref="BI64" si="157">SUM(BH64,AY64)</f>
        <v>0</v>
      </c>
      <c r="BJ64" s="933">
        <v>42</v>
      </c>
      <c r="BK64" s="585">
        <f>SUM('Schedule 3B_Income_Eastern:Schedule 3D_Income_The Cape'!BK64)</f>
        <v>0</v>
      </c>
      <c r="BL64" s="585">
        <f>SUM('Schedule 3B_Income_Eastern:Schedule 3D_Income_The Cape'!BL64)</f>
        <v>0</v>
      </c>
      <c r="BM64" s="585">
        <f>SUM('Schedule 3B_Income_Eastern:Schedule 3D_Income_The Cape'!BM64)</f>
        <v>0</v>
      </c>
      <c r="BN64" s="585">
        <f>SUM('Schedule 3B_Income_Eastern:Schedule 3D_Income_The Cape'!BN64)</f>
        <v>0</v>
      </c>
      <c r="BO64" s="585">
        <f>SUM('Schedule 3B_Income_Eastern:Schedule 3D_Income_The Cape'!BO64)</f>
        <v>0</v>
      </c>
      <c r="BP64" s="585">
        <f>SUM('Schedule 3B_Income_Eastern:Schedule 3D_Income_The Cape'!BP64)</f>
        <v>0</v>
      </c>
      <c r="BQ64" s="585">
        <f>SUM('Schedule 3B_Income_Eastern:Schedule 3D_Income_The Cape'!BQ64)</f>
        <v>0</v>
      </c>
      <c r="BR64" s="585">
        <f>SUM('Schedule 3B_Income_Eastern:Schedule 3D_Income_The Cape'!BR64)</f>
        <v>0</v>
      </c>
      <c r="BS64" s="586">
        <f t="shared" ref="BS64" si="158">SUM(BK64:BR64)</f>
        <v>0</v>
      </c>
      <c r="BT64" s="587">
        <f>SUM('Schedule 3B_Income_Eastern:Schedule 3D_Income_The Cape'!BT64)</f>
        <v>0</v>
      </c>
      <c r="BU64" s="585">
        <f>SUM('Schedule 3B_Income_Eastern:Schedule 3D_Income_The Cape'!BU64)</f>
        <v>0</v>
      </c>
      <c r="BV64" s="585">
        <f>SUM('Schedule 3B_Income_Eastern:Schedule 3D_Income_The Cape'!BV64)</f>
        <v>0</v>
      </c>
      <c r="BW64" s="585">
        <f>SUM('Schedule 3B_Income_Eastern:Schedule 3D_Income_The Cape'!BW64)</f>
        <v>0</v>
      </c>
      <c r="BX64" s="585">
        <f>SUM('Schedule 3B_Income_Eastern:Schedule 3D_Income_The Cape'!BX64)</f>
        <v>0</v>
      </c>
      <c r="BY64" s="585">
        <f>SUM('Schedule 3B_Income_Eastern:Schedule 3D_Income_The Cape'!BY64)</f>
        <v>0</v>
      </c>
      <c r="BZ64" s="585">
        <f>SUM('Schedule 3B_Income_Eastern:Schedule 3D_Income_The Cape'!BZ64)</f>
        <v>0</v>
      </c>
      <c r="CA64" s="585">
        <f>SUM('Schedule 3B_Income_Eastern:Schedule 3D_Income_The Cape'!CA64)</f>
        <v>0</v>
      </c>
      <c r="CB64" s="588">
        <f t="shared" ref="CB64" si="159">SUM(BT64:CA64)</f>
        <v>0</v>
      </c>
      <c r="CC64" s="589">
        <f t="shared" ref="CC64" si="160">SUM(CB64,BS64)</f>
        <v>0</v>
      </c>
      <c r="CD64" s="933">
        <v>42</v>
      </c>
      <c r="CE64" s="414">
        <f t="shared" si="101"/>
        <v>0</v>
      </c>
      <c r="CF64" s="414">
        <f t="shared" si="102"/>
        <v>0</v>
      </c>
      <c r="CG64" s="414">
        <f t="shared" si="103"/>
        <v>0</v>
      </c>
      <c r="CH64" s="414">
        <f t="shared" si="104"/>
        <v>0</v>
      </c>
      <c r="CI64" s="416">
        <f t="shared" si="105"/>
        <v>0</v>
      </c>
      <c r="CJ64" s="414">
        <f t="shared" si="106"/>
        <v>0</v>
      </c>
      <c r="CK64" s="414">
        <f t="shared" si="107"/>
        <v>0</v>
      </c>
      <c r="CL64" s="414">
        <f t="shared" si="108"/>
        <v>0</v>
      </c>
      <c r="CM64" s="414">
        <f t="shared" si="109"/>
        <v>0</v>
      </c>
      <c r="CN64" s="416">
        <f t="shared" si="110"/>
        <v>0</v>
      </c>
      <c r="CO64" s="414">
        <f t="shared" si="111"/>
        <v>0</v>
      </c>
      <c r="CP64" s="414">
        <f t="shared" si="112"/>
        <v>0</v>
      </c>
      <c r="CQ64" s="414">
        <f t="shared" si="113"/>
        <v>0</v>
      </c>
      <c r="CR64" s="414">
        <f t="shared" si="114"/>
        <v>0</v>
      </c>
      <c r="CS64" s="416">
        <f t="shared" si="115"/>
        <v>0</v>
      </c>
    </row>
    <row r="65" spans="1:100" ht="15.75" customHeight="1">
      <c r="A65" s="932"/>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00" s="318" customFormat="1" ht="15.75" customHeight="1">
      <c r="A66" s="262" t="s">
        <v>233</v>
      </c>
      <c r="B66" s="933">
        <v>43</v>
      </c>
      <c r="C66" s="216">
        <f>SUM(C35:C64)-C44-C46</f>
        <v>1518852.0649242115</v>
      </c>
      <c r="D66" s="216">
        <f t="shared" ref="D66:U66" si="161">SUM(D35:D64)-D44-D46</f>
        <v>4024000.3143087365</v>
      </c>
      <c r="E66" s="216">
        <f t="shared" si="161"/>
        <v>3197108.7167003187</v>
      </c>
      <c r="F66" s="216">
        <f t="shared" si="161"/>
        <v>6723909.2442772193</v>
      </c>
      <c r="G66" s="216">
        <f t="shared" si="161"/>
        <v>2954847.3633130393</v>
      </c>
      <c r="H66" s="216">
        <f t="shared" si="161"/>
        <v>6223547.8026055926</v>
      </c>
      <c r="I66" s="216">
        <f t="shared" si="161"/>
        <v>2267280.9406382306</v>
      </c>
      <c r="J66" s="216">
        <f t="shared" si="161"/>
        <v>3929075.606745848</v>
      </c>
      <c r="K66" s="216">
        <f t="shared" si="161"/>
        <v>30838622.053513188</v>
      </c>
      <c r="L66" s="216">
        <f t="shared" si="161"/>
        <v>0</v>
      </c>
      <c r="M66" s="216">
        <f t="shared" si="161"/>
        <v>5489074.4711875981</v>
      </c>
      <c r="N66" s="216">
        <f t="shared" si="161"/>
        <v>0</v>
      </c>
      <c r="O66" s="216">
        <f t="shared" si="161"/>
        <v>10952778.335036876</v>
      </c>
      <c r="P66" s="216">
        <f t="shared" si="161"/>
        <v>0</v>
      </c>
      <c r="Q66" s="216">
        <f t="shared" si="161"/>
        <v>9723109.3215038776</v>
      </c>
      <c r="R66" s="216">
        <f t="shared" si="161"/>
        <v>0</v>
      </c>
      <c r="S66" s="216">
        <f t="shared" si="161"/>
        <v>8734282.3006867375</v>
      </c>
      <c r="T66" s="216">
        <f t="shared" si="161"/>
        <v>34899244.42841509</v>
      </c>
      <c r="U66" s="216">
        <f t="shared" si="161"/>
        <v>65737866.481928281</v>
      </c>
      <c r="V66" s="933">
        <v>43</v>
      </c>
      <c r="W66" s="216">
        <f>SUM(W35:W64)-W44-W46</f>
        <v>186572.19770848064</v>
      </c>
      <c r="X66" s="216">
        <f t="shared" ref="X66:AO66" si="162">SUM(X35:X64)-X44-X46</f>
        <v>885928.90149481571</v>
      </c>
      <c r="Y66" s="216">
        <f t="shared" si="162"/>
        <v>111326.82859838557</v>
      </c>
      <c r="Z66" s="216">
        <f t="shared" si="162"/>
        <v>625078.4983052914</v>
      </c>
      <c r="AA66" s="216">
        <f t="shared" si="162"/>
        <v>144855.9988296568</v>
      </c>
      <c r="AB66" s="216">
        <f t="shared" si="162"/>
        <v>669176.50359673868</v>
      </c>
      <c r="AC66" s="216">
        <f t="shared" si="162"/>
        <v>232435.24504981941</v>
      </c>
      <c r="AD66" s="216">
        <f t="shared" si="162"/>
        <v>496601.38902140671</v>
      </c>
      <c r="AE66" s="216">
        <f t="shared" si="162"/>
        <v>3351975.562604595</v>
      </c>
      <c r="AF66" s="216">
        <f t="shared" si="162"/>
        <v>0</v>
      </c>
      <c r="AG66" s="216">
        <f t="shared" si="162"/>
        <v>2139000.2684848909</v>
      </c>
      <c r="AH66" s="216">
        <f t="shared" si="162"/>
        <v>0</v>
      </c>
      <c r="AI66" s="216">
        <f t="shared" si="162"/>
        <v>2069791.27912726</v>
      </c>
      <c r="AJ66" s="216">
        <f t="shared" si="162"/>
        <v>0</v>
      </c>
      <c r="AK66" s="216">
        <f t="shared" si="162"/>
        <v>1907258.2912977317</v>
      </c>
      <c r="AL66" s="216">
        <f t="shared" si="162"/>
        <v>0</v>
      </c>
      <c r="AM66" s="216">
        <f t="shared" si="162"/>
        <v>2311917.913054076</v>
      </c>
      <c r="AN66" s="216">
        <f t="shared" si="162"/>
        <v>8427967.7519639544</v>
      </c>
      <c r="AO66" s="216">
        <f t="shared" si="162"/>
        <v>11779943.314568557</v>
      </c>
      <c r="AP66" s="933">
        <v>43</v>
      </c>
      <c r="AQ66" s="216">
        <f>SUM(AQ35:AQ64)-AQ44-AQ46</f>
        <v>21962816.563583791</v>
      </c>
      <c r="AR66" s="216">
        <f t="shared" ref="AR66:BI66" si="163">SUM(AR35:AR64)-AR44-AR46</f>
        <v>49950146.644931518</v>
      </c>
      <c r="AS66" s="216">
        <f t="shared" si="163"/>
        <v>20787757.868392631</v>
      </c>
      <c r="AT66" s="216">
        <f t="shared" si="163"/>
        <v>47746405.687559761</v>
      </c>
      <c r="AU66" s="216">
        <f t="shared" si="163"/>
        <v>23323110.360500611</v>
      </c>
      <c r="AV66" s="216">
        <f t="shared" si="163"/>
        <v>52904379.003762543</v>
      </c>
      <c r="AW66" s="216">
        <f t="shared" si="163"/>
        <v>28090595.627519451</v>
      </c>
      <c r="AX66" s="216">
        <f t="shared" si="163"/>
        <v>56080427.767247722</v>
      </c>
      <c r="AY66" s="216">
        <f t="shared" si="163"/>
        <v>300845639.523498</v>
      </c>
      <c r="AZ66" s="216">
        <f t="shared" si="163"/>
        <v>0</v>
      </c>
      <c r="BA66" s="216">
        <f t="shared" si="163"/>
        <v>41979854.859687984</v>
      </c>
      <c r="BB66" s="216">
        <f t="shared" si="163"/>
        <v>0</v>
      </c>
      <c r="BC66" s="216">
        <f t="shared" si="163"/>
        <v>42837673.386144362</v>
      </c>
      <c r="BD66" s="216">
        <f t="shared" si="163"/>
        <v>0</v>
      </c>
      <c r="BE66" s="216">
        <f t="shared" si="163"/>
        <v>45647001.207918011</v>
      </c>
      <c r="BF66" s="216">
        <f t="shared" si="163"/>
        <v>0</v>
      </c>
      <c r="BG66" s="216">
        <f t="shared" si="163"/>
        <v>51459031.824262023</v>
      </c>
      <c r="BH66" s="216">
        <f t="shared" si="163"/>
        <v>181923561.27801239</v>
      </c>
      <c r="BI66" s="216">
        <f t="shared" si="163"/>
        <v>482769200.80151051</v>
      </c>
      <c r="BJ66" s="933">
        <v>43</v>
      </c>
      <c r="BK66" s="216">
        <f>SUM(BK35:BK64)-BK44-BK46</f>
        <v>643912.57005408721</v>
      </c>
      <c r="BL66" s="216">
        <f t="shared" ref="BL66:CC66" si="164">SUM(BL35:BL64)-BL44-BL46</f>
        <v>6203045.0917485636</v>
      </c>
      <c r="BM66" s="216">
        <f t="shared" si="164"/>
        <v>505270.5678331824</v>
      </c>
      <c r="BN66" s="216">
        <f t="shared" si="164"/>
        <v>4772320.621613414</v>
      </c>
      <c r="BO66" s="216">
        <f t="shared" si="164"/>
        <v>529273.29392180487</v>
      </c>
      <c r="BP66" s="216">
        <f t="shared" si="164"/>
        <v>5207560.7611623313</v>
      </c>
      <c r="BQ66" s="216">
        <f t="shared" si="164"/>
        <v>686803.32907397347</v>
      </c>
      <c r="BR66" s="216">
        <f t="shared" si="164"/>
        <v>5529163.0753114913</v>
      </c>
      <c r="BS66" s="216">
        <f t="shared" si="164"/>
        <v>24077349.310718849</v>
      </c>
      <c r="BT66" s="216">
        <f t="shared" si="164"/>
        <v>0</v>
      </c>
      <c r="BU66" s="216">
        <f t="shared" si="164"/>
        <v>2222985.2450313792</v>
      </c>
      <c r="BV66" s="216">
        <f t="shared" si="164"/>
        <v>0</v>
      </c>
      <c r="BW66" s="216">
        <f t="shared" si="164"/>
        <v>3107452.3809564644</v>
      </c>
      <c r="BX66" s="216">
        <f t="shared" si="164"/>
        <v>0</v>
      </c>
      <c r="BY66" s="216">
        <f t="shared" si="164"/>
        <v>2588362.1507742964</v>
      </c>
      <c r="BZ66" s="216">
        <f t="shared" si="164"/>
        <v>0</v>
      </c>
      <c r="CA66" s="216">
        <f t="shared" si="164"/>
        <v>2811028.8814480579</v>
      </c>
      <c r="CB66" s="216">
        <f t="shared" si="164"/>
        <v>10729828.658210196</v>
      </c>
      <c r="CC66" s="216">
        <f t="shared" si="164"/>
        <v>34807177.968929037</v>
      </c>
      <c r="CD66" s="933">
        <v>43</v>
      </c>
      <c r="CE66" s="219">
        <f t="shared" ref="CE66:CH66" si="165">SUM(CE35:CE64)-CE44-CE46</f>
        <v>85375274.348754212</v>
      </c>
      <c r="CF66" s="219">
        <f t="shared" si="165"/>
        <v>84469178.033280179</v>
      </c>
      <c r="CG66" s="219">
        <f t="shared" si="165"/>
        <v>91956751.087692305</v>
      </c>
      <c r="CH66" s="219">
        <f t="shared" si="165"/>
        <v>97312382.980607912</v>
      </c>
      <c r="CI66" s="216">
        <f>SUM(BS66,AY66,AE66,K66)</f>
        <v>359113586.45033461</v>
      </c>
      <c r="CJ66" s="219">
        <f t="shared" ref="CJ66:CM66" si="166">SUM(CJ35:CJ64)-CJ44-CJ46</f>
        <v>51830914.844391845</v>
      </c>
      <c r="CK66" s="219">
        <f t="shared" si="166"/>
        <v>58967695.381264962</v>
      </c>
      <c r="CL66" s="219">
        <f t="shared" si="166"/>
        <v>59865730.97149393</v>
      </c>
      <c r="CM66" s="219">
        <f t="shared" si="166"/>
        <v>65316260.919450864</v>
      </c>
      <c r="CN66" s="216">
        <f>SUM(BX66,BD66,AJ66,P66)</f>
        <v>0</v>
      </c>
      <c r="CO66" s="219">
        <f t="shared" ref="CO66:CR66" si="167">SUM(CO35:CO64)-CO44-CO46</f>
        <v>137206189.19314605</v>
      </c>
      <c r="CP66" s="219">
        <f t="shared" si="167"/>
        <v>143436873.41454515</v>
      </c>
      <c r="CQ66" s="219">
        <f t="shared" si="167"/>
        <v>151822482.05918619</v>
      </c>
      <c r="CR66" s="219">
        <f t="shared" si="167"/>
        <v>162628643.90005881</v>
      </c>
      <c r="CS66" s="216">
        <f>SUM(CC66,BI66,AO66,U66)</f>
        <v>595094188.56693637</v>
      </c>
      <c r="CU66" s="694"/>
      <c r="CV66" s="690"/>
    </row>
    <row r="67" spans="1:100" ht="15.75" customHeight="1">
      <c r="A67" s="896"/>
      <c r="B67" s="933"/>
      <c r="C67" s="104"/>
      <c r="D67" s="104"/>
      <c r="E67" s="104"/>
      <c r="F67" s="104"/>
      <c r="G67" s="104"/>
      <c r="H67" s="104"/>
      <c r="I67" s="104"/>
      <c r="J67" s="104"/>
      <c r="K67" s="375"/>
      <c r="L67" s="376"/>
      <c r="M67" s="104"/>
      <c r="N67" s="104"/>
      <c r="O67" s="104"/>
      <c r="P67" s="104"/>
      <c r="Q67" s="104"/>
      <c r="R67" s="104"/>
      <c r="S67" s="104"/>
      <c r="T67" s="104"/>
      <c r="U67" s="377"/>
      <c r="V67" s="933"/>
      <c r="W67" s="104"/>
      <c r="X67" s="104"/>
      <c r="Y67" s="104"/>
      <c r="Z67" s="104"/>
      <c r="AA67" s="104"/>
      <c r="AB67" s="104"/>
      <c r="AC67" s="104"/>
      <c r="AD67" s="104"/>
      <c r="AE67" s="375"/>
      <c r="AF67" s="376"/>
      <c r="AG67" s="104"/>
      <c r="AH67" s="104"/>
      <c r="AI67" s="104"/>
      <c r="AJ67" s="104"/>
      <c r="AK67" s="104"/>
      <c r="AL67" s="104"/>
      <c r="AM67" s="104"/>
      <c r="AN67" s="104"/>
      <c r="AO67" s="377"/>
      <c r="AP67" s="933"/>
      <c r="AQ67" s="104"/>
      <c r="AR67" s="104"/>
      <c r="AS67" s="104"/>
      <c r="AT67" s="104"/>
      <c r="AU67" s="104"/>
      <c r="AV67" s="104"/>
      <c r="AW67" s="104"/>
      <c r="AX67" s="104"/>
      <c r="AY67" s="375"/>
      <c r="AZ67" s="376"/>
      <c r="BA67" s="104"/>
      <c r="BB67" s="104"/>
      <c r="BC67" s="104"/>
      <c r="BD67" s="104"/>
      <c r="BE67" s="104"/>
      <c r="BF67" s="104"/>
      <c r="BG67" s="104"/>
      <c r="BH67" s="104"/>
      <c r="BI67" s="377"/>
      <c r="BJ67" s="933"/>
      <c r="BK67" s="104"/>
      <c r="BL67" s="104"/>
      <c r="BM67" s="104"/>
      <c r="BN67" s="104"/>
      <c r="BO67" s="104"/>
      <c r="BP67" s="104"/>
      <c r="BQ67" s="104"/>
      <c r="BR67" s="104"/>
      <c r="BS67" s="375"/>
      <c r="BT67" s="376"/>
      <c r="BU67" s="104"/>
      <c r="BV67" s="104"/>
      <c r="BW67" s="104"/>
      <c r="BX67" s="104"/>
      <c r="BY67" s="104"/>
      <c r="BZ67" s="104"/>
      <c r="CA67" s="104"/>
      <c r="CB67" s="104"/>
      <c r="CC67" s="377"/>
      <c r="CD67" s="933"/>
      <c r="CE67" s="178"/>
      <c r="CF67" s="178"/>
      <c r="CG67" s="178"/>
      <c r="CH67" s="178"/>
      <c r="CI67" s="419"/>
      <c r="CJ67" s="178"/>
      <c r="CK67" s="178"/>
      <c r="CL67" s="178"/>
      <c r="CM67" s="178"/>
      <c r="CN67" s="419"/>
      <c r="CO67" s="178"/>
      <c r="CP67" s="178"/>
      <c r="CQ67" s="178"/>
      <c r="CR67" s="178"/>
      <c r="CS67" s="419"/>
    </row>
    <row r="68" spans="1:100" ht="15.75" customHeight="1">
      <c r="A68" s="262"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00" ht="15.75" customHeight="1">
      <c r="A69" s="932" t="s">
        <v>236</v>
      </c>
      <c r="B69" s="933">
        <v>44</v>
      </c>
      <c r="C69" s="585">
        <f>SUM('Schedule 3B_Income_Eastern:Schedule 3D_Income_The Cape'!C69)</f>
        <v>6427.7363342411954</v>
      </c>
      <c r="D69" s="585">
        <f>SUM('Schedule 3B_Income_Eastern:Schedule 3D_Income_The Cape'!D69)</f>
        <v>13476.588150391048</v>
      </c>
      <c r="E69" s="585">
        <f>SUM('Schedule 3B_Income_Eastern:Schedule 3D_Income_The Cape'!E69)</f>
        <v>6872.52200911001</v>
      </c>
      <c r="F69" s="585">
        <f>SUM('Schedule 3B_Income_Eastern:Schedule 3D_Income_The Cape'!F69)</f>
        <v>14392.03559363227</v>
      </c>
      <c r="G69" s="585">
        <f>SUM('Schedule 3B_Income_Eastern:Schedule 3D_Income_The Cape'!G69)</f>
        <v>7045.4818388309377</v>
      </c>
      <c r="H69" s="585">
        <f>SUM('Schedule 3B_Income_Eastern:Schedule 3D_Income_The Cape'!H69)</f>
        <v>14913.191853167435</v>
      </c>
      <c r="I69" s="585">
        <f>SUM('Schedule 3B_Income_Eastern:Schedule 3D_Income_The Cape'!I69)</f>
        <v>7019.5894103826731</v>
      </c>
      <c r="J69" s="585">
        <f>SUM('Schedule 3B_Income_Eastern:Schedule 3D_Income_The Cape'!J69)</f>
        <v>14371.389024125207</v>
      </c>
      <c r="K69" s="586">
        <f>SUM(C69:J69)</f>
        <v>84518.534213880775</v>
      </c>
      <c r="L69" s="587">
        <f>SUM('Schedule 3B_Income_Eastern:Schedule 3D_Income_The Cape'!L69)</f>
        <v>0</v>
      </c>
      <c r="M69" s="585">
        <f>SUM('Schedule 3B_Income_Eastern:Schedule 3D_Income_The Cape'!M69)</f>
        <v>24108.242812228189</v>
      </c>
      <c r="N69" s="585">
        <f>SUM('Schedule 3B_Income_Eastern:Schedule 3D_Income_The Cape'!N69)</f>
        <v>0</v>
      </c>
      <c r="O69" s="585">
        <f>SUM('Schedule 3B_Income_Eastern:Schedule 3D_Income_The Cape'!O69)</f>
        <v>23464.096609495646</v>
      </c>
      <c r="P69" s="585">
        <f>SUM('Schedule 3B_Income_Eastern:Schedule 3D_Income_The Cape'!P69)</f>
        <v>0</v>
      </c>
      <c r="Q69" s="585">
        <f>SUM('Schedule 3B_Income_Eastern:Schedule 3D_Income_The Cape'!Q69)</f>
        <v>25439.991247211929</v>
      </c>
      <c r="R69" s="585">
        <f>SUM('Schedule 3B_Income_Eastern:Schedule 3D_Income_The Cape'!R69)</f>
        <v>0</v>
      </c>
      <c r="S69" s="585">
        <f>SUM('Schedule 3B_Income_Eastern:Schedule 3D_Income_The Cape'!S69)</f>
        <v>24427.455698047088</v>
      </c>
      <c r="T69" s="588">
        <f>SUM(L69:S69)</f>
        <v>97439.786366982851</v>
      </c>
      <c r="U69" s="589">
        <f>SUM(T69,K69)</f>
        <v>181958.32058086363</v>
      </c>
      <c r="V69" s="933">
        <v>44</v>
      </c>
      <c r="W69" s="585">
        <f>SUM('Schedule 3B_Income_Eastern:Schedule 3D_Income_The Cape'!W69)</f>
        <v>1037.6785774387085</v>
      </c>
      <c r="X69" s="585">
        <f>SUM('Schedule 3B_Income_Eastern:Schedule 3D_Income_The Cape'!X69)</f>
        <v>6962.4910086855707</v>
      </c>
      <c r="Y69" s="585">
        <f>SUM('Schedule 3B_Income_Eastern:Schedule 3D_Income_The Cape'!Y69)</f>
        <v>1063.2228953757078</v>
      </c>
      <c r="Z69" s="585">
        <f>SUM('Schedule 3B_Income_Eastern:Schedule 3D_Income_The Cape'!Z69)</f>
        <v>6872.6068108423751</v>
      </c>
      <c r="AA69" s="585">
        <f>SUM('Schedule 3B_Income_Eastern:Schedule 3D_Income_The Cape'!AA69)</f>
        <v>1044.042902137616</v>
      </c>
      <c r="AB69" s="585">
        <f>SUM('Schedule 3B_Income_Eastern:Schedule 3D_Income_The Cape'!AB69)</f>
        <v>6843.6283236327308</v>
      </c>
      <c r="AC69" s="585">
        <f>SUM('Schedule 3B_Income_Eastern:Schedule 3D_Income_The Cape'!AC69)</f>
        <v>1117.4480421355252</v>
      </c>
      <c r="AD69" s="585">
        <f>SUM('Schedule 3B_Income_Eastern:Schedule 3D_Income_The Cape'!AD69)</f>
        <v>6746.7828603280386</v>
      </c>
      <c r="AE69" s="586">
        <f>SUM(W69:AD69)</f>
        <v>31687.901420576276</v>
      </c>
      <c r="AF69" s="587">
        <f>SUM('Schedule 3B_Income_Eastern:Schedule 3D_Income_The Cape'!AF69)</f>
        <v>0</v>
      </c>
      <c r="AG69" s="585">
        <f>SUM('Schedule 3B_Income_Eastern:Schedule 3D_Income_The Cape'!AG69)</f>
        <v>7936.3627529330333</v>
      </c>
      <c r="AH69" s="585">
        <f>SUM('Schedule 3B_Income_Eastern:Schedule 3D_Income_The Cape'!AH69)</f>
        <v>0</v>
      </c>
      <c r="AI69" s="585">
        <f>SUM('Schedule 3B_Income_Eastern:Schedule 3D_Income_The Cape'!AI69)</f>
        <v>7079.5786571524131</v>
      </c>
      <c r="AJ69" s="585">
        <f>SUM('Schedule 3B_Income_Eastern:Schedule 3D_Income_The Cape'!AJ69)</f>
        <v>0</v>
      </c>
      <c r="AK69" s="585">
        <f>SUM('Schedule 3B_Income_Eastern:Schedule 3D_Income_The Cape'!AK69)</f>
        <v>7447.346632034838</v>
      </c>
      <c r="AL69" s="585">
        <f>SUM('Schedule 3B_Income_Eastern:Schedule 3D_Income_The Cape'!AL69)</f>
        <v>0</v>
      </c>
      <c r="AM69" s="585">
        <f>SUM('Schedule 3B_Income_Eastern:Schedule 3D_Income_The Cape'!AM69)</f>
        <v>7249.3521092303654</v>
      </c>
      <c r="AN69" s="588">
        <f>SUM(AF69:AM69)</f>
        <v>29712.64015135065</v>
      </c>
      <c r="AO69" s="589">
        <f>SUM(AN69,AE69)</f>
        <v>61400.541571926922</v>
      </c>
      <c r="AP69" s="933">
        <v>44</v>
      </c>
      <c r="AQ69" s="585">
        <f>SUM('Schedule 3B_Income_Eastern:Schedule 3D_Income_The Cape'!AQ69)</f>
        <v>114863.88953866494</v>
      </c>
      <c r="AR69" s="585">
        <f>SUM('Schedule 3B_Income_Eastern:Schedule 3D_Income_The Cape'!AR69)</f>
        <v>271264.9437844794</v>
      </c>
      <c r="AS69" s="585">
        <f>SUM('Schedule 3B_Income_Eastern:Schedule 3D_Income_The Cape'!AS69)</f>
        <v>126964.96082902307</v>
      </c>
      <c r="AT69" s="585">
        <f>SUM('Schedule 3B_Income_Eastern:Schedule 3D_Income_The Cape'!AT69)</f>
        <v>294802.50194009062</v>
      </c>
      <c r="AU69" s="585">
        <f>SUM('Schedule 3B_Income_Eastern:Schedule 3D_Income_The Cape'!AU69)</f>
        <v>132407.26742954817</v>
      </c>
      <c r="AV69" s="585">
        <f>SUM('Schedule 3B_Income_Eastern:Schedule 3D_Income_The Cape'!AV69)</f>
        <v>307879.98380946775</v>
      </c>
      <c r="AW69" s="585">
        <f>SUM('Schedule 3B_Income_Eastern:Schedule 3D_Income_The Cape'!AW69)</f>
        <v>139101.86561010024</v>
      </c>
      <c r="AX69" s="585">
        <f>SUM('Schedule 3B_Income_Eastern:Schedule 3D_Income_The Cape'!AX69)</f>
        <v>305855.43800843594</v>
      </c>
      <c r="AY69" s="586">
        <f>SUM(AQ69:AX69)</f>
        <v>1693140.8509498104</v>
      </c>
      <c r="AZ69" s="587">
        <f>SUM('Schedule 3B_Income_Eastern:Schedule 3D_Income_The Cape'!AZ69)</f>
        <v>0</v>
      </c>
      <c r="BA69" s="585">
        <f>SUM('Schedule 3B_Income_Eastern:Schedule 3D_Income_The Cape'!BA69)</f>
        <v>182775.28513337532</v>
      </c>
      <c r="BB69" s="585">
        <f>SUM('Schedule 3B_Income_Eastern:Schedule 3D_Income_The Cape'!BB69)</f>
        <v>0</v>
      </c>
      <c r="BC69" s="585">
        <f>SUM('Schedule 3B_Income_Eastern:Schedule 3D_Income_The Cape'!BC69)</f>
        <v>161689.49860518842</v>
      </c>
      <c r="BD69" s="585">
        <f>SUM('Schedule 3B_Income_Eastern:Schedule 3D_Income_The Cape'!BD69)</f>
        <v>0</v>
      </c>
      <c r="BE69" s="585">
        <f>SUM('Schedule 3B_Income_Eastern:Schedule 3D_Income_The Cape'!BE69)</f>
        <v>184290.03028268612</v>
      </c>
      <c r="BF69" s="585">
        <f>SUM('Schedule 3B_Income_Eastern:Schedule 3D_Income_The Cape'!BF69)</f>
        <v>0</v>
      </c>
      <c r="BG69" s="585">
        <f>SUM('Schedule 3B_Income_Eastern:Schedule 3D_Income_The Cape'!BG69)</f>
        <v>178639.33361091194</v>
      </c>
      <c r="BH69" s="588">
        <f>SUM(AZ69:BG69)</f>
        <v>707394.14763216185</v>
      </c>
      <c r="BI69" s="589">
        <f>SUM(BH69,AY69)</f>
        <v>2400534.998581972</v>
      </c>
      <c r="BJ69" s="933">
        <v>44</v>
      </c>
      <c r="BK69" s="585">
        <f>SUM('Schedule 3B_Income_Eastern:Schedule 3D_Income_The Cape'!BK69)</f>
        <v>2447.6563411321722</v>
      </c>
      <c r="BL69" s="585">
        <f>SUM('Schedule 3B_Income_Eastern:Schedule 3D_Income_The Cape'!BL69)</f>
        <v>28088.045001804727</v>
      </c>
      <c r="BM69" s="585">
        <f>SUM('Schedule 3B_Income_Eastern:Schedule 3D_Income_The Cape'!BM69)</f>
        <v>2409.8345383171099</v>
      </c>
      <c r="BN69" s="585">
        <f>SUM('Schedule 3B_Income_Eastern:Schedule 3D_Income_The Cape'!BN69)</f>
        <v>27590.123584497836</v>
      </c>
      <c r="BO69" s="585">
        <f>SUM('Schedule 3B_Income_Eastern:Schedule 3D_Income_The Cape'!BO69)</f>
        <v>2402.5061429611414</v>
      </c>
      <c r="BP69" s="585">
        <f>SUM('Schedule 3B_Income_Eastern:Schedule 3D_Income_The Cape'!BP69)</f>
        <v>26618.878077991751</v>
      </c>
      <c r="BQ69" s="585">
        <f>SUM('Schedule 3B_Income_Eastern:Schedule 3D_Income_The Cape'!BQ69)</f>
        <v>2531.4012813108238</v>
      </c>
      <c r="BR69" s="585">
        <f>SUM('Schedule 3B_Income_Eastern:Schedule 3D_Income_The Cape'!BR69)</f>
        <v>26525.029830122054</v>
      </c>
      <c r="BS69" s="586">
        <f>SUM(BK69:BR69)</f>
        <v>118613.47479813761</v>
      </c>
      <c r="BT69" s="587">
        <f>SUM('Schedule 3B_Income_Eastern:Schedule 3D_Income_The Cape'!BT69)</f>
        <v>0</v>
      </c>
      <c r="BU69" s="585">
        <f>SUM('Schedule 3B_Income_Eastern:Schedule 3D_Income_The Cape'!BU69)</f>
        <v>7144.5852095876908</v>
      </c>
      <c r="BV69" s="585">
        <f>SUM('Schedule 3B_Income_Eastern:Schedule 3D_Income_The Cape'!BV69)</f>
        <v>0</v>
      </c>
      <c r="BW69" s="585">
        <f>SUM('Schedule 3B_Income_Eastern:Schedule 3D_Income_The Cape'!BW69)</f>
        <v>6789.2311272743373</v>
      </c>
      <c r="BX69" s="585">
        <f>SUM('Schedule 3B_Income_Eastern:Schedule 3D_Income_The Cape'!BX69)</f>
        <v>0</v>
      </c>
      <c r="BY69" s="585">
        <f>SUM('Schedule 3B_Income_Eastern:Schedule 3D_Income_The Cape'!BY69)</f>
        <v>7248.9901403296553</v>
      </c>
      <c r="BZ69" s="585">
        <f>SUM('Schedule 3B_Income_Eastern:Schedule 3D_Income_The Cape'!BZ69)</f>
        <v>0</v>
      </c>
      <c r="CA69" s="585">
        <f>SUM('Schedule 3B_Income_Eastern:Schedule 3D_Income_The Cape'!CA69)</f>
        <v>7899.5134204120804</v>
      </c>
      <c r="CB69" s="588">
        <f>SUM(BT69:CA69)</f>
        <v>29082.319897603764</v>
      </c>
      <c r="CC69" s="589">
        <f>SUM(CB69,BS69)</f>
        <v>147695.79469574138</v>
      </c>
      <c r="CD69" s="933">
        <v>44</v>
      </c>
      <c r="CE69" s="414">
        <f t="shared" ref="CE69:CE71" si="168">+C69+D69+W69+X69+AQ69+AR69+BK69+BL69</f>
        <v>444569.02873683773</v>
      </c>
      <c r="CF69" s="414">
        <f t="shared" ref="CF69:CF71" si="169">+E69+F69+Y69+Z69+AS69+AT69+BM69+BN69</f>
        <v>480967.80820088898</v>
      </c>
      <c r="CG69" s="414">
        <f t="shared" ref="CG69:CG71" si="170">+G69+H69+AA69+AB69+AU69+AV69+BO69+BP69</f>
        <v>499154.98037773761</v>
      </c>
      <c r="CH69" s="414">
        <f t="shared" ref="CH69:CH71" si="171">+I69+J69+AC69+AD69+AW69+AX69+BQ69+BR69</f>
        <v>503268.94406694052</v>
      </c>
      <c r="CI69" s="416">
        <f t="shared" ref="CI69:CI71" si="172">SUM(K69,AE69,AY69,BS69)</f>
        <v>1927960.7613824049</v>
      </c>
      <c r="CJ69" s="414">
        <f t="shared" ref="CJ69:CJ71" si="173">L69+M69+AF69+AG69+AZ69+BA69+BT69+BU69</f>
        <v>221964.47590812424</v>
      </c>
      <c r="CK69" s="414">
        <f t="shared" ref="CK69:CK71" si="174">N69+O69+AH69+AI69+BB69+BC69+BV69+BW69</f>
        <v>199022.40499911082</v>
      </c>
      <c r="CL69" s="414">
        <f t="shared" ref="CL69:CL71" si="175">P69+Q69+AJ69+AK69+BD69+BE69+BX69+BY69</f>
        <v>224426.35830226255</v>
      </c>
      <c r="CM69" s="414">
        <f t="shared" ref="CM69:CM71" si="176">+R69+S69+AL69+AM69+BF69+BG69+BZ69+CA69</f>
        <v>218215.65483860148</v>
      </c>
      <c r="CN69" s="416">
        <f t="shared" ref="CN69:CN71" si="177">SUM(T69,AN69,BH69,CB69)</f>
        <v>863628.89404809906</v>
      </c>
      <c r="CO69" s="414">
        <f t="shared" ref="CO69:CO71" si="178">+C69+D69+L69+M69+W69+X69+AF69+AG69+AQ69+AR69+AZ69+BA69+BK69+BL69+BT69+BU69</f>
        <v>666533.50464496191</v>
      </c>
      <c r="CP69" s="414">
        <f t="shared" ref="CP69:CP71" si="179">+E69+F69+N69+O69+Y69+Z69+AH69+AI69+AS69+AT69+BB69+BC69+BM69+BN69+BV69+BW69</f>
        <v>679990.21319999977</v>
      </c>
      <c r="CQ69" s="414">
        <f t="shared" ref="CQ69:CQ71" si="180">+G69+H69+P69+Q69+AA69+AB69+AJ69+AK69+AU69+AV69+BD69+BE69+BO69+BP69+BX69+BY69</f>
        <v>723581.33868000016</v>
      </c>
      <c r="CR69" s="414">
        <f t="shared" ref="CR69:CR71" si="181">+I69+J69+R69+S69+AC69+AD69+AL69+AM69+AW69+AX69+BF69+BG69+BQ69+BR69+BZ69+CA69</f>
        <v>721484.59890554193</v>
      </c>
      <c r="CS69" s="416">
        <f t="shared" ref="CS69:CS71" si="182">SUM(CC69,BI69,AO69,U69)</f>
        <v>2791589.6554305041</v>
      </c>
    </row>
    <row r="70" spans="1:100" ht="15.75" customHeight="1">
      <c r="A70" s="932" t="s">
        <v>238</v>
      </c>
      <c r="B70" s="933">
        <v>45</v>
      </c>
      <c r="C70" s="585">
        <f t="shared" ref="C70" si="183">IF(ABS(C62)&lt;C83, -C62, C83)</f>
        <v>0</v>
      </c>
      <c r="D70" s="585">
        <f t="shared" ref="D70:J70" si="184">IF(ABS(D62)&lt;D83, -D62, D83)</f>
        <v>0</v>
      </c>
      <c r="E70" s="585">
        <f t="shared" si="184"/>
        <v>0</v>
      </c>
      <c r="F70" s="585">
        <f t="shared" si="184"/>
        <v>0</v>
      </c>
      <c r="G70" s="585">
        <f t="shared" si="184"/>
        <v>0</v>
      </c>
      <c r="H70" s="585">
        <f t="shared" si="184"/>
        <v>0</v>
      </c>
      <c r="I70" s="585">
        <f t="shared" si="184"/>
        <v>0</v>
      </c>
      <c r="J70" s="585">
        <f t="shared" si="184"/>
        <v>0</v>
      </c>
      <c r="K70" s="586">
        <f t="shared" ref="K70" si="185">SUM(C70:J70)</f>
        <v>0</v>
      </c>
      <c r="L70" s="587">
        <f t="shared" ref="L70:S70" si="186">IF(ABS(L62)&lt;L83, -L62, L83)</f>
        <v>0</v>
      </c>
      <c r="M70" s="585">
        <f t="shared" si="186"/>
        <v>0</v>
      </c>
      <c r="N70" s="585">
        <f t="shared" si="186"/>
        <v>0</v>
      </c>
      <c r="O70" s="585">
        <f t="shared" si="186"/>
        <v>0</v>
      </c>
      <c r="P70" s="585">
        <f t="shared" si="186"/>
        <v>0</v>
      </c>
      <c r="Q70" s="585">
        <f t="shared" si="186"/>
        <v>0</v>
      </c>
      <c r="R70" s="585">
        <f t="shared" si="186"/>
        <v>0</v>
      </c>
      <c r="S70" s="585">
        <f t="shared" si="186"/>
        <v>0</v>
      </c>
      <c r="T70" s="588">
        <f t="shared" ref="T70" si="187">SUM(L70:S70)</f>
        <v>0</v>
      </c>
      <c r="U70" s="589">
        <f t="shared" ref="U70" si="188">SUM(T70,K70)</f>
        <v>0</v>
      </c>
      <c r="V70" s="933">
        <v>45</v>
      </c>
      <c r="W70" s="585">
        <f t="shared" ref="W70:AD70" si="189">IF(ABS(W62)&lt;W83, -W62, W83)</f>
        <v>0</v>
      </c>
      <c r="X70" s="585">
        <f t="shared" si="189"/>
        <v>0</v>
      </c>
      <c r="Y70" s="585">
        <f t="shared" si="189"/>
        <v>0</v>
      </c>
      <c r="Z70" s="585">
        <f t="shared" si="189"/>
        <v>0</v>
      </c>
      <c r="AA70" s="585">
        <f t="shared" si="189"/>
        <v>0</v>
      </c>
      <c r="AB70" s="585">
        <f t="shared" si="189"/>
        <v>0</v>
      </c>
      <c r="AC70" s="585">
        <f t="shared" si="189"/>
        <v>0</v>
      </c>
      <c r="AD70" s="585">
        <f t="shared" si="189"/>
        <v>0</v>
      </c>
      <c r="AE70" s="586">
        <f t="shared" ref="AE70" si="190">SUM(W70:AD70)</f>
        <v>0</v>
      </c>
      <c r="AF70" s="587">
        <f t="shared" ref="AF70:AM70" si="191">IF(ABS(AF62)&lt;AF83, -AF62, AF83)</f>
        <v>0</v>
      </c>
      <c r="AG70" s="585">
        <f t="shared" si="191"/>
        <v>0</v>
      </c>
      <c r="AH70" s="585">
        <f t="shared" si="191"/>
        <v>0</v>
      </c>
      <c r="AI70" s="585">
        <f t="shared" si="191"/>
        <v>0</v>
      </c>
      <c r="AJ70" s="585">
        <f t="shared" si="191"/>
        <v>0</v>
      </c>
      <c r="AK70" s="585">
        <f t="shared" si="191"/>
        <v>0</v>
      </c>
      <c r="AL70" s="585">
        <f t="shared" si="191"/>
        <v>0</v>
      </c>
      <c r="AM70" s="585">
        <f t="shared" si="191"/>
        <v>0</v>
      </c>
      <c r="AN70" s="588">
        <f t="shared" ref="AN70" si="192">SUM(AF70:AM70)</f>
        <v>0</v>
      </c>
      <c r="AO70" s="589">
        <f t="shared" ref="AO70" si="193">SUM(AN70,AE70)</f>
        <v>0</v>
      </c>
      <c r="AP70" s="933">
        <v>45</v>
      </c>
      <c r="AQ70" s="585">
        <f t="shared" ref="AQ70:AX70" si="194">IF(ABS(AQ62)&lt;AQ83, -AQ62, AQ83)</f>
        <v>0</v>
      </c>
      <c r="AR70" s="585">
        <f t="shared" si="194"/>
        <v>0</v>
      </c>
      <c r="AS70" s="585">
        <f t="shared" si="194"/>
        <v>0</v>
      </c>
      <c r="AT70" s="585">
        <f t="shared" si="194"/>
        <v>0</v>
      </c>
      <c r="AU70" s="585">
        <f t="shared" si="194"/>
        <v>0</v>
      </c>
      <c r="AV70" s="585">
        <f t="shared" si="194"/>
        <v>0</v>
      </c>
      <c r="AW70" s="585">
        <f t="shared" si="194"/>
        <v>0</v>
      </c>
      <c r="AX70" s="585">
        <f t="shared" si="194"/>
        <v>0</v>
      </c>
      <c r="AY70" s="586">
        <f t="shared" ref="AY70" si="195">SUM(AQ70:AX70)</f>
        <v>0</v>
      </c>
      <c r="AZ70" s="587">
        <f t="shared" ref="AZ70:BG70" si="196">IF(ABS(AZ62)&lt;AZ83, -AZ62, AZ83)</f>
        <v>0</v>
      </c>
      <c r="BA70" s="585">
        <f t="shared" si="196"/>
        <v>0</v>
      </c>
      <c r="BB70" s="585">
        <f t="shared" si="196"/>
        <v>0</v>
      </c>
      <c r="BC70" s="585">
        <f t="shared" si="196"/>
        <v>0</v>
      </c>
      <c r="BD70" s="585">
        <f t="shared" si="196"/>
        <v>0</v>
      </c>
      <c r="BE70" s="585">
        <f t="shared" si="196"/>
        <v>0</v>
      </c>
      <c r="BF70" s="585">
        <f t="shared" si="196"/>
        <v>0</v>
      </c>
      <c r="BG70" s="585">
        <f t="shared" si="196"/>
        <v>0</v>
      </c>
      <c r="BH70" s="588">
        <f t="shared" ref="BH70" si="197">SUM(AZ70:BG70)</f>
        <v>0</v>
      </c>
      <c r="BI70" s="589">
        <f t="shared" ref="BI70" si="198">SUM(BH70,AY70)</f>
        <v>0</v>
      </c>
      <c r="BJ70" s="933">
        <v>45</v>
      </c>
      <c r="BK70" s="585">
        <f t="shared" ref="BK70:BR70" si="199">IF(ABS(BK62)&lt;BK83, -BK62, BK83)</f>
        <v>0</v>
      </c>
      <c r="BL70" s="585">
        <f t="shared" si="199"/>
        <v>0</v>
      </c>
      <c r="BM70" s="585">
        <f t="shared" si="199"/>
        <v>0</v>
      </c>
      <c r="BN70" s="585">
        <f t="shared" si="199"/>
        <v>0</v>
      </c>
      <c r="BO70" s="585">
        <f t="shared" si="199"/>
        <v>0</v>
      </c>
      <c r="BP70" s="585">
        <f t="shared" si="199"/>
        <v>0</v>
      </c>
      <c r="BQ70" s="585">
        <f t="shared" si="199"/>
        <v>0</v>
      </c>
      <c r="BR70" s="585">
        <f t="shared" si="199"/>
        <v>0</v>
      </c>
      <c r="BS70" s="586">
        <f t="shared" ref="BS70" si="200">SUM(BK70:BR70)</f>
        <v>0</v>
      </c>
      <c r="BT70" s="587">
        <f t="shared" ref="BT70:CA70" si="201">IF(ABS(BT62)&lt;BT83, -BT62, BT83)</f>
        <v>0</v>
      </c>
      <c r="BU70" s="585">
        <f t="shared" si="201"/>
        <v>0</v>
      </c>
      <c r="BV70" s="585">
        <f t="shared" si="201"/>
        <v>0</v>
      </c>
      <c r="BW70" s="585">
        <f t="shared" si="201"/>
        <v>0</v>
      </c>
      <c r="BX70" s="585">
        <f t="shared" si="201"/>
        <v>0</v>
      </c>
      <c r="BY70" s="585">
        <f t="shared" si="201"/>
        <v>0</v>
      </c>
      <c r="BZ70" s="585">
        <f t="shared" si="201"/>
        <v>0</v>
      </c>
      <c r="CA70" s="585">
        <f t="shared" si="201"/>
        <v>0</v>
      </c>
      <c r="CB70" s="588">
        <f t="shared" ref="CB70" si="202">SUM(BT70:CA70)</f>
        <v>0</v>
      </c>
      <c r="CC70" s="589">
        <f t="shared" ref="CC70" si="203">SUM(CB70,BS70)</f>
        <v>0</v>
      </c>
      <c r="CD70" s="933">
        <v>45</v>
      </c>
      <c r="CE70" s="414">
        <f t="shared" si="168"/>
        <v>0</v>
      </c>
      <c r="CF70" s="414">
        <f t="shared" si="169"/>
        <v>0</v>
      </c>
      <c r="CG70" s="414">
        <f t="shared" si="170"/>
        <v>0</v>
      </c>
      <c r="CH70" s="414">
        <f t="shared" si="171"/>
        <v>0</v>
      </c>
      <c r="CI70" s="416">
        <f t="shared" si="172"/>
        <v>0</v>
      </c>
      <c r="CJ70" s="414">
        <f t="shared" si="173"/>
        <v>0</v>
      </c>
      <c r="CK70" s="414">
        <f t="shared" si="174"/>
        <v>0</v>
      </c>
      <c r="CL70" s="414">
        <f t="shared" si="175"/>
        <v>0</v>
      </c>
      <c r="CM70" s="414">
        <f t="shared" si="176"/>
        <v>0</v>
      </c>
      <c r="CN70" s="416">
        <f t="shared" si="177"/>
        <v>0</v>
      </c>
      <c r="CO70" s="414">
        <f t="shared" si="178"/>
        <v>0</v>
      </c>
      <c r="CP70" s="414">
        <f t="shared" si="179"/>
        <v>0</v>
      </c>
      <c r="CQ70" s="414">
        <f t="shared" si="180"/>
        <v>0</v>
      </c>
      <c r="CR70" s="414">
        <f t="shared" si="181"/>
        <v>0</v>
      </c>
      <c r="CS70" s="416">
        <f t="shared" si="182"/>
        <v>0</v>
      </c>
    </row>
    <row r="71" spans="1:100" ht="15.75" customHeight="1">
      <c r="A71" s="88" t="s">
        <v>1342</v>
      </c>
      <c r="B71" s="300">
        <v>46</v>
      </c>
      <c r="C71" s="585">
        <f>SUM('Schedule 3B_Income_Eastern:Schedule 3D_Income_The Cape'!C71)</f>
        <v>42323.689968375678</v>
      </c>
      <c r="D71" s="585">
        <f>SUM('Schedule 3B_Income_Eastern:Schedule 3D_Income_The Cape'!D71)</f>
        <v>88737.139958615066</v>
      </c>
      <c r="E71" s="585">
        <f>SUM('Schedule 3B_Income_Eastern:Schedule 3D_Income_The Cape'!E71)</f>
        <v>48035.938435257885</v>
      </c>
      <c r="F71" s="585">
        <f>SUM('Schedule 3B_Income_Eastern:Schedule 3D_Income_The Cape'!F71)</f>
        <v>100594.0664602233</v>
      </c>
      <c r="G71" s="585">
        <f>SUM('Schedule 3B_Income_Eastern:Schedule 3D_Income_The Cape'!G71)</f>
        <v>46697.834439328559</v>
      </c>
      <c r="H71" s="585">
        <f>SUM('Schedule 3B_Income_Eastern:Schedule 3D_Income_The Cape'!H71)</f>
        <v>98845.441667721723</v>
      </c>
      <c r="I71" s="585">
        <f>SUM('Schedule 3B_Income_Eastern:Schedule 3D_Income_The Cape'!I71)</f>
        <v>48441.352292601019</v>
      </c>
      <c r="J71" s="585">
        <f>SUM('Schedule 3B_Income_Eastern:Schedule 3D_Income_The Cape'!J71)</f>
        <v>99175.247717760329</v>
      </c>
      <c r="K71" s="586">
        <f>SUM(C71:J71)</f>
        <v>572850.7109398836</v>
      </c>
      <c r="L71" s="587">
        <f>SUM('Schedule 3B_Income_Eastern:Schedule 3D_Income_The Cape'!L71)</f>
        <v>0</v>
      </c>
      <c r="M71" s="585">
        <f>SUM('Schedule 3B_Income_Eastern:Schedule 3D_Income_The Cape'!M71)</f>
        <v>210484.32815061545</v>
      </c>
      <c r="N71" s="585">
        <f>SUM('Schedule 3B_Income_Eastern:Schedule 3D_Income_The Cape'!N71)</f>
        <v>0</v>
      </c>
      <c r="O71" s="585">
        <f>SUM('Schedule 3B_Income_Eastern:Schedule 3D_Income_The Cape'!O71)</f>
        <v>209854.66208573178</v>
      </c>
      <c r="P71" s="585">
        <f>SUM('Schedule 3B_Income_Eastern:Schedule 3D_Income_The Cape'!P71)</f>
        <v>0</v>
      </c>
      <c r="Q71" s="585">
        <f>SUM('Schedule 3B_Income_Eastern:Schedule 3D_Income_The Cape'!Q71)</f>
        <v>214427.00786285405</v>
      </c>
      <c r="R71" s="585">
        <f>SUM('Schedule 3B_Income_Eastern:Schedule 3D_Income_The Cape'!R71)</f>
        <v>0</v>
      </c>
      <c r="S71" s="585">
        <f>SUM('Schedule 3B_Income_Eastern:Schedule 3D_Income_The Cape'!S71)</f>
        <v>213460.27276651131</v>
      </c>
      <c r="T71" s="588">
        <f>SUM(L71:S71)</f>
        <v>848226.27086571255</v>
      </c>
      <c r="U71" s="589">
        <f>SUM(T71,K71)</f>
        <v>1421076.981805596</v>
      </c>
      <c r="V71" s="300">
        <v>46</v>
      </c>
      <c r="W71" s="585">
        <f>SUM('Schedule 3B_Income_Eastern:Schedule 3D_Income_The Cape'!W71)</f>
        <v>6832.6365791302551</v>
      </c>
      <c r="X71" s="585">
        <f>SUM('Schedule 3B_Income_Eastern:Schedule 3D_Income_The Cape'!X71)</f>
        <v>45844.803759206872</v>
      </c>
      <c r="Y71" s="585">
        <f>SUM('Schedule 3B_Income_Eastern:Schedule 3D_Income_The Cape'!Y71)</f>
        <v>7431.4654034608266</v>
      </c>
      <c r="Z71" s="585">
        <f>SUM('Schedule 3B_Income_Eastern:Schedule 3D_Income_The Cape'!Z71)</f>
        <v>48036.531162467727</v>
      </c>
      <c r="AA71" s="585">
        <f>SUM('Schedule 3B_Income_Eastern:Schedule 3D_Income_The Cape'!AA71)</f>
        <v>6919.9727863706157</v>
      </c>
      <c r="AB71" s="585">
        <f>SUM('Schedule 3B_Income_Eastern:Schedule 3D_Income_The Cape'!AB71)</f>
        <v>45359.938430318842</v>
      </c>
      <c r="AC71" s="585">
        <f>SUM('Schedule 3B_Income_Eastern:Schedule 3D_Income_The Cape'!AC71)</f>
        <v>7711.3761379974094</v>
      </c>
      <c r="AD71" s="585">
        <f>SUM('Schedule 3B_Income_Eastern:Schedule 3D_Income_The Cape'!AD71)</f>
        <v>46558.746711798929</v>
      </c>
      <c r="AE71" s="586">
        <f>SUM(W71:AD71)</f>
        <v>214695.47097075148</v>
      </c>
      <c r="AF71" s="587">
        <f>SUM('Schedule 3B_Income_Eastern:Schedule 3D_Income_The Cape'!AF71)</f>
        <v>0</v>
      </c>
      <c r="AG71" s="585">
        <f>SUM('Schedule 3B_Income_Eastern:Schedule 3D_Income_The Cape'!AG71)</f>
        <v>69290.822853475533</v>
      </c>
      <c r="AH71" s="585">
        <f>SUM('Schedule 3B_Income_Eastern:Schedule 3D_Income_The Cape'!AH71)</f>
        <v>0</v>
      </c>
      <c r="AI71" s="585">
        <f>SUM('Schedule 3B_Income_Eastern:Schedule 3D_Income_The Cape'!AI71)</f>
        <v>63317.271980752077</v>
      </c>
      <c r="AJ71" s="585">
        <f>SUM('Schedule 3B_Income_Eastern:Schedule 3D_Income_The Cape'!AJ71)</f>
        <v>0</v>
      </c>
      <c r="AK71" s="585">
        <f>SUM('Schedule 3B_Income_Eastern:Schedule 3D_Income_The Cape'!AK71)</f>
        <v>62771.729726901765</v>
      </c>
      <c r="AL71" s="585">
        <f>SUM('Schedule 3B_Income_Eastern:Schedule 3D_Income_The Cape'!AL71)</f>
        <v>0</v>
      </c>
      <c r="AM71" s="585">
        <f>SUM('Schedule 3B_Income_Eastern:Schedule 3D_Income_The Cape'!AM71)</f>
        <v>63348.74567966209</v>
      </c>
      <c r="AN71" s="588">
        <f>SUM(AF71:AM71)</f>
        <v>258728.57024079148</v>
      </c>
      <c r="AO71" s="589">
        <f>SUM(AN71,AE71)</f>
        <v>473424.04121154296</v>
      </c>
      <c r="AP71" s="300">
        <v>46</v>
      </c>
      <c r="AQ71" s="585">
        <f>SUM('Schedule 3B_Income_Eastern:Schedule 3D_Income_The Cape'!AQ71)</f>
        <v>756325.92822743882</v>
      </c>
      <c r="AR71" s="585">
        <f>SUM('Schedule 3B_Income_Eastern:Schedule 3D_Income_The Cape'!AR71)</f>
        <v>1786154.9981232241</v>
      </c>
      <c r="AS71" s="585">
        <f>SUM('Schedule 3B_Income_Eastern:Schedule 3D_Income_The Cape'!AS71)</f>
        <v>887429.83052413445</v>
      </c>
      <c r="AT71" s="585">
        <f>SUM('Schedule 3B_Income_Eastern:Schedule 3D_Income_The Cape'!AT71)</f>
        <v>2060541.2125246935</v>
      </c>
      <c r="AU71" s="585">
        <f>SUM('Schedule 3B_Income_Eastern:Schedule 3D_Income_The Cape'!AU71)</f>
        <v>877602.52519718546</v>
      </c>
      <c r="AV71" s="585">
        <f>SUM('Schedule 3B_Income_Eastern:Schedule 3D_Income_The Cape'!AV71)</f>
        <v>2040645.1737448978</v>
      </c>
      <c r="AW71" s="585">
        <f>SUM('Schedule 3B_Income_Eastern:Schedule 3D_Income_The Cape'!AW71)</f>
        <v>959925.44330446399</v>
      </c>
      <c r="AX71" s="585">
        <f>SUM('Schedule 3B_Income_Eastern:Schedule 3D_Income_The Cape'!AX71)</f>
        <v>2110672.0289451717</v>
      </c>
      <c r="AY71" s="586">
        <f>SUM(AQ71:AX71)</f>
        <v>11479297.140591212</v>
      </c>
      <c r="AZ71" s="587">
        <f>SUM('Schedule 3B_Income_Eastern:Schedule 3D_Income_The Cape'!AZ71)</f>
        <v>0</v>
      </c>
      <c r="BA71" s="585">
        <f>SUM('Schedule 3B_Income_Eastern:Schedule 3D_Income_The Cape'!BA71)</f>
        <v>1595775.079647125</v>
      </c>
      <c r="BB71" s="585">
        <f>SUM('Schedule 3B_Income_Eastern:Schedule 3D_Income_The Cape'!BB71)</f>
        <v>0</v>
      </c>
      <c r="BC71" s="585">
        <f>SUM('Schedule 3B_Income_Eastern:Schedule 3D_Income_The Cape'!BC71)</f>
        <v>1446094.2459157631</v>
      </c>
      <c r="BD71" s="585">
        <f>SUM('Schedule 3B_Income_Eastern:Schedule 3D_Income_The Cape'!BD71)</f>
        <v>0</v>
      </c>
      <c r="BE71" s="585">
        <f>SUM('Schedule 3B_Income_Eastern:Schedule 3D_Income_The Cape'!BE71)</f>
        <v>1553332.2864960474</v>
      </c>
      <c r="BF71" s="585">
        <f>SUM('Schedule 3B_Income_Eastern:Schedule 3D_Income_The Cape'!BF71)</f>
        <v>0</v>
      </c>
      <c r="BG71" s="585">
        <f>SUM('Schedule 3B_Income_Eastern:Schedule 3D_Income_The Cape'!BG71)</f>
        <v>1561046.7725650875</v>
      </c>
      <c r="BH71" s="588">
        <f>SUM(AZ71:BG71)</f>
        <v>6156248.384624023</v>
      </c>
      <c r="BI71" s="589">
        <f>SUM(BH71,AY71)</f>
        <v>17635545.525215235</v>
      </c>
      <c r="BJ71" s="300">
        <v>46</v>
      </c>
      <c r="BK71" s="585">
        <f>SUM('Schedule 3B_Income_Eastern:Schedule 3D_Income_The Cape'!BK71)</f>
        <v>16116.69221392172</v>
      </c>
      <c r="BL71" s="585">
        <f>SUM('Schedule 3B_Income_Eastern:Schedule 3D_Income_The Cape'!BL71)</f>
        <v>184946.86879755248</v>
      </c>
      <c r="BM71" s="585">
        <f>SUM('Schedule 3B_Income_Eastern:Schedule 3D_Income_The Cape'!BM71)</f>
        <v>16843.694842782974</v>
      </c>
      <c r="BN71" s="585">
        <f>SUM('Schedule 3B_Income_Eastern:Schedule 3D_Income_The Cape'!BN71)</f>
        <v>192842.95869395445</v>
      </c>
      <c r="BO71" s="585">
        <f>SUM('Schedule 3B_Income_Eastern:Schedule 3D_Income_The Cape'!BO71)</f>
        <v>15923.940572116398</v>
      </c>
      <c r="BP71" s="585">
        <f>SUM('Schedule 3B_Income_Eastern:Schedule 3D_Income_The Cape'!BP71)</f>
        <v>176431.36266362021</v>
      </c>
      <c r="BQ71" s="585">
        <f>SUM('Schedule 3B_Income_Eastern:Schedule 3D_Income_The Cape'!BQ71)</f>
        <v>17468.899403225114</v>
      </c>
      <c r="BR71" s="585">
        <f>SUM('Schedule 3B_Income_Eastern:Schedule 3D_Income_The Cape'!BR71)</f>
        <v>183046.07854587419</v>
      </c>
      <c r="BS71" s="586">
        <f>SUM(BK71:BR71)</f>
        <v>803620.4957330476</v>
      </c>
      <c r="BT71" s="587">
        <f>SUM('Schedule 3B_Income_Eastern:Schedule 3D_Income_The Cape'!BT71)</f>
        <v>0</v>
      </c>
      <c r="BU71" s="585">
        <f>SUM('Schedule 3B_Income_Eastern:Schedule 3D_Income_The Cape'!BU71)</f>
        <v>62377.968791326392</v>
      </c>
      <c r="BV71" s="585">
        <f>SUM('Schedule 3B_Income_Eastern:Schedule 3D_Income_The Cape'!BV71)</f>
        <v>0</v>
      </c>
      <c r="BW71" s="585">
        <f>SUM('Schedule 3B_Income_Eastern:Schedule 3D_Income_The Cape'!BW71)</f>
        <v>60720.505363905948</v>
      </c>
      <c r="BX71" s="585">
        <f>SUM('Schedule 3B_Income_Eastern:Schedule 3D_Income_The Cape'!BX71)</f>
        <v>0</v>
      </c>
      <c r="BY71" s="585">
        <f>SUM('Schedule 3B_Income_Eastern:Schedule 3D_Income_The Cape'!BY71)</f>
        <v>61099.834929721888</v>
      </c>
      <c r="BZ71" s="585">
        <f>SUM('Schedule 3B_Income_Eastern:Schedule 3D_Income_The Cape'!BZ71)</f>
        <v>0</v>
      </c>
      <c r="CA71" s="585">
        <f>SUM('Schedule 3B_Income_Eastern:Schedule 3D_Income_The Cape'!CA71)</f>
        <v>69030.205613214508</v>
      </c>
      <c r="CB71" s="588">
        <f>SUM(BT71:CA71)</f>
        <v>253228.51469816873</v>
      </c>
      <c r="CC71" s="589">
        <f>SUM(CB71,BS71)</f>
        <v>1056849.0104312163</v>
      </c>
      <c r="CD71" s="300">
        <v>46</v>
      </c>
      <c r="CE71" s="414">
        <f t="shared" si="168"/>
        <v>2927282.7576274648</v>
      </c>
      <c r="CF71" s="414">
        <f t="shared" si="169"/>
        <v>3361755.6980469753</v>
      </c>
      <c r="CG71" s="414">
        <f t="shared" si="170"/>
        <v>3308426.1895015594</v>
      </c>
      <c r="CH71" s="414">
        <f t="shared" si="171"/>
        <v>3472999.1730588926</v>
      </c>
      <c r="CI71" s="416">
        <f t="shared" si="172"/>
        <v>13070463.818234894</v>
      </c>
      <c r="CJ71" s="414">
        <f t="shared" si="173"/>
        <v>1937928.1994425422</v>
      </c>
      <c r="CK71" s="414">
        <f t="shared" si="174"/>
        <v>1779986.6853461529</v>
      </c>
      <c r="CL71" s="414">
        <f t="shared" si="175"/>
        <v>1891630.8590155251</v>
      </c>
      <c r="CM71" s="414">
        <f t="shared" si="176"/>
        <v>1906885.9966244753</v>
      </c>
      <c r="CN71" s="416">
        <f t="shared" si="177"/>
        <v>7516431.7404286955</v>
      </c>
      <c r="CO71" s="414">
        <f t="shared" si="178"/>
        <v>4865210.9570700079</v>
      </c>
      <c r="CP71" s="414">
        <f t="shared" si="179"/>
        <v>5141742.3833931275</v>
      </c>
      <c r="CQ71" s="414">
        <f t="shared" si="180"/>
        <v>5200057.0485170847</v>
      </c>
      <c r="CR71" s="414">
        <f t="shared" si="181"/>
        <v>5379885.1696833679</v>
      </c>
      <c r="CS71" s="416">
        <f t="shared" si="182"/>
        <v>20586895.558663588</v>
      </c>
    </row>
    <row r="72" spans="1:100" s="318"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row>
    <row r="73" spans="1:100" s="318" customFormat="1">
      <c r="A73" s="16" t="s">
        <v>241</v>
      </c>
      <c r="B73" s="300">
        <v>47</v>
      </c>
      <c r="C73" s="216">
        <f t="shared" ref="C73:U73" si="204">SUM(C69:C71)</f>
        <v>48751.426302616877</v>
      </c>
      <c r="D73" s="216">
        <f t="shared" si="204"/>
        <v>102213.72810900612</v>
      </c>
      <c r="E73" s="216">
        <f t="shared" si="204"/>
        <v>54908.460444367898</v>
      </c>
      <c r="F73" s="216">
        <f t="shared" si="204"/>
        <v>114986.10205385557</v>
      </c>
      <c r="G73" s="216">
        <f t="shared" si="204"/>
        <v>53743.316278159495</v>
      </c>
      <c r="H73" s="216">
        <f t="shared" si="204"/>
        <v>113758.63352088915</v>
      </c>
      <c r="I73" s="216">
        <f t="shared" si="204"/>
        <v>55460.941702983691</v>
      </c>
      <c r="J73" s="216">
        <f t="shared" si="204"/>
        <v>113546.63674188554</v>
      </c>
      <c r="K73" s="221">
        <f t="shared" si="204"/>
        <v>657369.24515376438</v>
      </c>
      <c r="L73" s="218">
        <f t="shared" si="204"/>
        <v>0</v>
      </c>
      <c r="M73" s="216">
        <f t="shared" si="204"/>
        <v>234592.57096284363</v>
      </c>
      <c r="N73" s="216">
        <f t="shared" si="204"/>
        <v>0</v>
      </c>
      <c r="O73" s="216">
        <f t="shared" si="204"/>
        <v>233318.75869522741</v>
      </c>
      <c r="P73" s="216">
        <f t="shared" si="204"/>
        <v>0</v>
      </c>
      <c r="Q73" s="216">
        <f t="shared" si="204"/>
        <v>239866.99911006598</v>
      </c>
      <c r="R73" s="216">
        <f t="shared" si="204"/>
        <v>0</v>
      </c>
      <c r="S73" s="216">
        <f t="shared" si="204"/>
        <v>237887.7284645584</v>
      </c>
      <c r="T73" s="219">
        <f t="shared" si="204"/>
        <v>945666.0572326954</v>
      </c>
      <c r="U73" s="218">
        <f t="shared" si="204"/>
        <v>1603035.3023864597</v>
      </c>
      <c r="V73" s="300">
        <v>47</v>
      </c>
      <c r="W73" s="216">
        <f t="shared" ref="W73:AO73" si="205">SUM(W69:W71)</f>
        <v>7870.3151565689641</v>
      </c>
      <c r="X73" s="216">
        <f t="shared" si="205"/>
        <v>52807.294767892439</v>
      </c>
      <c r="Y73" s="216">
        <f t="shared" si="205"/>
        <v>8494.6882988365342</v>
      </c>
      <c r="Z73" s="216">
        <f t="shared" si="205"/>
        <v>54909.137973310106</v>
      </c>
      <c r="AA73" s="216">
        <f t="shared" si="205"/>
        <v>7964.0156885082315</v>
      </c>
      <c r="AB73" s="216">
        <f t="shared" si="205"/>
        <v>52203.566753951571</v>
      </c>
      <c r="AC73" s="216">
        <f t="shared" si="205"/>
        <v>8828.824180132935</v>
      </c>
      <c r="AD73" s="216">
        <f t="shared" si="205"/>
        <v>53305.529572126965</v>
      </c>
      <c r="AE73" s="221">
        <f t="shared" si="205"/>
        <v>246383.37239132775</v>
      </c>
      <c r="AF73" s="218">
        <f t="shared" si="205"/>
        <v>0</v>
      </c>
      <c r="AG73" s="216">
        <f t="shared" si="205"/>
        <v>77227.185606408573</v>
      </c>
      <c r="AH73" s="216">
        <f t="shared" si="205"/>
        <v>0</v>
      </c>
      <c r="AI73" s="216">
        <f t="shared" si="205"/>
        <v>70396.850637904485</v>
      </c>
      <c r="AJ73" s="216">
        <f t="shared" si="205"/>
        <v>0</v>
      </c>
      <c r="AK73" s="216">
        <f t="shared" si="205"/>
        <v>70219.076358936611</v>
      </c>
      <c r="AL73" s="216">
        <f t="shared" si="205"/>
        <v>0</v>
      </c>
      <c r="AM73" s="216">
        <f t="shared" si="205"/>
        <v>70598.097788892454</v>
      </c>
      <c r="AN73" s="219">
        <f t="shared" si="205"/>
        <v>288441.21039214212</v>
      </c>
      <c r="AO73" s="218">
        <f t="shared" si="205"/>
        <v>534824.58278346993</v>
      </c>
      <c r="AP73" s="300">
        <v>47</v>
      </c>
      <c r="AQ73" s="216">
        <f t="shared" ref="AQ73:BI73" si="206">SUM(AQ69:AQ71)</f>
        <v>871189.81776610378</v>
      </c>
      <c r="AR73" s="216">
        <f t="shared" si="206"/>
        <v>2057419.9419077034</v>
      </c>
      <c r="AS73" s="216">
        <f t="shared" si="206"/>
        <v>1014394.7913531575</v>
      </c>
      <c r="AT73" s="216">
        <f t="shared" si="206"/>
        <v>2355343.7144647841</v>
      </c>
      <c r="AU73" s="216">
        <f t="shared" si="206"/>
        <v>1010009.7926267337</v>
      </c>
      <c r="AV73" s="216">
        <f t="shared" si="206"/>
        <v>2348525.1575543657</v>
      </c>
      <c r="AW73" s="216">
        <f t="shared" si="206"/>
        <v>1099027.3089145643</v>
      </c>
      <c r="AX73" s="216">
        <f t="shared" si="206"/>
        <v>2416527.4669536077</v>
      </c>
      <c r="AY73" s="221">
        <f t="shared" si="206"/>
        <v>13172437.991541022</v>
      </c>
      <c r="AZ73" s="218">
        <f t="shared" si="206"/>
        <v>0</v>
      </c>
      <c r="BA73" s="216">
        <f t="shared" si="206"/>
        <v>1778550.3647805003</v>
      </c>
      <c r="BB73" s="216">
        <f t="shared" si="206"/>
        <v>0</v>
      </c>
      <c r="BC73" s="216">
        <f t="shared" si="206"/>
        <v>1607783.7445209515</v>
      </c>
      <c r="BD73" s="216">
        <f t="shared" si="206"/>
        <v>0</v>
      </c>
      <c r="BE73" s="216">
        <f t="shared" si="206"/>
        <v>1737622.3167787334</v>
      </c>
      <c r="BF73" s="216">
        <f t="shared" si="206"/>
        <v>0</v>
      </c>
      <c r="BG73" s="216">
        <f t="shared" si="206"/>
        <v>1739686.1061759994</v>
      </c>
      <c r="BH73" s="219">
        <f t="shared" si="206"/>
        <v>6863642.5322561851</v>
      </c>
      <c r="BI73" s="218">
        <f t="shared" si="206"/>
        <v>20036080.523797207</v>
      </c>
      <c r="BJ73" s="300">
        <v>47</v>
      </c>
      <c r="BK73" s="216">
        <f t="shared" ref="BK73:CC73" si="207">SUM(BK69:BK71)</f>
        <v>18564.348555053894</v>
      </c>
      <c r="BL73" s="216">
        <f t="shared" si="207"/>
        <v>213034.91379935719</v>
      </c>
      <c r="BM73" s="216">
        <f t="shared" si="207"/>
        <v>19253.529381100085</v>
      </c>
      <c r="BN73" s="216">
        <f t="shared" si="207"/>
        <v>220433.08227845229</v>
      </c>
      <c r="BO73" s="216">
        <f t="shared" si="207"/>
        <v>18326.446715077538</v>
      </c>
      <c r="BP73" s="216">
        <f t="shared" si="207"/>
        <v>203050.24074161195</v>
      </c>
      <c r="BQ73" s="216">
        <f t="shared" si="207"/>
        <v>20000.300684535938</v>
      </c>
      <c r="BR73" s="216">
        <f t="shared" si="207"/>
        <v>209571.10837599623</v>
      </c>
      <c r="BS73" s="221">
        <f t="shared" si="207"/>
        <v>922233.97053118516</v>
      </c>
      <c r="BT73" s="218">
        <f t="shared" si="207"/>
        <v>0</v>
      </c>
      <c r="BU73" s="216">
        <f t="shared" si="207"/>
        <v>69522.554000914082</v>
      </c>
      <c r="BV73" s="216">
        <f t="shared" si="207"/>
        <v>0</v>
      </c>
      <c r="BW73" s="216">
        <f t="shared" si="207"/>
        <v>67509.736491180287</v>
      </c>
      <c r="BX73" s="216">
        <f t="shared" si="207"/>
        <v>0</v>
      </c>
      <c r="BY73" s="216">
        <f t="shared" si="207"/>
        <v>68348.825070051549</v>
      </c>
      <c r="BZ73" s="216">
        <f t="shared" si="207"/>
        <v>0</v>
      </c>
      <c r="CA73" s="216">
        <f t="shared" si="207"/>
        <v>76929.719033626592</v>
      </c>
      <c r="CB73" s="219">
        <f t="shared" si="207"/>
        <v>282310.8345957725</v>
      </c>
      <c r="CC73" s="218">
        <f t="shared" si="207"/>
        <v>1204544.8051269576</v>
      </c>
      <c r="CD73" s="300">
        <v>47</v>
      </c>
      <c r="CE73" s="219">
        <f>SUM(CE69:CE71)</f>
        <v>3371851.7863643025</v>
      </c>
      <c r="CF73" s="219">
        <f>SUM(CF69:CF71)</f>
        <v>3842723.5062478641</v>
      </c>
      <c r="CG73" s="219">
        <f>SUM(CG69:CG71)</f>
        <v>3807581.1698792968</v>
      </c>
      <c r="CH73" s="219">
        <f>SUM(CH69:CH71)</f>
        <v>3976268.1171258329</v>
      </c>
      <c r="CI73" s="216">
        <f>SUM(BS73,AY73,AE73,K73)</f>
        <v>14998424.579617301</v>
      </c>
      <c r="CJ73" s="219">
        <f>SUM(CJ69:CJ71)</f>
        <v>2159892.6753506665</v>
      </c>
      <c r="CK73" s="219">
        <f>SUM(CK69:CK71)</f>
        <v>1979009.0903452637</v>
      </c>
      <c r="CL73" s="219">
        <f>SUM(CL69:CL71)</f>
        <v>2116057.2173177875</v>
      </c>
      <c r="CM73" s="219">
        <f>SUM(CM69:CM71)</f>
        <v>2125101.6514630769</v>
      </c>
      <c r="CN73" s="216">
        <f>SUM(BX73,BD73,AJ73,P73)</f>
        <v>0</v>
      </c>
      <c r="CO73" s="219">
        <f>SUM(CO69:CO71)</f>
        <v>5531744.4617149699</v>
      </c>
      <c r="CP73" s="219">
        <f>SUM(CP69:CP71)</f>
        <v>5821732.5965931276</v>
      </c>
      <c r="CQ73" s="219">
        <f>SUM(CQ69:CQ71)</f>
        <v>5923638.3871970847</v>
      </c>
      <c r="CR73" s="219">
        <f>SUM(CR69:CR71)</f>
        <v>6101369.7685889099</v>
      </c>
      <c r="CS73" s="216">
        <f>SUM(CC73,BI73,AO73,U73)</f>
        <v>23378485.214094091</v>
      </c>
    </row>
    <row r="74" spans="1:100" ht="15.75" customHeight="1">
      <c r="A74" s="136"/>
      <c r="B74" s="300"/>
      <c r="C74" s="104"/>
      <c r="D74" s="104"/>
      <c r="E74" s="104"/>
      <c r="F74" s="104"/>
      <c r="G74" s="104"/>
      <c r="H74" s="104"/>
      <c r="I74" s="104"/>
      <c r="J74" s="104"/>
      <c r="K74" s="375"/>
      <c r="L74" s="376"/>
      <c r="M74" s="104"/>
      <c r="N74" s="104"/>
      <c r="O74" s="104"/>
      <c r="P74" s="104"/>
      <c r="Q74" s="104"/>
      <c r="R74" s="104"/>
      <c r="S74" s="104"/>
      <c r="T74" s="104"/>
      <c r="U74" s="377"/>
      <c r="V74" s="300"/>
      <c r="W74" s="104"/>
      <c r="X74" s="104"/>
      <c r="Y74" s="104"/>
      <c r="Z74" s="104"/>
      <c r="AA74" s="104"/>
      <c r="AB74" s="104"/>
      <c r="AC74" s="104"/>
      <c r="AD74" s="104"/>
      <c r="AE74" s="375"/>
      <c r="AF74" s="376"/>
      <c r="AG74" s="104"/>
      <c r="AH74" s="104"/>
      <c r="AI74" s="104"/>
      <c r="AJ74" s="104"/>
      <c r="AK74" s="104"/>
      <c r="AL74" s="104"/>
      <c r="AM74" s="104"/>
      <c r="AN74" s="104"/>
      <c r="AO74" s="377"/>
      <c r="AP74" s="300"/>
      <c r="AQ74" s="104"/>
      <c r="AR74" s="104"/>
      <c r="AS74" s="104"/>
      <c r="AT74" s="104"/>
      <c r="AU74" s="104"/>
      <c r="AV74" s="104"/>
      <c r="AW74" s="104"/>
      <c r="AX74" s="104"/>
      <c r="AY74" s="375"/>
      <c r="AZ74" s="376"/>
      <c r="BA74" s="104"/>
      <c r="BB74" s="104"/>
      <c r="BC74" s="104"/>
      <c r="BD74" s="104"/>
      <c r="BE74" s="104"/>
      <c r="BF74" s="104"/>
      <c r="BG74" s="104"/>
      <c r="BH74" s="104"/>
      <c r="BI74" s="377"/>
      <c r="BJ74" s="300"/>
      <c r="BK74" s="104"/>
      <c r="BL74" s="104"/>
      <c r="BM74" s="104"/>
      <c r="BN74" s="104"/>
      <c r="BO74" s="104"/>
      <c r="BP74" s="104"/>
      <c r="BQ74" s="104"/>
      <c r="BR74" s="104"/>
      <c r="BS74" s="375"/>
      <c r="BT74" s="376"/>
      <c r="BU74" s="104"/>
      <c r="BV74" s="104"/>
      <c r="BW74" s="104"/>
      <c r="BX74" s="104"/>
      <c r="BY74" s="104"/>
      <c r="BZ74" s="104"/>
      <c r="CA74" s="104"/>
      <c r="CB74" s="104"/>
      <c r="CC74" s="377"/>
      <c r="CD74" s="300"/>
      <c r="CE74" s="178"/>
      <c r="CF74" s="178"/>
      <c r="CG74" s="178"/>
      <c r="CH74" s="178"/>
      <c r="CI74" s="419"/>
      <c r="CJ74" s="178"/>
      <c r="CK74" s="178"/>
      <c r="CL74" s="178"/>
      <c r="CM74" s="178"/>
      <c r="CN74" s="419"/>
      <c r="CO74" s="178"/>
      <c r="CP74" s="178"/>
      <c r="CQ74" s="178"/>
      <c r="CR74" s="178"/>
      <c r="CS74" s="419"/>
    </row>
    <row r="75" spans="1:100"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00" s="318" customFormat="1" ht="15.75" customHeight="1">
      <c r="A76" s="88" t="s">
        <v>244</v>
      </c>
      <c r="B76" s="300">
        <v>48</v>
      </c>
      <c r="C76" s="585">
        <f>SUM('Schedule 3B_Income_Eastern:Schedule 3D_Income_The Cape'!C76)</f>
        <v>0</v>
      </c>
      <c r="D76" s="585">
        <f>SUM('Schedule 3B_Income_Eastern:Schedule 3D_Income_The Cape'!D76)</f>
        <v>0</v>
      </c>
      <c r="E76" s="585">
        <f>SUM('Schedule 3B_Income_Eastern:Schedule 3D_Income_The Cape'!E76)</f>
        <v>0</v>
      </c>
      <c r="F76" s="585">
        <f>SUM('Schedule 3B_Income_Eastern:Schedule 3D_Income_The Cape'!F76)</f>
        <v>0</v>
      </c>
      <c r="G76" s="585">
        <f>SUM('Schedule 3B_Income_Eastern:Schedule 3D_Income_The Cape'!G76)</f>
        <v>0</v>
      </c>
      <c r="H76" s="585">
        <f>SUM('Schedule 3B_Income_Eastern:Schedule 3D_Income_The Cape'!H76)</f>
        <v>0</v>
      </c>
      <c r="I76" s="585">
        <f>SUM('Schedule 3B_Income_Eastern:Schedule 3D_Income_The Cape'!I76)</f>
        <v>0</v>
      </c>
      <c r="J76" s="585">
        <f>SUM('Schedule 3B_Income_Eastern:Schedule 3D_Income_The Cape'!J76)</f>
        <v>0</v>
      </c>
      <c r="K76" s="586">
        <f t="shared" ref="K76:K86" si="208">SUM(C76:J76)</f>
        <v>0</v>
      </c>
      <c r="L76" s="587">
        <f>SUM('Schedule 3B_Income_Eastern:Schedule 3D_Income_The Cape'!L76)</f>
        <v>0</v>
      </c>
      <c r="M76" s="585">
        <f>SUM('Schedule 3B_Income_Eastern:Schedule 3D_Income_The Cape'!M76)</f>
        <v>0</v>
      </c>
      <c r="N76" s="585">
        <f>SUM('Schedule 3B_Income_Eastern:Schedule 3D_Income_The Cape'!N76)</f>
        <v>0</v>
      </c>
      <c r="O76" s="585">
        <f>SUM('Schedule 3B_Income_Eastern:Schedule 3D_Income_The Cape'!O76)</f>
        <v>0</v>
      </c>
      <c r="P76" s="585">
        <f>SUM('Schedule 3B_Income_Eastern:Schedule 3D_Income_The Cape'!P76)</f>
        <v>0</v>
      </c>
      <c r="Q76" s="585">
        <f>SUM('Schedule 3B_Income_Eastern:Schedule 3D_Income_The Cape'!Q76)</f>
        <v>0</v>
      </c>
      <c r="R76" s="585">
        <f>SUM('Schedule 3B_Income_Eastern:Schedule 3D_Income_The Cape'!R76)</f>
        <v>0</v>
      </c>
      <c r="S76" s="585">
        <f>SUM('Schedule 3B_Income_Eastern:Schedule 3D_Income_The Cape'!S76)</f>
        <v>0</v>
      </c>
      <c r="T76" s="588">
        <f t="shared" ref="T76:T86" si="209">SUM(L76:S76)</f>
        <v>0</v>
      </c>
      <c r="U76" s="589">
        <f t="shared" ref="U76:U86" si="210">SUM(T76,K76)</f>
        <v>0</v>
      </c>
      <c r="V76" s="300">
        <v>48</v>
      </c>
      <c r="W76" s="585">
        <f>SUM('Schedule 3B_Income_Eastern:Schedule 3D_Income_The Cape'!W76)</f>
        <v>0</v>
      </c>
      <c r="X76" s="585">
        <f>SUM('Schedule 3B_Income_Eastern:Schedule 3D_Income_The Cape'!X76)</f>
        <v>0</v>
      </c>
      <c r="Y76" s="585">
        <f>SUM('Schedule 3B_Income_Eastern:Schedule 3D_Income_The Cape'!Y76)</f>
        <v>0</v>
      </c>
      <c r="Z76" s="585">
        <f>SUM('Schedule 3B_Income_Eastern:Schedule 3D_Income_The Cape'!Z76)</f>
        <v>0</v>
      </c>
      <c r="AA76" s="585">
        <f>SUM('Schedule 3B_Income_Eastern:Schedule 3D_Income_The Cape'!AA76)</f>
        <v>0</v>
      </c>
      <c r="AB76" s="585">
        <f>SUM('Schedule 3B_Income_Eastern:Schedule 3D_Income_The Cape'!AB76)</f>
        <v>0</v>
      </c>
      <c r="AC76" s="585">
        <f>SUM('Schedule 3B_Income_Eastern:Schedule 3D_Income_The Cape'!AC76)</f>
        <v>0</v>
      </c>
      <c r="AD76" s="585">
        <f>SUM('Schedule 3B_Income_Eastern:Schedule 3D_Income_The Cape'!AD76)</f>
        <v>0</v>
      </c>
      <c r="AE76" s="586">
        <f t="shared" ref="AE76:AE86" si="211">SUM(W76:AD76)</f>
        <v>0</v>
      </c>
      <c r="AF76" s="587">
        <f>SUM('Schedule 3B_Income_Eastern:Schedule 3D_Income_The Cape'!AF76)</f>
        <v>0</v>
      </c>
      <c r="AG76" s="585">
        <f>SUM('Schedule 3B_Income_Eastern:Schedule 3D_Income_The Cape'!AG76)</f>
        <v>0</v>
      </c>
      <c r="AH76" s="585">
        <f>SUM('Schedule 3B_Income_Eastern:Schedule 3D_Income_The Cape'!AH76)</f>
        <v>0</v>
      </c>
      <c r="AI76" s="585">
        <f>SUM('Schedule 3B_Income_Eastern:Schedule 3D_Income_The Cape'!AI76)</f>
        <v>0</v>
      </c>
      <c r="AJ76" s="585">
        <f>SUM('Schedule 3B_Income_Eastern:Schedule 3D_Income_The Cape'!AJ76)</f>
        <v>0</v>
      </c>
      <c r="AK76" s="585">
        <f>SUM('Schedule 3B_Income_Eastern:Schedule 3D_Income_The Cape'!AK76)</f>
        <v>0</v>
      </c>
      <c r="AL76" s="585">
        <f>SUM('Schedule 3B_Income_Eastern:Schedule 3D_Income_The Cape'!AL76)</f>
        <v>0</v>
      </c>
      <c r="AM76" s="585">
        <f>SUM('Schedule 3B_Income_Eastern:Schedule 3D_Income_The Cape'!AM76)</f>
        <v>0</v>
      </c>
      <c r="AN76" s="588">
        <f t="shared" ref="AN76:AN86" si="212">SUM(AF76:AM76)</f>
        <v>0</v>
      </c>
      <c r="AO76" s="589">
        <f t="shared" ref="AO76:AO86" si="213">SUM(AN76,AE76)</f>
        <v>0</v>
      </c>
      <c r="AP76" s="300">
        <v>48</v>
      </c>
      <c r="AQ76" s="585">
        <f>SUM('Schedule 3B_Income_Eastern:Schedule 3D_Income_The Cape'!AQ76)</f>
        <v>0</v>
      </c>
      <c r="AR76" s="585">
        <f>SUM('Schedule 3B_Income_Eastern:Schedule 3D_Income_The Cape'!AR76)</f>
        <v>0</v>
      </c>
      <c r="AS76" s="585">
        <f>SUM('Schedule 3B_Income_Eastern:Schedule 3D_Income_The Cape'!AS76)</f>
        <v>0</v>
      </c>
      <c r="AT76" s="585">
        <f>SUM('Schedule 3B_Income_Eastern:Schedule 3D_Income_The Cape'!AT76)</f>
        <v>0</v>
      </c>
      <c r="AU76" s="585">
        <f>SUM('Schedule 3B_Income_Eastern:Schedule 3D_Income_The Cape'!AU76)</f>
        <v>0</v>
      </c>
      <c r="AV76" s="585">
        <f>SUM('Schedule 3B_Income_Eastern:Schedule 3D_Income_The Cape'!AV76)</f>
        <v>0</v>
      </c>
      <c r="AW76" s="585">
        <f>SUM('Schedule 3B_Income_Eastern:Schedule 3D_Income_The Cape'!AW76)</f>
        <v>0</v>
      </c>
      <c r="AX76" s="585">
        <f>SUM('Schedule 3B_Income_Eastern:Schedule 3D_Income_The Cape'!AX76)</f>
        <v>0</v>
      </c>
      <c r="AY76" s="586">
        <f t="shared" ref="AY76:AY86" si="214">SUM(AQ76:AX76)</f>
        <v>0</v>
      </c>
      <c r="AZ76" s="587">
        <f>SUM('Schedule 3B_Income_Eastern:Schedule 3D_Income_The Cape'!AZ76)</f>
        <v>0</v>
      </c>
      <c r="BA76" s="585">
        <f>SUM('Schedule 3B_Income_Eastern:Schedule 3D_Income_The Cape'!BA76)</f>
        <v>0</v>
      </c>
      <c r="BB76" s="585">
        <f>SUM('Schedule 3B_Income_Eastern:Schedule 3D_Income_The Cape'!BB76)</f>
        <v>0</v>
      </c>
      <c r="BC76" s="585">
        <f>SUM('Schedule 3B_Income_Eastern:Schedule 3D_Income_The Cape'!BC76)</f>
        <v>0</v>
      </c>
      <c r="BD76" s="585">
        <f>SUM('Schedule 3B_Income_Eastern:Schedule 3D_Income_The Cape'!BD76)</f>
        <v>0</v>
      </c>
      <c r="BE76" s="585">
        <f>SUM('Schedule 3B_Income_Eastern:Schedule 3D_Income_The Cape'!BE76)</f>
        <v>0</v>
      </c>
      <c r="BF76" s="585">
        <f>SUM('Schedule 3B_Income_Eastern:Schedule 3D_Income_The Cape'!BF76)</f>
        <v>0</v>
      </c>
      <c r="BG76" s="585">
        <f>SUM('Schedule 3B_Income_Eastern:Schedule 3D_Income_The Cape'!BG76)</f>
        <v>0</v>
      </c>
      <c r="BH76" s="588">
        <f t="shared" ref="BH76:BH86" si="215">SUM(AZ76:BG76)</f>
        <v>0</v>
      </c>
      <c r="BI76" s="589">
        <f t="shared" ref="BI76:BI86" si="216">SUM(BH76,AY76)</f>
        <v>0</v>
      </c>
      <c r="BJ76" s="300">
        <v>48</v>
      </c>
      <c r="BK76" s="585">
        <f>SUM('Schedule 3B_Income_Eastern:Schedule 3D_Income_The Cape'!BK76)</f>
        <v>0</v>
      </c>
      <c r="BL76" s="585">
        <f>SUM('Schedule 3B_Income_Eastern:Schedule 3D_Income_The Cape'!BL76)</f>
        <v>0</v>
      </c>
      <c r="BM76" s="585">
        <f>SUM('Schedule 3B_Income_Eastern:Schedule 3D_Income_The Cape'!BM76)</f>
        <v>0</v>
      </c>
      <c r="BN76" s="585">
        <f>SUM('Schedule 3B_Income_Eastern:Schedule 3D_Income_The Cape'!BN76)</f>
        <v>0</v>
      </c>
      <c r="BO76" s="585">
        <f>SUM('Schedule 3B_Income_Eastern:Schedule 3D_Income_The Cape'!BO76)</f>
        <v>0</v>
      </c>
      <c r="BP76" s="585">
        <f>SUM('Schedule 3B_Income_Eastern:Schedule 3D_Income_The Cape'!BP76)</f>
        <v>0</v>
      </c>
      <c r="BQ76" s="585">
        <f>SUM('Schedule 3B_Income_Eastern:Schedule 3D_Income_The Cape'!BQ76)</f>
        <v>0</v>
      </c>
      <c r="BR76" s="585">
        <f>SUM('Schedule 3B_Income_Eastern:Schedule 3D_Income_The Cape'!BR76)</f>
        <v>0</v>
      </c>
      <c r="BS76" s="586">
        <f t="shared" ref="BS76:BS86" si="217">SUM(BK76:BR76)</f>
        <v>0</v>
      </c>
      <c r="BT76" s="587">
        <f>SUM('Schedule 3B_Income_Eastern:Schedule 3D_Income_The Cape'!BT76)</f>
        <v>0</v>
      </c>
      <c r="BU76" s="585">
        <f>SUM('Schedule 3B_Income_Eastern:Schedule 3D_Income_The Cape'!BU76)</f>
        <v>0</v>
      </c>
      <c r="BV76" s="585">
        <f>SUM('Schedule 3B_Income_Eastern:Schedule 3D_Income_The Cape'!BV76)</f>
        <v>0</v>
      </c>
      <c r="BW76" s="585">
        <f>SUM('Schedule 3B_Income_Eastern:Schedule 3D_Income_The Cape'!BW76)</f>
        <v>0</v>
      </c>
      <c r="BX76" s="585">
        <f>SUM('Schedule 3B_Income_Eastern:Schedule 3D_Income_The Cape'!BX76)</f>
        <v>0</v>
      </c>
      <c r="BY76" s="585">
        <f>SUM('Schedule 3B_Income_Eastern:Schedule 3D_Income_The Cape'!BY76)</f>
        <v>0</v>
      </c>
      <c r="BZ76" s="585">
        <f>SUM('Schedule 3B_Income_Eastern:Schedule 3D_Income_The Cape'!BZ76)</f>
        <v>0</v>
      </c>
      <c r="CA76" s="585">
        <f>SUM('Schedule 3B_Income_Eastern:Schedule 3D_Income_The Cape'!CA76)</f>
        <v>0</v>
      </c>
      <c r="CB76" s="588">
        <f t="shared" ref="CB76:CB86" si="218">SUM(BT76:CA76)</f>
        <v>0</v>
      </c>
      <c r="CC76" s="589">
        <f t="shared" ref="CC76:CC86" si="219">SUM(CB76,BS76)</f>
        <v>0</v>
      </c>
      <c r="CD76" s="300">
        <v>48</v>
      </c>
      <c r="CE76" s="414">
        <f t="shared" ref="CE76:CE86" si="220">+C76+D76+W76+X76+AQ76+AR76+BK76+BL76</f>
        <v>0</v>
      </c>
      <c r="CF76" s="414">
        <f t="shared" ref="CF76:CF86" si="221">+E76+F76+Y76+Z76+AS76+AT76+BM76+BN76</f>
        <v>0</v>
      </c>
      <c r="CG76" s="414">
        <f t="shared" ref="CG76:CG86" si="222">+G76+H76+AA76+AB76+AU76+AV76+BO76+BP76</f>
        <v>0</v>
      </c>
      <c r="CH76" s="414">
        <f t="shared" ref="CH76:CH86" si="223">+I76+J76+AC76+AD76+AW76+AX76+BQ76+BR76</f>
        <v>0</v>
      </c>
      <c r="CI76" s="416">
        <f t="shared" ref="CI76:CI86" si="224">SUM(K76,AE76,AY76,BS76)</f>
        <v>0</v>
      </c>
      <c r="CJ76" s="414">
        <f t="shared" ref="CJ76:CJ86" si="225">L76+M76+AF76+AG76+AZ76+BA76+BT76+BU76</f>
        <v>0</v>
      </c>
      <c r="CK76" s="414">
        <f t="shared" ref="CK76:CK86" si="226">N76+O76+AH76+AI76+BB76+BC76+BV76+BW76</f>
        <v>0</v>
      </c>
      <c r="CL76" s="414">
        <f t="shared" ref="CL76:CL86" si="227">P76+Q76+AJ76+AK76+BD76+BE76+BX76+BY76</f>
        <v>0</v>
      </c>
      <c r="CM76" s="414">
        <f t="shared" ref="CM76:CM86" si="228">+R76+S76+AL76+AM76+BF76+BG76+BZ76+CA76</f>
        <v>0</v>
      </c>
      <c r="CN76" s="416">
        <f t="shared" ref="CN76:CN86" si="229">SUM(T76,AN76,BH76,CB76)</f>
        <v>0</v>
      </c>
      <c r="CO76" s="414">
        <f t="shared" ref="CO76:CO86" si="230">+C76+D76+L76+M76+W76+X76+AF76+AG76+AQ76+AR76+AZ76+BA76+BK76+BL76+BT76+BU76</f>
        <v>0</v>
      </c>
      <c r="CP76" s="414">
        <f t="shared" ref="CP76:CP86" si="231">+E76+F76+N76+O76+Y76+Z76+AH76+AI76+AS76+AT76+BB76+BC76+BM76+BN76+BV76+BW76</f>
        <v>0</v>
      </c>
      <c r="CQ76" s="414">
        <f t="shared" ref="CQ76:CQ86" si="232">+G76+H76+P76+Q76+AA76+AB76+AJ76+AK76+AU76+AV76+BD76+BE76+BO76+BP76+BX76+BY76</f>
        <v>0</v>
      </c>
      <c r="CR76" s="414">
        <f t="shared" ref="CR76:CR86" si="233">+I76+J76+R76+S76+AC76+AD76+AL76+AM76+AW76+AX76+BF76+BG76+BQ76+BR76+BZ76+CA76</f>
        <v>0</v>
      </c>
      <c r="CS76" s="416">
        <f t="shared" ref="CS76:CS86" si="234">SUM(CC76,BI76,AO76,U76)</f>
        <v>0</v>
      </c>
    </row>
    <row r="77" spans="1:100" ht="15.75" customHeight="1">
      <c r="A77" s="88" t="s">
        <v>246</v>
      </c>
      <c r="B77" s="300">
        <v>49</v>
      </c>
      <c r="C77" s="585">
        <f>SUM('Schedule 3B_Income_Eastern:Schedule 3D_Income_The Cape'!C77)</f>
        <v>0</v>
      </c>
      <c r="D77" s="585">
        <f>SUM('Schedule 3B_Income_Eastern:Schedule 3D_Income_The Cape'!D77)</f>
        <v>0</v>
      </c>
      <c r="E77" s="585">
        <f>SUM('Schedule 3B_Income_Eastern:Schedule 3D_Income_The Cape'!E77)</f>
        <v>0</v>
      </c>
      <c r="F77" s="585">
        <f>SUM('Schedule 3B_Income_Eastern:Schedule 3D_Income_The Cape'!F77)</f>
        <v>0</v>
      </c>
      <c r="G77" s="585">
        <f>SUM('Schedule 3B_Income_Eastern:Schedule 3D_Income_The Cape'!G77)</f>
        <v>0</v>
      </c>
      <c r="H77" s="585">
        <f>SUM('Schedule 3B_Income_Eastern:Schedule 3D_Income_The Cape'!H77)</f>
        <v>0</v>
      </c>
      <c r="I77" s="585">
        <f>SUM('Schedule 3B_Income_Eastern:Schedule 3D_Income_The Cape'!I77)</f>
        <v>0</v>
      </c>
      <c r="J77" s="585">
        <f>SUM('Schedule 3B_Income_Eastern:Schedule 3D_Income_The Cape'!J77)</f>
        <v>0</v>
      </c>
      <c r="K77" s="586">
        <f t="shared" si="208"/>
        <v>0</v>
      </c>
      <c r="L77" s="587">
        <f>SUM('Schedule 3B_Income_Eastern:Schedule 3D_Income_The Cape'!L77)</f>
        <v>0</v>
      </c>
      <c r="M77" s="585">
        <f>SUM('Schedule 3B_Income_Eastern:Schedule 3D_Income_The Cape'!M77)</f>
        <v>0</v>
      </c>
      <c r="N77" s="585">
        <f>SUM('Schedule 3B_Income_Eastern:Schedule 3D_Income_The Cape'!N77)</f>
        <v>0</v>
      </c>
      <c r="O77" s="585">
        <f>SUM('Schedule 3B_Income_Eastern:Schedule 3D_Income_The Cape'!O77)</f>
        <v>0</v>
      </c>
      <c r="P77" s="585">
        <f>SUM('Schedule 3B_Income_Eastern:Schedule 3D_Income_The Cape'!P77)</f>
        <v>0</v>
      </c>
      <c r="Q77" s="585">
        <f>SUM('Schedule 3B_Income_Eastern:Schedule 3D_Income_The Cape'!Q77)</f>
        <v>0</v>
      </c>
      <c r="R77" s="585">
        <f>SUM('Schedule 3B_Income_Eastern:Schedule 3D_Income_The Cape'!R77)</f>
        <v>0</v>
      </c>
      <c r="S77" s="585">
        <f>SUM('Schedule 3B_Income_Eastern:Schedule 3D_Income_The Cape'!S77)</f>
        <v>0</v>
      </c>
      <c r="T77" s="588">
        <f t="shared" si="209"/>
        <v>0</v>
      </c>
      <c r="U77" s="589">
        <f t="shared" si="210"/>
        <v>0</v>
      </c>
      <c r="V77" s="300">
        <v>49</v>
      </c>
      <c r="W77" s="585">
        <f>SUM('Schedule 3B_Income_Eastern:Schedule 3D_Income_The Cape'!W77)</f>
        <v>0</v>
      </c>
      <c r="X77" s="585">
        <f>SUM('Schedule 3B_Income_Eastern:Schedule 3D_Income_The Cape'!X77)</f>
        <v>0</v>
      </c>
      <c r="Y77" s="585">
        <f>SUM('Schedule 3B_Income_Eastern:Schedule 3D_Income_The Cape'!Y77)</f>
        <v>0</v>
      </c>
      <c r="Z77" s="585">
        <f>SUM('Schedule 3B_Income_Eastern:Schedule 3D_Income_The Cape'!Z77)</f>
        <v>0</v>
      </c>
      <c r="AA77" s="585">
        <f>SUM('Schedule 3B_Income_Eastern:Schedule 3D_Income_The Cape'!AA77)</f>
        <v>0</v>
      </c>
      <c r="AB77" s="585">
        <f>SUM('Schedule 3B_Income_Eastern:Schedule 3D_Income_The Cape'!AB77)</f>
        <v>0</v>
      </c>
      <c r="AC77" s="585">
        <f>SUM('Schedule 3B_Income_Eastern:Schedule 3D_Income_The Cape'!AC77)</f>
        <v>0</v>
      </c>
      <c r="AD77" s="585">
        <f>SUM('Schedule 3B_Income_Eastern:Schedule 3D_Income_The Cape'!AD77)</f>
        <v>0</v>
      </c>
      <c r="AE77" s="586">
        <f t="shared" si="211"/>
        <v>0</v>
      </c>
      <c r="AF77" s="587">
        <f>SUM('Schedule 3B_Income_Eastern:Schedule 3D_Income_The Cape'!AF77)</f>
        <v>0</v>
      </c>
      <c r="AG77" s="585">
        <f>SUM('Schedule 3B_Income_Eastern:Schedule 3D_Income_The Cape'!AG77)</f>
        <v>0</v>
      </c>
      <c r="AH77" s="585">
        <f>SUM('Schedule 3B_Income_Eastern:Schedule 3D_Income_The Cape'!AH77)</f>
        <v>0</v>
      </c>
      <c r="AI77" s="585">
        <f>SUM('Schedule 3B_Income_Eastern:Schedule 3D_Income_The Cape'!AI77)</f>
        <v>0</v>
      </c>
      <c r="AJ77" s="585">
        <f>SUM('Schedule 3B_Income_Eastern:Schedule 3D_Income_The Cape'!AJ77)</f>
        <v>0</v>
      </c>
      <c r="AK77" s="585">
        <f>SUM('Schedule 3B_Income_Eastern:Schedule 3D_Income_The Cape'!AK77)</f>
        <v>0</v>
      </c>
      <c r="AL77" s="585">
        <f>SUM('Schedule 3B_Income_Eastern:Schedule 3D_Income_The Cape'!AL77)</f>
        <v>0</v>
      </c>
      <c r="AM77" s="585">
        <f>SUM('Schedule 3B_Income_Eastern:Schedule 3D_Income_The Cape'!AM77)</f>
        <v>0</v>
      </c>
      <c r="AN77" s="588">
        <f t="shared" si="212"/>
        <v>0</v>
      </c>
      <c r="AO77" s="589">
        <f t="shared" si="213"/>
        <v>0</v>
      </c>
      <c r="AP77" s="300">
        <v>49</v>
      </c>
      <c r="AQ77" s="585">
        <f>SUM('Schedule 3B_Income_Eastern:Schedule 3D_Income_The Cape'!AQ77)</f>
        <v>0</v>
      </c>
      <c r="AR77" s="585">
        <f>SUM('Schedule 3B_Income_Eastern:Schedule 3D_Income_The Cape'!AR77)</f>
        <v>0</v>
      </c>
      <c r="AS77" s="585">
        <f>SUM('Schedule 3B_Income_Eastern:Schedule 3D_Income_The Cape'!AS77)</f>
        <v>0</v>
      </c>
      <c r="AT77" s="585">
        <f>SUM('Schedule 3B_Income_Eastern:Schedule 3D_Income_The Cape'!AT77)</f>
        <v>0</v>
      </c>
      <c r="AU77" s="585">
        <f>SUM('Schedule 3B_Income_Eastern:Schedule 3D_Income_The Cape'!AU77)</f>
        <v>0</v>
      </c>
      <c r="AV77" s="585">
        <f>SUM('Schedule 3B_Income_Eastern:Schedule 3D_Income_The Cape'!AV77)</f>
        <v>0</v>
      </c>
      <c r="AW77" s="585">
        <f>SUM('Schedule 3B_Income_Eastern:Schedule 3D_Income_The Cape'!AW77)</f>
        <v>0</v>
      </c>
      <c r="AX77" s="585">
        <f>SUM('Schedule 3B_Income_Eastern:Schedule 3D_Income_The Cape'!AX77)</f>
        <v>0</v>
      </c>
      <c r="AY77" s="586">
        <f t="shared" si="214"/>
        <v>0</v>
      </c>
      <c r="AZ77" s="587">
        <f>SUM('Schedule 3B_Income_Eastern:Schedule 3D_Income_The Cape'!AZ77)</f>
        <v>0</v>
      </c>
      <c r="BA77" s="585">
        <f>SUM('Schedule 3B_Income_Eastern:Schedule 3D_Income_The Cape'!BA77)</f>
        <v>0</v>
      </c>
      <c r="BB77" s="585">
        <f>SUM('Schedule 3B_Income_Eastern:Schedule 3D_Income_The Cape'!BB77)</f>
        <v>0</v>
      </c>
      <c r="BC77" s="585">
        <f>SUM('Schedule 3B_Income_Eastern:Schedule 3D_Income_The Cape'!BC77)</f>
        <v>0</v>
      </c>
      <c r="BD77" s="585">
        <f>SUM('Schedule 3B_Income_Eastern:Schedule 3D_Income_The Cape'!BD77)</f>
        <v>0</v>
      </c>
      <c r="BE77" s="585">
        <f>SUM('Schedule 3B_Income_Eastern:Schedule 3D_Income_The Cape'!BE77)</f>
        <v>0</v>
      </c>
      <c r="BF77" s="585">
        <f>SUM('Schedule 3B_Income_Eastern:Schedule 3D_Income_The Cape'!BF77)</f>
        <v>0</v>
      </c>
      <c r="BG77" s="585">
        <f>SUM('Schedule 3B_Income_Eastern:Schedule 3D_Income_The Cape'!BG77)</f>
        <v>0</v>
      </c>
      <c r="BH77" s="588">
        <f t="shared" si="215"/>
        <v>0</v>
      </c>
      <c r="BI77" s="589">
        <f t="shared" si="216"/>
        <v>0</v>
      </c>
      <c r="BJ77" s="300">
        <v>49</v>
      </c>
      <c r="BK77" s="585">
        <f>SUM('Schedule 3B_Income_Eastern:Schedule 3D_Income_The Cape'!BK77)</f>
        <v>0</v>
      </c>
      <c r="BL77" s="585">
        <f>SUM('Schedule 3B_Income_Eastern:Schedule 3D_Income_The Cape'!BL77)</f>
        <v>0</v>
      </c>
      <c r="BM77" s="585">
        <f>SUM('Schedule 3B_Income_Eastern:Schedule 3D_Income_The Cape'!BM77)</f>
        <v>0</v>
      </c>
      <c r="BN77" s="585">
        <f>SUM('Schedule 3B_Income_Eastern:Schedule 3D_Income_The Cape'!BN77)</f>
        <v>0</v>
      </c>
      <c r="BO77" s="585">
        <f>SUM('Schedule 3B_Income_Eastern:Schedule 3D_Income_The Cape'!BO77)</f>
        <v>0</v>
      </c>
      <c r="BP77" s="585">
        <f>SUM('Schedule 3B_Income_Eastern:Schedule 3D_Income_The Cape'!BP77)</f>
        <v>0</v>
      </c>
      <c r="BQ77" s="585">
        <f>SUM('Schedule 3B_Income_Eastern:Schedule 3D_Income_The Cape'!BQ77)</f>
        <v>0</v>
      </c>
      <c r="BR77" s="585">
        <f>SUM('Schedule 3B_Income_Eastern:Schedule 3D_Income_The Cape'!BR77)</f>
        <v>0</v>
      </c>
      <c r="BS77" s="586">
        <f t="shared" si="217"/>
        <v>0</v>
      </c>
      <c r="BT77" s="587">
        <f>SUM('Schedule 3B_Income_Eastern:Schedule 3D_Income_The Cape'!BT77)</f>
        <v>0</v>
      </c>
      <c r="BU77" s="585">
        <f>SUM('Schedule 3B_Income_Eastern:Schedule 3D_Income_The Cape'!BU77)</f>
        <v>0</v>
      </c>
      <c r="BV77" s="585">
        <f>SUM('Schedule 3B_Income_Eastern:Schedule 3D_Income_The Cape'!BV77)</f>
        <v>0</v>
      </c>
      <c r="BW77" s="585">
        <f>SUM('Schedule 3B_Income_Eastern:Schedule 3D_Income_The Cape'!BW77)</f>
        <v>0</v>
      </c>
      <c r="BX77" s="585">
        <f>SUM('Schedule 3B_Income_Eastern:Schedule 3D_Income_The Cape'!BX77)</f>
        <v>0</v>
      </c>
      <c r="BY77" s="585">
        <f>SUM('Schedule 3B_Income_Eastern:Schedule 3D_Income_The Cape'!BY77)</f>
        <v>0</v>
      </c>
      <c r="BZ77" s="585">
        <f>SUM('Schedule 3B_Income_Eastern:Schedule 3D_Income_The Cape'!BZ77)</f>
        <v>0</v>
      </c>
      <c r="CA77" s="585">
        <f>SUM('Schedule 3B_Income_Eastern:Schedule 3D_Income_The Cape'!CA77)</f>
        <v>0</v>
      </c>
      <c r="CB77" s="588">
        <f t="shared" si="218"/>
        <v>0</v>
      </c>
      <c r="CC77" s="589">
        <f t="shared" si="219"/>
        <v>0</v>
      </c>
      <c r="CD77" s="300">
        <v>49</v>
      </c>
      <c r="CE77" s="414">
        <f t="shared" si="220"/>
        <v>0</v>
      </c>
      <c r="CF77" s="414">
        <f t="shared" si="221"/>
        <v>0</v>
      </c>
      <c r="CG77" s="414">
        <f t="shared" si="222"/>
        <v>0</v>
      </c>
      <c r="CH77" s="414">
        <f t="shared" si="223"/>
        <v>0</v>
      </c>
      <c r="CI77" s="416">
        <f t="shared" si="224"/>
        <v>0</v>
      </c>
      <c r="CJ77" s="414">
        <f t="shared" si="225"/>
        <v>0</v>
      </c>
      <c r="CK77" s="414">
        <f t="shared" si="226"/>
        <v>0</v>
      </c>
      <c r="CL77" s="414">
        <f t="shared" si="227"/>
        <v>0</v>
      </c>
      <c r="CM77" s="414">
        <f t="shared" si="228"/>
        <v>0</v>
      </c>
      <c r="CN77" s="416">
        <f t="shared" si="229"/>
        <v>0</v>
      </c>
      <c r="CO77" s="414">
        <f t="shared" si="230"/>
        <v>0</v>
      </c>
      <c r="CP77" s="414">
        <f t="shared" si="231"/>
        <v>0</v>
      </c>
      <c r="CQ77" s="414">
        <f t="shared" si="232"/>
        <v>0</v>
      </c>
      <c r="CR77" s="414">
        <f t="shared" si="233"/>
        <v>0</v>
      </c>
      <c r="CS77" s="416">
        <f t="shared" si="234"/>
        <v>0</v>
      </c>
    </row>
    <row r="78" spans="1:100" ht="15.75" customHeight="1">
      <c r="A78" s="88" t="s">
        <v>248</v>
      </c>
      <c r="B78" s="300">
        <v>50</v>
      </c>
      <c r="C78" s="585">
        <f>SUM('Schedule 3B_Income_Eastern:Schedule 3D_Income_The Cape'!C78)</f>
        <v>0</v>
      </c>
      <c r="D78" s="585">
        <f>SUM('Schedule 3B_Income_Eastern:Schedule 3D_Income_The Cape'!D78)</f>
        <v>0</v>
      </c>
      <c r="E78" s="585">
        <f>SUM('Schedule 3B_Income_Eastern:Schedule 3D_Income_The Cape'!E78)</f>
        <v>0</v>
      </c>
      <c r="F78" s="585">
        <f>SUM('Schedule 3B_Income_Eastern:Schedule 3D_Income_The Cape'!F78)</f>
        <v>0</v>
      </c>
      <c r="G78" s="585">
        <f>SUM('Schedule 3B_Income_Eastern:Schedule 3D_Income_The Cape'!G78)</f>
        <v>0</v>
      </c>
      <c r="H78" s="585">
        <f>SUM('Schedule 3B_Income_Eastern:Schedule 3D_Income_The Cape'!H78)</f>
        <v>0</v>
      </c>
      <c r="I78" s="585">
        <f>SUM('Schedule 3B_Income_Eastern:Schedule 3D_Income_The Cape'!I78)</f>
        <v>0</v>
      </c>
      <c r="J78" s="585">
        <f>SUM('Schedule 3B_Income_Eastern:Schedule 3D_Income_The Cape'!J78)</f>
        <v>0</v>
      </c>
      <c r="K78" s="586">
        <f t="shared" si="208"/>
        <v>0</v>
      </c>
      <c r="L78" s="587">
        <f>SUM('Schedule 3B_Income_Eastern:Schedule 3D_Income_The Cape'!L78)</f>
        <v>0</v>
      </c>
      <c r="M78" s="585">
        <f>SUM('Schedule 3B_Income_Eastern:Schedule 3D_Income_The Cape'!M78)</f>
        <v>0</v>
      </c>
      <c r="N78" s="585">
        <f>SUM('Schedule 3B_Income_Eastern:Schedule 3D_Income_The Cape'!N78)</f>
        <v>0</v>
      </c>
      <c r="O78" s="585">
        <f>SUM('Schedule 3B_Income_Eastern:Schedule 3D_Income_The Cape'!O78)</f>
        <v>0</v>
      </c>
      <c r="P78" s="585">
        <f>SUM('Schedule 3B_Income_Eastern:Schedule 3D_Income_The Cape'!P78)</f>
        <v>0</v>
      </c>
      <c r="Q78" s="585">
        <f>SUM('Schedule 3B_Income_Eastern:Schedule 3D_Income_The Cape'!Q78)</f>
        <v>0</v>
      </c>
      <c r="R78" s="585">
        <f>SUM('Schedule 3B_Income_Eastern:Schedule 3D_Income_The Cape'!R78)</f>
        <v>0</v>
      </c>
      <c r="S78" s="585">
        <f>SUM('Schedule 3B_Income_Eastern:Schedule 3D_Income_The Cape'!S78)</f>
        <v>0</v>
      </c>
      <c r="T78" s="588">
        <f t="shared" si="209"/>
        <v>0</v>
      </c>
      <c r="U78" s="589">
        <f t="shared" si="210"/>
        <v>0</v>
      </c>
      <c r="V78" s="300">
        <v>50</v>
      </c>
      <c r="W78" s="585">
        <f>SUM('Schedule 3B_Income_Eastern:Schedule 3D_Income_The Cape'!W78)</f>
        <v>0</v>
      </c>
      <c r="X78" s="585">
        <f>SUM('Schedule 3B_Income_Eastern:Schedule 3D_Income_The Cape'!X78)</f>
        <v>0</v>
      </c>
      <c r="Y78" s="585">
        <f>SUM('Schedule 3B_Income_Eastern:Schedule 3D_Income_The Cape'!Y78)</f>
        <v>0</v>
      </c>
      <c r="Z78" s="585">
        <f>SUM('Schedule 3B_Income_Eastern:Schedule 3D_Income_The Cape'!Z78)</f>
        <v>0</v>
      </c>
      <c r="AA78" s="585">
        <f>SUM('Schedule 3B_Income_Eastern:Schedule 3D_Income_The Cape'!AA78)</f>
        <v>0</v>
      </c>
      <c r="AB78" s="585">
        <f>SUM('Schedule 3B_Income_Eastern:Schedule 3D_Income_The Cape'!AB78)</f>
        <v>0</v>
      </c>
      <c r="AC78" s="585">
        <f>SUM('Schedule 3B_Income_Eastern:Schedule 3D_Income_The Cape'!AC78)</f>
        <v>0</v>
      </c>
      <c r="AD78" s="585">
        <f>SUM('Schedule 3B_Income_Eastern:Schedule 3D_Income_The Cape'!AD78)</f>
        <v>0</v>
      </c>
      <c r="AE78" s="586">
        <f t="shared" si="211"/>
        <v>0</v>
      </c>
      <c r="AF78" s="587">
        <f>SUM('Schedule 3B_Income_Eastern:Schedule 3D_Income_The Cape'!AF78)</f>
        <v>0</v>
      </c>
      <c r="AG78" s="585">
        <f>SUM('Schedule 3B_Income_Eastern:Schedule 3D_Income_The Cape'!AG78)</f>
        <v>0</v>
      </c>
      <c r="AH78" s="585">
        <f>SUM('Schedule 3B_Income_Eastern:Schedule 3D_Income_The Cape'!AH78)</f>
        <v>0</v>
      </c>
      <c r="AI78" s="585">
        <f>SUM('Schedule 3B_Income_Eastern:Schedule 3D_Income_The Cape'!AI78)</f>
        <v>0</v>
      </c>
      <c r="AJ78" s="585">
        <f>SUM('Schedule 3B_Income_Eastern:Schedule 3D_Income_The Cape'!AJ78)</f>
        <v>0</v>
      </c>
      <c r="AK78" s="585">
        <f>SUM('Schedule 3B_Income_Eastern:Schedule 3D_Income_The Cape'!AK78)</f>
        <v>0</v>
      </c>
      <c r="AL78" s="585">
        <f>SUM('Schedule 3B_Income_Eastern:Schedule 3D_Income_The Cape'!AL78)</f>
        <v>0</v>
      </c>
      <c r="AM78" s="585">
        <f>SUM('Schedule 3B_Income_Eastern:Schedule 3D_Income_The Cape'!AM78)</f>
        <v>0</v>
      </c>
      <c r="AN78" s="588">
        <f t="shared" si="212"/>
        <v>0</v>
      </c>
      <c r="AO78" s="589">
        <f t="shared" si="213"/>
        <v>0</v>
      </c>
      <c r="AP78" s="300">
        <v>50</v>
      </c>
      <c r="AQ78" s="585">
        <f>SUM('Schedule 3B_Income_Eastern:Schedule 3D_Income_The Cape'!AQ78)</f>
        <v>0</v>
      </c>
      <c r="AR78" s="585">
        <f>SUM('Schedule 3B_Income_Eastern:Schedule 3D_Income_The Cape'!AR78)</f>
        <v>0</v>
      </c>
      <c r="AS78" s="585">
        <f>SUM('Schedule 3B_Income_Eastern:Schedule 3D_Income_The Cape'!AS78)</f>
        <v>0</v>
      </c>
      <c r="AT78" s="585">
        <f>SUM('Schedule 3B_Income_Eastern:Schedule 3D_Income_The Cape'!AT78)</f>
        <v>0</v>
      </c>
      <c r="AU78" s="585">
        <f>SUM('Schedule 3B_Income_Eastern:Schedule 3D_Income_The Cape'!AU78)</f>
        <v>0</v>
      </c>
      <c r="AV78" s="585">
        <f>SUM('Schedule 3B_Income_Eastern:Schedule 3D_Income_The Cape'!AV78)</f>
        <v>0</v>
      </c>
      <c r="AW78" s="585">
        <f>SUM('Schedule 3B_Income_Eastern:Schedule 3D_Income_The Cape'!AW78)</f>
        <v>0</v>
      </c>
      <c r="AX78" s="585">
        <f>SUM('Schedule 3B_Income_Eastern:Schedule 3D_Income_The Cape'!AX78)</f>
        <v>0</v>
      </c>
      <c r="AY78" s="586">
        <f t="shared" si="214"/>
        <v>0</v>
      </c>
      <c r="AZ78" s="587">
        <f>SUM('Schedule 3B_Income_Eastern:Schedule 3D_Income_The Cape'!AZ78)</f>
        <v>0</v>
      </c>
      <c r="BA78" s="585">
        <f>SUM('Schedule 3B_Income_Eastern:Schedule 3D_Income_The Cape'!BA78)</f>
        <v>0</v>
      </c>
      <c r="BB78" s="585">
        <f>SUM('Schedule 3B_Income_Eastern:Schedule 3D_Income_The Cape'!BB78)</f>
        <v>0</v>
      </c>
      <c r="BC78" s="585">
        <f>SUM('Schedule 3B_Income_Eastern:Schedule 3D_Income_The Cape'!BC78)</f>
        <v>0</v>
      </c>
      <c r="BD78" s="585">
        <f>SUM('Schedule 3B_Income_Eastern:Schedule 3D_Income_The Cape'!BD78)</f>
        <v>0</v>
      </c>
      <c r="BE78" s="585">
        <f>SUM('Schedule 3B_Income_Eastern:Schedule 3D_Income_The Cape'!BE78)</f>
        <v>0</v>
      </c>
      <c r="BF78" s="585">
        <f>SUM('Schedule 3B_Income_Eastern:Schedule 3D_Income_The Cape'!BF78)</f>
        <v>0</v>
      </c>
      <c r="BG78" s="585">
        <f>SUM('Schedule 3B_Income_Eastern:Schedule 3D_Income_The Cape'!BG78)</f>
        <v>0</v>
      </c>
      <c r="BH78" s="588">
        <f t="shared" si="215"/>
        <v>0</v>
      </c>
      <c r="BI78" s="589">
        <f t="shared" si="216"/>
        <v>0</v>
      </c>
      <c r="BJ78" s="300">
        <v>50</v>
      </c>
      <c r="BK78" s="585">
        <f>SUM('Schedule 3B_Income_Eastern:Schedule 3D_Income_The Cape'!BK78)</f>
        <v>0</v>
      </c>
      <c r="BL78" s="585">
        <f>SUM('Schedule 3B_Income_Eastern:Schedule 3D_Income_The Cape'!BL78)</f>
        <v>0</v>
      </c>
      <c r="BM78" s="585">
        <f>SUM('Schedule 3B_Income_Eastern:Schedule 3D_Income_The Cape'!BM78)</f>
        <v>0</v>
      </c>
      <c r="BN78" s="585">
        <f>SUM('Schedule 3B_Income_Eastern:Schedule 3D_Income_The Cape'!BN78)</f>
        <v>0</v>
      </c>
      <c r="BO78" s="585">
        <f>SUM('Schedule 3B_Income_Eastern:Schedule 3D_Income_The Cape'!BO78)</f>
        <v>0</v>
      </c>
      <c r="BP78" s="585">
        <f>SUM('Schedule 3B_Income_Eastern:Schedule 3D_Income_The Cape'!BP78)</f>
        <v>0</v>
      </c>
      <c r="BQ78" s="585">
        <f>SUM('Schedule 3B_Income_Eastern:Schedule 3D_Income_The Cape'!BQ78)</f>
        <v>0</v>
      </c>
      <c r="BR78" s="585">
        <f>SUM('Schedule 3B_Income_Eastern:Schedule 3D_Income_The Cape'!BR78)</f>
        <v>0</v>
      </c>
      <c r="BS78" s="586">
        <f t="shared" si="217"/>
        <v>0</v>
      </c>
      <c r="BT78" s="587">
        <f>SUM('Schedule 3B_Income_Eastern:Schedule 3D_Income_The Cape'!BT78)</f>
        <v>0</v>
      </c>
      <c r="BU78" s="585">
        <f>SUM('Schedule 3B_Income_Eastern:Schedule 3D_Income_The Cape'!BU78)</f>
        <v>0</v>
      </c>
      <c r="BV78" s="585">
        <f>SUM('Schedule 3B_Income_Eastern:Schedule 3D_Income_The Cape'!BV78)</f>
        <v>0</v>
      </c>
      <c r="BW78" s="585">
        <f>SUM('Schedule 3B_Income_Eastern:Schedule 3D_Income_The Cape'!BW78)</f>
        <v>0</v>
      </c>
      <c r="BX78" s="585">
        <f>SUM('Schedule 3B_Income_Eastern:Schedule 3D_Income_The Cape'!BX78)</f>
        <v>0</v>
      </c>
      <c r="BY78" s="585">
        <f>SUM('Schedule 3B_Income_Eastern:Schedule 3D_Income_The Cape'!BY78)</f>
        <v>0</v>
      </c>
      <c r="BZ78" s="585">
        <f>SUM('Schedule 3B_Income_Eastern:Schedule 3D_Income_The Cape'!BZ78)</f>
        <v>0</v>
      </c>
      <c r="CA78" s="585">
        <f>SUM('Schedule 3B_Income_Eastern:Schedule 3D_Income_The Cape'!CA78)</f>
        <v>0</v>
      </c>
      <c r="CB78" s="588">
        <f t="shared" si="218"/>
        <v>0</v>
      </c>
      <c r="CC78" s="589">
        <f t="shared" si="219"/>
        <v>0</v>
      </c>
      <c r="CD78" s="300">
        <v>50</v>
      </c>
      <c r="CE78" s="414">
        <f t="shared" si="220"/>
        <v>0</v>
      </c>
      <c r="CF78" s="414">
        <f t="shared" si="221"/>
        <v>0</v>
      </c>
      <c r="CG78" s="414">
        <f t="shared" si="222"/>
        <v>0</v>
      </c>
      <c r="CH78" s="414">
        <f t="shared" si="223"/>
        <v>0</v>
      </c>
      <c r="CI78" s="416">
        <f t="shared" si="224"/>
        <v>0</v>
      </c>
      <c r="CJ78" s="414">
        <f t="shared" si="225"/>
        <v>0</v>
      </c>
      <c r="CK78" s="414">
        <f t="shared" si="226"/>
        <v>0</v>
      </c>
      <c r="CL78" s="414">
        <f t="shared" si="227"/>
        <v>0</v>
      </c>
      <c r="CM78" s="414">
        <f t="shared" si="228"/>
        <v>0</v>
      </c>
      <c r="CN78" s="416">
        <f t="shared" si="229"/>
        <v>0</v>
      </c>
      <c r="CO78" s="414">
        <f t="shared" si="230"/>
        <v>0</v>
      </c>
      <c r="CP78" s="414">
        <f t="shared" si="231"/>
        <v>0</v>
      </c>
      <c r="CQ78" s="414">
        <f t="shared" si="232"/>
        <v>0</v>
      </c>
      <c r="CR78" s="414">
        <f t="shared" si="233"/>
        <v>0</v>
      </c>
      <c r="CS78" s="416">
        <f t="shared" si="234"/>
        <v>0</v>
      </c>
    </row>
    <row r="79" spans="1:100" ht="15.75" customHeight="1">
      <c r="A79" s="88" t="s">
        <v>250</v>
      </c>
      <c r="B79" s="300">
        <v>51</v>
      </c>
      <c r="C79" s="585">
        <f>SUM('Schedule 3B_Income_Eastern:Schedule 3D_Income_The Cape'!C79)</f>
        <v>11478.960331070455</v>
      </c>
      <c r="D79" s="585">
        <f>SUM('Schedule 3B_Income_Eastern:Schedule 3D_Income_The Cape'!D79)</f>
        <v>24067.138527824391</v>
      </c>
      <c r="E79" s="585">
        <f>SUM('Schedule 3B_Income_Eastern:Schedule 3D_Income_The Cape'!E79)</f>
        <v>11803.335313279265</v>
      </c>
      <c r="F79" s="585">
        <f>SUM('Schedule 3B_Income_Eastern:Schedule 3D_Income_The Cape'!F79)</f>
        <v>24717.857829645644</v>
      </c>
      <c r="G79" s="585">
        <f>SUM('Schedule 3B_Income_Eastern:Schedule 3D_Income_The Cape'!G79)</f>
        <v>11842.635583862228</v>
      </c>
      <c r="H79" s="585">
        <f>SUM('Schedule 3B_Income_Eastern:Schedule 3D_Income_The Cape'!H79)</f>
        <v>25067.34110588385</v>
      </c>
      <c r="I79" s="585">
        <f>SUM('Schedule 3B_Income_Eastern:Schedule 3D_Income_The Cape'!I79)</f>
        <v>12395.678743274304</v>
      </c>
      <c r="J79" s="585">
        <f>SUM('Schedule 3B_Income_Eastern:Schedule 3D_Income_The Cape'!J79)</f>
        <v>25377.997347563236</v>
      </c>
      <c r="K79" s="586">
        <f t="shared" si="208"/>
        <v>146750.94478240336</v>
      </c>
      <c r="L79" s="587">
        <f>SUM('Schedule 3B_Income_Eastern:Schedule 3D_Income_The Cape'!L79)</f>
        <v>0</v>
      </c>
      <c r="M79" s="585">
        <f>SUM('Schedule 3B_Income_Eastern:Schedule 3D_Income_The Cape'!M79)</f>
        <v>57087.207069097109</v>
      </c>
      <c r="N79" s="585">
        <f>SUM('Schedule 3B_Income_Eastern:Schedule 3D_Income_The Cape'!N79)</f>
        <v>0</v>
      </c>
      <c r="O79" s="585">
        <f>SUM('Schedule 3B_Income_Eastern:Schedule 3D_Income_The Cape'!O79)</f>
        <v>51565.245196390788</v>
      </c>
      <c r="P79" s="585">
        <f>SUM('Schedule 3B_Income_Eastern:Schedule 3D_Income_The Cape'!P79)</f>
        <v>0</v>
      </c>
      <c r="Q79" s="585">
        <f>SUM('Schedule 3B_Income_Eastern:Schedule 3D_Income_The Cape'!Q79)</f>
        <v>54378.986604978287</v>
      </c>
      <c r="R79" s="585">
        <f>SUM('Schedule 3B_Income_Eastern:Schedule 3D_Income_The Cape'!R79)</f>
        <v>0</v>
      </c>
      <c r="S79" s="585">
        <f>SUM('Schedule 3B_Income_Eastern:Schedule 3D_Income_The Cape'!S79)</f>
        <v>54622.442199441415</v>
      </c>
      <c r="T79" s="588">
        <f t="shared" si="209"/>
        <v>217653.88106990763</v>
      </c>
      <c r="U79" s="589">
        <f t="shared" si="210"/>
        <v>364404.82585231098</v>
      </c>
      <c r="V79" s="300">
        <v>51</v>
      </c>
      <c r="W79" s="585">
        <f>SUM('Schedule 3B_Income_Eastern:Schedule 3D_Income_The Cape'!W79)</f>
        <v>1853.1362531731354</v>
      </c>
      <c r="X79" s="585">
        <f>SUM('Schedule 3B_Income_Eastern:Schedule 3D_Income_The Cape'!X79)</f>
        <v>12433.950918052291</v>
      </c>
      <c r="Y79" s="585">
        <f>SUM('Schedule 3B_Income_Eastern:Schedule 3D_Income_The Cape'!Y79)</f>
        <v>1826.0510959789976</v>
      </c>
      <c r="Z79" s="585">
        <f>SUM('Schedule 3B_Income_Eastern:Schedule 3D_Income_The Cape'!Z79)</f>
        <v>11803.4809575247</v>
      </c>
      <c r="AA79" s="585">
        <f>SUM('Schedule 3B_Income_Eastern:Schedule 3D_Income_The Cape'!AA79)</f>
        <v>1754.9146966483879</v>
      </c>
      <c r="AB79" s="585">
        <f>SUM('Schedule 3B_Income_Eastern:Schedule 3D_Income_The Cape'!AB79)</f>
        <v>11503.34330031124</v>
      </c>
      <c r="AC79" s="585">
        <f>SUM('Schedule 3B_Income_Eastern:Schedule 3D_Income_The Cape'!AC79)</f>
        <v>1973.2673996751187</v>
      </c>
      <c r="AD79" s="585">
        <f>SUM('Schedule 3B_Income_Eastern:Schedule 3D_Income_The Cape'!AD79)</f>
        <v>11913.937980981784</v>
      </c>
      <c r="AE79" s="586">
        <f t="shared" si="211"/>
        <v>55062.082602345661</v>
      </c>
      <c r="AF79" s="587">
        <f>SUM('Schedule 3B_Income_Eastern:Schedule 3D_Income_The Cape'!AF79)</f>
        <v>0</v>
      </c>
      <c r="AG79" s="585">
        <f>SUM('Schedule 3B_Income_Eastern:Schedule 3D_Income_The Cape'!AG79)</f>
        <v>18792.940961352604</v>
      </c>
      <c r="AH79" s="585">
        <f>SUM('Schedule 3B_Income_Eastern:Schedule 3D_Income_The Cape'!AH79)</f>
        <v>0</v>
      </c>
      <c r="AI79" s="585">
        <f>SUM('Schedule 3B_Income_Eastern:Schedule 3D_Income_The Cape'!AI79)</f>
        <v>15558.246942925714</v>
      </c>
      <c r="AJ79" s="585">
        <f>SUM('Schedule 3B_Income_Eastern:Schedule 3D_Income_The Cape'!AJ79)</f>
        <v>0</v>
      </c>
      <c r="AK79" s="585">
        <f>SUM('Schedule 3B_Income_Eastern:Schedule 3D_Income_The Cape'!AK79)</f>
        <v>15918.997723335924</v>
      </c>
      <c r="AL79" s="585">
        <f>SUM('Schedule 3B_Income_Eastern:Schedule 3D_Income_The Cape'!AL79)</f>
        <v>0</v>
      </c>
      <c r="AM79" s="585">
        <f>SUM('Schedule 3B_Income_Eastern:Schedule 3D_Income_The Cape'!AM79)</f>
        <v>16210.338132001676</v>
      </c>
      <c r="AN79" s="588">
        <f t="shared" si="212"/>
        <v>66480.523759615913</v>
      </c>
      <c r="AO79" s="589">
        <f t="shared" si="213"/>
        <v>121542.60636196157</v>
      </c>
      <c r="AP79" s="300">
        <v>51</v>
      </c>
      <c r="AQ79" s="585">
        <f>SUM('Schedule 3B_Income_Eastern:Schedule 3D_Income_The Cape'!AQ79)</f>
        <v>205129.45194452297</v>
      </c>
      <c r="AR79" s="585">
        <f>SUM('Schedule 3B_Income_Eastern:Schedule 3D_Income_The Cape'!AR79)</f>
        <v>484437.96804862085</v>
      </c>
      <c r="AS79" s="585">
        <f>SUM('Schedule 3B_Income_Eastern:Schedule 3D_Income_The Cape'!AS79)</f>
        <v>218058.23302068931</v>
      </c>
      <c r="AT79" s="585">
        <f>SUM('Schedule 3B_Income_Eastern:Schedule 3D_Income_The Cape'!AT79)</f>
        <v>506313.8069227027</v>
      </c>
      <c r="AU79" s="585">
        <f>SUM('Schedule 3B_Income_Eastern:Schedule 3D_Income_The Cape'!AU79)</f>
        <v>222561.21762756785</v>
      </c>
      <c r="AV79" s="585">
        <f>SUM('Schedule 3B_Income_Eastern:Schedule 3D_Income_The Cape'!AV79)</f>
        <v>517510.4464432103</v>
      </c>
      <c r="AW79" s="585">
        <f>SUM('Schedule 3B_Income_Eastern:Schedule 3D_Income_The Cape'!AW79)</f>
        <v>245635.7399113063</v>
      </c>
      <c r="AX79" s="585">
        <f>SUM('Schedule 3B_Income_Eastern:Schedule 3D_Income_The Cape'!AX79)</f>
        <v>540100.78507274669</v>
      </c>
      <c r="AY79" s="586">
        <f t="shared" si="214"/>
        <v>2939747.6489913668</v>
      </c>
      <c r="AZ79" s="587">
        <f>SUM('Schedule 3B_Income_Eastern:Schedule 3D_Income_The Cape'!AZ79)</f>
        <v>0</v>
      </c>
      <c r="BA79" s="585">
        <f>SUM('Schedule 3B_Income_Eastern:Schedule 3D_Income_The Cape'!BA79)</f>
        <v>432803.44531082374</v>
      </c>
      <c r="BB79" s="585">
        <f>SUM('Schedule 3B_Income_Eastern:Schedule 3D_Income_The Cape'!BB79)</f>
        <v>0</v>
      </c>
      <c r="BC79" s="585">
        <f>SUM('Schedule 3B_Income_Eastern:Schedule 3D_Income_The Cape'!BC79)</f>
        <v>355332.60794212355</v>
      </c>
      <c r="BD79" s="585">
        <f>SUM('Schedule 3B_Income_Eastern:Schedule 3D_Income_The Cape'!BD79)</f>
        <v>0</v>
      </c>
      <c r="BE79" s="585">
        <f>SUM('Schedule 3B_Income_Eastern:Schedule 3D_Income_The Cape'!BE79)</f>
        <v>393927.22233233962</v>
      </c>
      <c r="BF79" s="585">
        <f>SUM('Schedule 3B_Income_Eastern:Schedule 3D_Income_The Cape'!BF79)</f>
        <v>0</v>
      </c>
      <c r="BG79" s="585">
        <f>SUM('Schedule 3B_Income_Eastern:Schedule 3D_Income_The Cape'!BG79)</f>
        <v>399456.93875473388</v>
      </c>
      <c r="BH79" s="588">
        <f t="shared" si="215"/>
        <v>1581520.2143400207</v>
      </c>
      <c r="BI79" s="589">
        <f t="shared" si="216"/>
        <v>4521267.8633313878</v>
      </c>
      <c r="BJ79" s="300">
        <v>51</v>
      </c>
      <c r="BK79" s="585">
        <f>SUM('Schedule 3B_Income_Eastern:Schedule 3D_Income_The Cape'!BK79)</f>
        <v>4371.1422782350483</v>
      </c>
      <c r="BL79" s="585">
        <f>SUM('Schedule 3B_Income_Eastern:Schedule 3D_Income_The Cape'!BL79)</f>
        <v>50160.980100485176</v>
      </c>
      <c r="BM79" s="585">
        <f>SUM('Schedule 3B_Income_Eastern:Schedule 3D_Income_The Cape'!BM79)</f>
        <v>4138.8132431695003</v>
      </c>
      <c r="BN79" s="585">
        <f>SUM('Schedule 3B_Income_Eastern:Schedule 3D_Income_The Cape'!BN79)</f>
        <v>47385.149086603604</v>
      </c>
      <c r="BO79" s="585">
        <f>SUM('Schedule 3B_Income_Eastern:Schedule 3D_Income_The Cape'!BO79)</f>
        <v>4038.333415646171</v>
      </c>
      <c r="BP79" s="585">
        <f>SUM('Schedule 3B_Income_Eastern:Schedule 3D_Income_The Cape'!BP79)</f>
        <v>44743.238282368904</v>
      </c>
      <c r="BQ79" s="585">
        <f>SUM('Schedule 3B_Income_Eastern:Schedule 3D_Income_The Cape'!BQ79)</f>
        <v>4470.1242792106996</v>
      </c>
      <c r="BR79" s="585">
        <f>SUM('Schedule 3B_Income_Eastern:Schedule 3D_Income_The Cape'!BR79)</f>
        <v>46839.740789345742</v>
      </c>
      <c r="BS79" s="586">
        <f t="shared" si="217"/>
        <v>206147.5214750648</v>
      </c>
      <c r="BT79" s="587">
        <f>SUM('Schedule 3B_Income_Eastern:Schedule 3D_Income_The Cape'!BT79)</f>
        <v>0</v>
      </c>
      <c r="BU79" s="585">
        <f>SUM('Schedule 3B_Income_Eastern:Schedule 3D_Income_The Cape'!BU79)</f>
        <v>16918.048256742459</v>
      </c>
      <c r="BV79" s="585">
        <f>SUM('Schedule 3B_Income_Eastern:Schedule 3D_Income_The Cape'!BV79)</f>
        <v>0</v>
      </c>
      <c r="BW79" s="585">
        <f>SUM('Schedule 3B_Income_Eastern:Schedule 3D_Income_The Cape'!BW79)</f>
        <v>14920.172448965845</v>
      </c>
      <c r="BX79" s="585">
        <f>SUM('Schedule 3B_Income_Eastern:Schedule 3D_Income_The Cape'!BX79)</f>
        <v>0</v>
      </c>
      <c r="BY79" s="585">
        <f>SUM('Schedule 3B_Income_Eastern:Schedule 3D_Income_The Cape'!BY79)</f>
        <v>15495.002883847577</v>
      </c>
      <c r="BZ79" s="585">
        <f>SUM('Schedule 3B_Income_Eastern:Schedule 3D_Income_The Cape'!BZ79)</f>
        <v>0</v>
      </c>
      <c r="CA79" s="585">
        <f>SUM('Schedule 3B_Income_Eastern:Schedule 3D_Income_The Cape'!CA79)</f>
        <v>17664.16938971942</v>
      </c>
      <c r="CB79" s="588">
        <f t="shared" si="218"/>
        <v>64997.392979275304</v>
      </c>
      <c r="CC79" s="589">
        <f t="shared" si="219"/>
        <v>271144.91445434012</v>
      </c>
      <c r="CD79" s="300">
        <v>51</v>
      </c>
      <c r="CE79" s="414">
        <f t="shared" si="220"/>
        <v>793932.72840198432</v>
      </c>
      <c r="CF79" s="414">
        <f t="shared" si="221"/>
        <v>826046.72746959375</v>
      </c>
      <c r="CG79" s="414">
        <f t="shared" si="222"/>
        <v>839021.4704554989</v>
      </c>
      <c r="CH79" s="414">
        <f t="shared" si="223"/>
        <v>888707.27152410382</v>
      </c>
      <c r="CI79" s="416">
        <f t="shared" si="224"/>
        <v>3347708.197851181</v>
      </c>
      <c r="CJ79" s="414">
        <f t="shared" si="225"/>
        <v>525601.64159801591</v>
      </c>
      <c r="CK79" s="414">
        <f t="shared" si="226"/>
        <v>437376.2725304059</v>
      </c>
      <c r="CL79" s="414">
        <f t="shared" si="227"/>
        <v>479720.20954450138</v>
      </c>
      <c r="CM79" s="414">
        <f t="shared" si="228"/>
        <v>487953.88847589638</v>
      </c>
      <c r="CN79" s="416">
        <f t="shared" si="229"/>
        <v>1930652.0121488194</v>
      </c>
      <c r="CO79" s="414">
        <f t="shared" si="230"/>
        <v>1319534.3700000001</v>
      </c>
      <c r="CP79" s="414">
        <f t="shared" si="231"/>
        <v>1263422.9999999998</v>
      </c>
      <c r="CQ79" s="414">
        <f t="shared" si="232"/>
        <v>1318741.6800000004</v>
      </c>
      <c r="CR79" s="414">
        <f t="shared" si="233"/>
        <v>1376661.1600000004</v>
      </c>
      <c r="CS79" s="416">
        <f t="shared" si="234"/>
        <v>5278360.2100000009</v>
      </c>
    </row>
    <row r="80" spans="1:100" ht="15.75" customHeight="1">
      <c r="A80" s="88" t="s">
        <v>252</v>
      </c>
      <c r="B80" s="300">
        <v>52</v>
      </c>
      <c r="C80" s="585">
        <f>SUM('Schedule 3B_Income_Eastern:Schedule 3D_Income_The Cape'!C80)</f>
        <v>0</v>
      </c>
      <c r="D80" s="585">
        <f>SUM('Schedule 3B_Income_Eastern:Schedule 3D_Income_The Cape'!D80)</f>
        <v>0</v>
      </c>
      <c r="E80" s="585">
        <f>SUM('Schedule 3B_Income_Eastern:Schedule 3D_Income_The Cape'!E80)</f>
        <v>0</v>
      </c>
      <c r="F80" s="585">
        <f>SUM('Schedule 3B_Income_Eastern:Schedule 3D_Income_The Cape'!F80)</f>
        <v>0</v>
      </c>
      <c r="G80" s="585">
        <f>SUM('Schedule 3B_Income_Eastern:Schedule 3D_Income_The Cape'!G80)</f>
        <v>0</v>
      </c>
      <c r="H80" s="585">
        <f>SUM('Schedule 3B_Income_Eastern:Schedule 3D_Income_The Cape'!H80)</f>
        <v>0</v>
      </c>
      <c r="I80" s="585">
        <f>SUM('Schedule 3B_Income_Eastern:Schedule 3D_Income_The Cape'!I80)</f>
        <v>0</v>
      </c>
      <c r="J80" s="585">
        <f>SUM('Schedule 3B_Income_Eastern:Schedule 3D_Income_The Cape'!J80)</f>
        <v>0</v>
      </c>
      <c r="K80" s="586">
        <f t="shared" si="208"/>
        <v>0</v>
      </c>
      <c r="L80" s="587">
        <f>SUM('Schedule 3B_Income_Eastern:Schedule 3D_Income_The Cape'!L80)</f>
        <v>0</v>
      </c>
      <c r="M80" s="585">
        <f>SUM('Schedule 3B_Income_Eastern:Schedule 3D_Income_The Cape'!M80)</f>
        <v>0</v>
      </c>
      <c r="N80" s="585">
        <f>SUM('Schedule 3B_Income_Eastern:Schedule 3D_Income_The Cape'!N80)</f>
        <v>0</v>
      </c>
      <c r="O80" s="585">
        <f>SUM('Schedule 3B_Income_Eastern:Schedule 3D_Income_The Cape'!O80)</f>
        <v>0</v>
      </c>
      <c r="P80" s="585">
        <f>SUM('Schedule 3B_Income_Eastern:Schedule 3D_Income_The Cape'!P80)</f>
        <v>0</v>
      </c>
      <c r="Q80" s="585">
        <f>SUM('Schedule 3B_Income_Eastern:Schedule 3D_Income_The Cape'!Q80)</f>
        <v>0</v>
      </c>
      <c r="R80" s="585">
        <f>SUM('Schedule 3B_Income_Eastern:Schedule 3D_Income_The Cape'!R80)</f>
        <v>0</v>
      </c>
      <c r="S80" s="585">
        <f>SUM('Schedule 3B_Income_Eastern:Schedule 3D_Income_The Cape'!S80)</f>
        <v>0</v>
      </c>
      <c r="T80" s="588">
        <f t="shared" si="209"/>
        <v>0</v>
      </c>
      <c r="U80" s="589">
        <f t="shared" si="210"/>
        <v>0</v>
      </c>
      <c r="V80" s="300">
        <v>52</v>
      </c>
      <c r="W80" s="585">
        <f>SUM('Schedule 3B_Income_Eastern:Schedule 3D_Income_The Cape'!W80)</f>
        <v>0</v>
      </c>
      <c r="X80" s="585">
        <f>SUM('Schedule 3B_Income_Eastern:Schedule 3D_Income_The Cape'!X80)</f>
        <v>0</v>
      </c>
      <c r="Y80" s="585">
        <f>SUM('Schedule 3B_Income_Eastern:Schedule 3D_Income_The Cape'!Y80)</f>
        <v>0</v>
      </c>
      <c r="Z80" s="585">
        <f>SUM('Schedule 3B_Income_Eastern:Schedule 3D_Income_The Cape'!Z80)</f>
        <v>0</v>
      </c>
      <c r="AA80" s="585">
        <f>SUM('Schedule 3B_Income_Eastern:Schedule 3D_Income_The Cape'!AA80)</f>
        <v>0</v>
      </c>
      <c r="AB80" s="585">
        <f>SUM('Schedule 3B_Income_Eastern:Schedule 3D_Income_The Cape'!AB80)</f>
        <v>0</v>
      </c>
      <c r="AC80" s="585">
        <f>SUM('Schedule 3B_Income_Eastern:Schedule 3D_Income_The Cape'!AC80)</f>
        <v>0</v>
      </c>
      <c r="AD80" s="585">
        <f>SUM('Schedule 3B_Income_Eastern:Schedule 3D_Income_The Cape'!AD80)</f>
        <v>0</v>
      </c>
      <c r="AE80" s="586">
        <f t="shared" si="211"/>
        <v>0</v>
      </c>
      <c r="AF80" s="587">
        <f>SUM('Schedule 3B_Income_Eastern:Schedule 3D_Income_The Cape'!AF80)</f>
        <v>0</v>
      </c>
      <c r="AG80" s="585">
        <f>SUM('Schedule 3B_Income_Eastern:Schedule 3D_Income_The Cape'!AG80)</f>
        <v>0</v>
      </c>
      <c r="AH80" s="585">
        <f>SUM('Schedule 3B_Income_Eastern:Schedule 3D_Income_The Cape'!AH80)</f>
        <v>0</v>
      </c>
      <c r="AI80" s="585">
        <f>SUM('Schedule 3B_Income_Eastern:Schedule 3D_Income_The Cape'!AI80)</f>
        <v>0</v>
      </c>
      <c r="AJ80" s="585">
        <f>SUM('Schedule 3B_Income_Eastern:Schedule 3D_Income_The Cape'!AJ80)</f>
        <v>0</v>
      </c>
      <c r="AK80" s="585">
        <f>SUM('Schedule 3B_Income_Eastern:Schedule 3D_Income_The Cape'!AK80)</f>
        <v>0</v>
      </c>
      <c r="AL80" s="585">
        <f>SUM('Schedule 3B_Income_Eastern:Schedule 3D_Income_The Cape'!AL80)</f>
        <v>0</v>
      </c>
      <c r="AM80" s="585">
        <f>SUM('Schedule 3B_Income_Eastern:Schedule 3D_Income_The Cape'!AM80)</f>
        <v>0</v>
      </c>
      <c r="AN80" s="588">
        <f t="shared" si="212"/>
        <v>0</v>
      </c>
      <c r="AO80" s="589">
        <f t="shared" si="213"/>
        <v>0</v>
      </c>
      <c r="AP80" s="300">
        <v>52</v>
      </c>
      <c r="AQ80" s="585">
        <f>SUM('Schedule 3B_Income_Eastern:Schedule 3D_Income_The Cape'!AQ80)</f>
        <v>0</v>
      </c>
      <c r="AR80" s="585">
        <f>SUM('Schedule 3B_Income_Eastern:Schedule 3D_Income_The Cape'!AR80)</f>
        <v>0</v>
      </c>
      <c r="AS80" s="585">
        <f>SUM('Schedule 3B_Income_Eastern:Schedule 3D_Income_The Cape'!AS80)</f>
        <v>0</v>
      </c>
      <c r="AT80" s="585">
        <f>SUM('Schedule 3B_Income_Eastern:Schedule 3D_Income_The Cape'!AT80)</f>
        <v>0</v>
      </c>
      <c r="AU80" s="585">
        <f>SUM('Schedule 3B_Income_Eastern:Schedule 3D_Income_The Cape'!AU80)</f>
        <v>0</v>
      </c>
      <c r="AV80" s="585">
        <f>SUM('Schedule 3B_Income_Eastern:Schedule 3D_Income_The Cape'!AV80)</f>
        <v>0</v>
      </c>
      <c r="AW80" s="585">
        <f>SUM('Schedule 3B_Income_Eastern:Schedule 3D_Income_The Cape'!AW80)</f>
        <v>0</v>
      </c>
      <c r="AX80" s="585">
        <f>SUM('Schedule 3B_Income_Eastern:Schedule 3D_Income_The Cape'!AX80)</f>
        <v>0</v>
      </c>
      <c r="AY80" s="586">
        <f t="shared" si="214"/>
        <v>0</v>
      </c>
      <c r="AZ80" s="587">
        <f>SUM('Schedule 3B_Income_Eastern:Schedule 3D_Income_The Cape'!AZ80)</f>
        <v>0</v>
      </c>
      <c r="BA80" s="585">
        <f>SUM('Schedule 3B_Income_Eastern:Schedule 3D_Income_The Cape'!BA80)</f>
        <v>0</v>
      </c>
      <c r="BB80" s="585">
        <f>SUM('Schedule 3B_Income_Eastern:Schedule 3D_Income_The Cape'!BB80)</f>
        <v>0</v>
      </c>
      <c r="BC80" s="585">
        <f>SUM('Schedule 3B_Income_Eastern:Schedule 3D_Income_The Cape'!BC80)</f>
        <v>0</v>
      </c>
      <c r="BD80" s="585">
        <f>SUM('Schedule 3B_Income_Eastern:Schedule 3D_Income_The Cape'!BD80)</f>
        <v>0</v>
      </c>
      <c r="BE80" s="585">
        <f>SUM('Schedule 3B_Income_Eastern:Schedule 3D_Income_The Cape'!BE80)</f>
        <v>0</v>
      </c>
      <c r="BF80" s="585">
        <f>SUM('Schedule 3B_Income_Eastern:Schedule 3D_Income_The Cape'!BF80)</f>
        <v>0</v>
      </c>
      <c r="BG80" s="585">
        <f>SUM('Schedule 3B_Income_Eastern:Schedule 3D_Income_The Cape'!BG80)</f>
        <v>0</v>
      </c>
      <c r="BH80" s="588">
        <f t="shared" si="215"/>
        <v>0</v>
      </c>
      <c r="BI80" s="589">
        <f t="shared" si="216"/>
        <v>0</v>
      </c>
      <c r="BJ80" s="300">
        <v>52</v>
      </c>
      <c r="BK80" s="585">
        <f>SUM('Schedule 3B_Income_Eastern:Schedule 3D_Income_The Cape'!BK80)</f>
        <v>0</v>
      </c>
      <c r="BL80" s="585">
        <f>SUM('Schedule 3B_Income_Eastern:Schedule 3D_Income_The Cape'!BL80)</f>
        <v>0</v>
      </c>
      <c r="BM80" s="585">
        <f>SUM('Schedule 3B_Income_Eastern:Schedule 3D_Income_The Cape'!BM80)</f>
        <v>0</v>
      </c>
      <c r="BN80" s="585">
        <f>SUM('Schedule 3B_Income_Eastern:Schedule 3D_Income_The Cape'!BN80)</f>
        <v>0</v>
      </c>
      <c r="BO80" s="585">
        <f>SUM('Schedule 3B_Income_Eastern:Schedule 3D_Income_The Cape'!BO80)</f>
        <v>0</v>
      </c>
      <c r="BP80" s="585">
        <f>SUM('Schedule 3B_Income_Eastern:Schedule 3D_Income_The Cape'!BP80)</f>
        <v>0</v>
      </c>
      <c r="BQ80" s="585">
        <f>SUM('Schedule 3B_Income_Eastern:Schedule 3D_Income_The Cape'!BQ80)</f>
        <v>0</v>
      </c>
      <c r="BR80" s="585">
        <f>SUM('Schedule 3B_Income_Eastern:Schedule 3D_Income_The Cape'!BR80)</f>
        <v>0</v>
      </c>
      <c r="BS80" s="586">
        <f t="shared" si="217"/>
        <v>0</v>
      </c>
      <c r="BT80" s="587">
        <f>SUM('Schedule 3B_Income_Eastern:Schedule 3D_Income_The Cape'!BT80)</f>
        <v>0</v>
      </c>
      <c r="BU80" s="585">
        <f>SUM('Schedule 3B_Income_Eastern:Schedule 3D_Income_The Cape'!BU80)</f>
        <v>0</v>
      </c>
      <c r="BV80" s="585">
        <f>SUM('Schedule 3B_Income_Eastern:Schedule 3D_Income_The Cape'!BV80)</f>
        <v>0</v>
      </c>
      <c r="BW80" s="585">
        <f>SUM('Schedule 3B_Income_Eastern:Schedule 3D_Income_The Cape'!BW80)</f>
        <v>0</v>
      </c>
      <c r="BX80" s="585">
        <f>SUM('Schedule 3B_Income_Eastern:Schedule 3D_Income_The Cape'!BX80)</f>
        <v>0</v>
      </c>
      <c r="BY80" s="585">
        <f>SUM('Schedule 3B_Income_Eastern:Schedule 3D_Income_The Cape'!BY80)</f>
        <v>0</v>
      </c>
      <c r="BZ80" s="585">
        <f>SUM('Schedule 3B_Income_Eastern:Schedule 3D_Income_The Cape'!BZ80)</f>
        <v>0</v>
      </c>
      <c r="CA80" s="585">
        <f>SUM('Schedule 3B_Income_Eastern:Schedule 3D_Income_The Cape'!CA80)</f>
        <v>0</v>
      </c>
      <c r="CB80" s="588">
        <f t="shared" si="218"/>
        <v>0</v>
      </c>
      <c r="CC80" s="589">
        <f t="shared" si="219"/>
        <v>0</v>
      </c>
      <c r="CD80" s="300">
        <v>52</v>
      </c>
      <c r="CE80" s="414">
        <f t="shared" si="220"/>
        <v>0</v>
      </c>
      <c r="CF80" s="414">
        <f t="shared" si="221"/>
        <v>0</v>
      </c>
      <c r="CG80" s="414">
        <f t="shared" si="222"/>
        <v>0</v>
      </c>
      <c r="CH80" s="414">
        <f t="shared" si="223"/>
        <v>0</v>
      </c>
      <c r="CI80" s="416">
        <f t="shared" si="224"/>
        <v>0</v>
      </c>
      <c r="CJ80" s="414">
        <f t="shared" si="225"/>
        <v>0</v>
      </c>
      <c r="CK80" s="414">
        <f t="shared" si="226"/>
        <v>0</v>
      </c>
      <c r="CL80" s="414">
        <f t="shared" si="227"/>
        <v>0</v>
      </c>
      <c r="CM80" s="414">
        <f t="shared" si="228"/>
        <v>0</v>
      </c>
      <c r="CN80" s="416">
        <f t="shared" si="229"/>
        <v>0</v>
      </c>
      <c r="CO80" s="414">
        <f t="shared" si="230"/>
        <v>0</v>
      </c>
      <c r="CP80" s="414">
        <f t="shared" si="231"/>
        <v>0</v>
      </c>
      <c r="CQ80" s="414">
        <f t="shared" si="232"/>
        <v>0</v>
      </c>
      <c r="CR80" s="414">
        <f t="shared" si="233"/>
        <v>0</v>
      </c>
      <c r="CS80" s="416">
        <f t="shared" si="234"/>
        <v>0</v>
      </c>
    </row>
    <row r="81" spans="1:97" ht="15.75" customHeight="1">
      <c r="A81" s="88" t="s">
        <v>254</v>
      </c>
      <c r="B81" s="300">
        <v>53</v>
      </c>
      <c r="C81" s="585">
        <f>SUM('Schedule 3B_Income_Eastern:Schedule 3D_Income_The Cape'!C81)</f>
        <v>83252.751066814293</v>
      </c>
      <c r="D81" s="585">
        <f>SUM('Schedule 3B_Income_Eastern:Schedule 3D_Income_The Cape'!D81)</f>
        <v>174550.258469327</v>
      </c>
      <c r="E81" s="585">
        <f>SUM('Schedule 3B_Income_Eastern:Schedule 3D_Income_The Cape'!E81)</f>
        <v>91269.898365019515</v>
      </c>
      <c r="F81" s="585">
        <f>SUM('Schedule 3B_Income_Eastern:Schedule 3D_Income_The Cape'!F81)</f>
        <v>191132.10902130909</v>
      </c>
      <c r="G81" s="585">
        <f>SUM('Schedule 3B_Income_Eastern:Schedule 3D_Income_The Cape'!G81)</f>
        <v>91594.904074474776</v>
      </c>
      <c r="H81" s="585">
        <f>SUM('Schedule 3B_Income_Eastern:Schedule 3D_Income_The Cape'!H81)</f>
        <v>193879.19924888582</v>
      </c>
      <c r="I81" s="585">
        <f>SUM('Schedule 3B_Income_Eastern:Schedule 3D_Income_The Cape'!I81)</f>
        <v>100025.83481003766</v>
      </c>
      <c r="J81" s="585">
        <f>SUM('Schedule 3B_Income_Eastern:Schedule 3D_Income_The Cape'!J81)</f>
        <v>204785.50816543703</v>
      </c>
      <c r="K81" s="586">
        <f t="shared" si="208"/>
        <v>1130490.4632213053</v>
      </c>
      <c r="L81" s="587">
        <f>SUM('Schedule 3B_Income_Eastern:Schedule 3D_Income_The Cape'!L81)</f>
        <v>0</v>
      </c>
      <c r="M81" s="585">
        <f>SUM('Schedule 3B_Income_Eastern:Schedule 3D_Income_The Cape'!M81)</f>
        <v>414032.88295709435</v>
      </c>
      <c r="N81" s="585">
        <f>SUM('Schedule 3B_Income_Eastern:Schedule 3D_Income_The Cape'!N81)</f>
        <v>0</v>
      </c>
      <c r="O81" s="585">
        <f>SUM('Schedule 3B_Income_Eastern:Schedule 3D_Income_The Cape'!O81)</f>
        <v>398730.91489208525</v>
      </c>
      <c r="P81" s="585">
        <f>SUM('Schedule 3B_Income_Eastern:Schedule 3D_Income_The Cape'!P81)</f>
        <v>0</v>
      </c>
      <c r="Q81" s="585">
        <f>SUM('Schedule 3B_Income_Eastern:Schedule 3D_Income_The Cape'!Q81)</f>
        <v>420585.26807473873</v>
      </c>
      <c r="R81" s="585">
        <f>SUM('Schedule 3B_Income_Eastern:Schedule 3D_Income_The Cape'!R81)</f>
        <v>0</v>
      </c>
      <c r="S81" s="585">
        <f>SUM('Schedule 3B_Income_Eastern:Schedule 3D_Income_The Cape'!S81)</f>
        <v>440770.97297529189</v>
      </c>
      <c r="T81" s="588">
        <f t="shared" si="209"/>
        <v>1674120.0388992103</v>
      </c>
      <c r="U81" s="589">
        <f t="shared" si="210"/>
        <v>2804610.5021205153</v>
      </c>
      <c r="V81" s="300">
        <v>53</v>
      </c>
      <c r="W81" s="585">
        <f>SUM('Schedule 3B_Income_Eastern:Schedule 3D_Income_The Cape'!W81)</f>
        <v>13440.127566319845</v>
      </c>
      <c r="X81" s="585">
        <f>SUM('Schedule 3B_Income_Eastern:Schedule 3D_Income_The Cape'!X81)</f>
        <v>90178.952684041724</v>
      </c>
      <c r="Y81" s="585">
        <f>SUM('Schedule 3B_Income_Eastern:Schedule 3D_Income_The Cape'!Y81)</f>
        <v>14120.034169649654</v>
      </c>
      <c r="Z81" s="585">
        <f>SUM('Schedule 3B_Income_Eastern:Schedule 3D_Income_The Cape'!Z81)</f>
        <v>91271.024566650274</v>
      </c>
      <c r="AA81" s="585">
        <f>SUM('Schedule 3B_Income_Eastern:Schedule 3D_Income_The Cape'!AA81)</f>
        <v>13573.097150556136</v>
      </c>
      <c r="AB81" s="585">
        <f>SUM('Schedule 3B_Income_Eastern:Schedule 3D_Income_The Cape'!AB81)</f>
        <v>88970.704085799036</v>
      </c>
      <c r="AC81" s="585">
        <f>SUM('Schedule 3B_Income_Eastern:Schedule 3D_Income_The Cape'!AC81)</f>
        <v>15923.106999124997</v>
      </c>
      <c r="AD81" s="585">
        <f>SUM('Schedule 3B_Income_Eastern:Schedule 3D_Income_The Cape'!AD81)</f>
        <v>96138.470276935492</v>
      </c>
      <c r="AE81" s="586">
        <f t="shared" si="211"/>
        <v>423615.51749907713</v>
      </c>
      <c r="AF81" s="587">
        <f>SUM('Schedule 3B_Income_Eastern:Schedule 3D_Income_The Cape'!AF81)</f>
        <v>0</v>
      </c>
      <c r="AG81" s="585">
        <f>SUM('Schedule 3B_Income_Eastern:Schedule 3D_Income_The Cape'!AG81)</f>
        <v>136298.40948521902</v>
      </c>
      <c r="AH81" s="585">
        <f>SUM('Schedule 3B_Income_Eastern:Schedule 3D_Income_The Cape'!AH81)</f>
        <v>0</v>
      </c>
      <c r="AI81" s="585">
        <f>SUM('Schedule 3B_Income_Eastern:Schedule 3D_Income_The Cape'!AI81)</f>
        <v>120304.94597752759</v>
      </c>
      <c r="AJ81" s="585">
        <f>SUM('Schedule 3B_Income_Eastern:Schedule 3D_Income_The Cape'!AJ81)</f>
        <v>0</v>
      </c>
      <c r="AK81" s="585">
        <f>SUM('Schedule 3B_Income_Eastern:Schedule 3D_Income_The Cape'!AK81)</f>
        <v>123122.85209701673</v>
      </c>
      <c r="AL81" s="585">
        <f>SUM('Schedule 3B_Income_Eastern:Schedule 3D_Income_The Cape'!AL81)</f>
        <v>0</v>
      </c>
      <c r="AM81" s="585">
        <f>SUM('Schedule 3B_Income_Eastern:Schedule 3D_Income_The Cape'!AM81)</f>
        <v>130807.89182974174</v>
      </c>
      <c r="AN81" s="588">
        <f t="shared" si="212"/>
        <v>510534.09938950511</v>
      </c>
      <c r="AO81" s="589">
        <f t="shared" si="213"/>
        <v>934149.61688858224</v>
      </c>
      <c r="AP81" s="300">
        <v>53</v>
      </c>
      <c r="AQ81" s="585">
        <f>SUM('Schedule 3B_Income_Eastern:Schedule 3D_Income_The Cape'!AQ81)</f>
        <v>1487729.7862058966</v>
      </c>
      <c r="AR81" s="585">
        <f>SUM('Schedule 3B_Income_Eastern:Schedule 3D_Income_The Cape'!AR81)</f>
        <v>3513453.5182685987</v>
      </c>
      <c r="AS81" s="585">
        <f>SUM('Schedule 3B_Income_Eastern:Schedule 3D_Income_The Cape'!AS81)</f>
        <v>1686146.5202181684</v>
      </c>
      <c r="AT81" s="585">
        <f>SUM('Schedule 3B_Income_Eastern:Schedule 3D_Income_The Cape'!AT81)</f>
        <v>3915097.5950544737</v>
      </c>
      <c r="AU81" s="585">
        <f>SUM('Schedule 3B_Income_Eastern:Schedule 3D_Income_The Cape'!AU81)</f>
        <v>1721362.887081854</v>
      </c>
      <c r="AV81" s="585">
        <f>SUM('Schedule 3B_Income_Eastern:Schedule 3D_Income_The Cape'!AV81)</f>
        <v>4002598.861025285</v>
      </c>
      <c r="AW81" s="585">
        <f>SUM('Schedule 3B_Income_Eastern:Schedule 3D_Income_The Cape'!AW81)</f>
        <v>1982135.9082205116</v>
      </c>
      <c r="AX81" s="585">
        <f>SUM('Schedule 3B_Income_Eastern:Schedule 3D_Income_The Cape'!AX81)</f>
        <v>4358295.582464234</v>
      </c>
      <c r="AY81" s="586">
        <f t="shared" si="214"/>
        <v>22666820.65853902</v>
      </c>
      <c r="AZ81" s="587">
        <f>SUM('Schedule 3B_Income_Eastern:Schedule 3D_Income_The Cape'!AZ81)</f>
        <v>0</v>
      </c>
      <c r="BA81" s="585">
        <f>SUM('Schedule 3B_Income_Eastern:Schedule 3D_Income_The Cape'!BA81)</f>
        <v>3138966.9843001761</v>
      </c>
      <c r="BB81" s="585">
        <f>SUM('Schedule 3B_Income_Eastern:Schedule 3D_Income_The Cape'!BB81)</f>
        <v>0</v>
      </c>
      <c r="BC81" s="585">
        <f>SUM('Schedule 3B_Income_Eastern:Schedule 3D_Income_The Cape'!BC81)</f>
        <v>2747627.6960604917</v>
      </c>
      <c r="BD81" s="585">
        <f>SUM('Schedule 3B_Income_Eastern:Schedule 3D_Income_The Cape'!BD81)</f>
        <v>0</v>
      </c>
      <c r="BE81" s="585">
        <f>SUM('Schedule 3B_Income_Eastern:Schedule 3D_Income_The Cape'!BE81)</f>
        <v>3046764.8764792653</v>
      </c>
      <c r="BF81" s="585">
        <f>SUM('Schedule 3B_Income_Eastern:Schedule 3D_Income_The Cape'!BF81)</f>
        <v>0</v>
      </c>
      <c r="BG81" s="585">
        <f>SUM('Schedule 3B_Income_Eastern:Schedule 3D_Income_The Cape'!BG81)</f>
        <v>3223382.4865204599</v>
      </c>
      <c r="BH81" s="588">
        <f t="shared" si="215"/>
        <v>12156742.043360392</v>
      </c>
      <c r="BI81" s="589">
        <f t="shared" si="216"/>
        <v>34823562.701899409</v>
      </c>
      <c r="BJ81" s="300">
        <v>53</v>
      </c>
      <c r="BK81" s="585">
        <f>SUM('Schedule 3B_Income_Eastern:Schedule 3D_Income_The Cape'!BK81)</f>
        <v>31702.315320536876</v>
      </c>
      <c r="BL81" s="585">
        <f>SUM('Schedule 3B_Income_Eastern:Schedule 3D_Income_The Cape'!BL81)</f>
        <v>363799.46172213036</v>
      </c>
      <c r="BM81" s="585">
        <f>SUM('Schedule 3B_Income_Eastern:Schedule 3D_Income_The Cape'!BM81)</f>
        <v>32003.586615970573</v>
      </c>
      <c r="BN81" s="585">
        <f>SUM('Schedule 3B_Income_Eastern:Schedule 3D_Income_The Cape'!BN81)</f>
        <v>366408.10638328467</v>
      </c>
      <c r="BO81" s="585">
        <f>SUM('Schedule 3B_Income_Eastern:Schedule 3D_Income_The Cape'!BO81)</f>
        <v>31233.821154718415</v>
      </c>
      <c r="BP81" s="585">
        <f>SUM('Schedule 3B_Income_Eastern:Schedule 3D_Income_The Cape'!BP81)</f>
        <v>346059.16811622336</v>
      </c>
      <c r="BQ81" s="585">
        <f>SUM('Schedule 3B_Income_Eastern:Schedule 3D_Income_The Cape'!BQ81)</f>
        <v>36071.273061612104</v>
      </c>
      <c r="BR81" s="585">
        <f>SUM('Schedule 3B_Income_Eastern:Schedule 3D_Income_The Cape'!BR81)</f>
        <v>377969.15132881986</v>
      </c>
      <c r="BS81" s="586">
        <f t="shared" si="217"/>
        <v>1585246.8837032963</v>
      </c>
      <c r="BT81" s="587">
        <f>SUM('Schedule 3B_Income_Eastern:Schedule 3D_Income_The Cape'!BT81)</f>
        <v>0</v>
      </c>
      <c r="BU81" s="585">
        <f>SUM('Schedule 3B_Income_Eastern:Schedule 3D_Income_The Cape'!BU81)</f>
        <v>122700.49023887394</v>
      </c>
      <c r="BV81" s="585">
        <f>SUM('Schedule 3B_Income_Eastern:Schedule 3D_Income_The Cape'!BV81)</f>
        <v>0</v>
      </c>
      <c r="BW81" s="585">
        <f>SUM('Schedule 3B_Income_Eastern:Schedule 3D_Income_The Cape'!BW81)</f>
        <v>115371.00208223645</v>
      </c>
      <c r="BX81" s="585">
        <f>SUM('Schedule 3B_Income_Eastern:Schedule 3D_Income_The Cape'!BX81)</f>
        <v>0</v>
      </c>
      <c r="BY81" s="585">
        <f>SUM('Schedule 3B_Income_Eastern:Schedule 3D_Income_The Cape'!BY81)</f>
        <v>119843.53421410153</v>
      </c>
      <c r="BZ81" s="585">
        <f>SUM('Schedule 3B_Income_Eastern:Schedule 3D_Income_The Cape'!BZ81)</f>
        <v>0</v>
      </c>
      <c r="CA81" s="585">
        <f>SUM('Schedule 3B_Income_Eastern:Schedule 3D_Income_The Cape'!CA81)</f>
        <v>142539.45475888328</v>
      </c>
      <c r="CB81" s="588">
        <f t="shared" si="218"/>
        <v>500454.48129409523</v>
      </c>
      <c r="CC81" s="589">
        <f t="shared" si="219"/>
        <v>2085701.3649973916</v>
      </c>
      <c r="CD81" s="300">
        <v>53</v>
      </c>
      <c r="CE81" s="414">
        <f t="shared" si="220"/>
        <v>5758107.1713036653</v>
      </c>
      <c r="CF81" s="414">
        <f t="shared" si="221"/>
        <v>6387448.8743945258</v>
      </c>
      <c r="CG81" s="414">
        <f t="shared" si="222"/>
        <v>6489272.641937796</v>
      </c>
      <c r="CH81" s="414">
        <f t="shared" si="223"/>
        <v>7171344.8353267126</v>
      </c>
      <c r="CI81" s="416">
        <f t="shared" si="224"/>
        <v>25806173.522962697</v>
      </c>
      <c r="CJ81" s="414">
        <f t="shared" si="225"/>
        <v>3811998.7669813633</v>
      </c>
      <c r="CK81" s="414">
        <f t="shared" si="226"/>
        <v>3382034.5590123413</v>
      </c>
      <c r="CL81" s="414">
        <f t="shared" si="227"/>
        <v>3710316.5308651226</v>
      </c>
      <c r="CM81" s="414">
        <f t="shared" si="228"/>
        <v>3937500.8060843768</v>
      </c>
      <c r="CN81" s="416">
        <f t="shared" si="229"/>
        <v>14841850.662943203</v>
      </c>
      <c r="CO81" s="414">
        <f t="shared" si="230"/>
        <v>9570105.9382850267</v>
      </c>
      <c r="CP81" s="414">
        <f t="shared" si="231"/>
        <v>9769483.4334068671</v>
      </c>
      <c r="CQ81" s="414">
        <f t="shared" si="232"/>
        <v>10199589.17280292</v>
      </c>
      <c r="CR81" s="414">
        <f t="shared" si="233"/>
        <v>11108845.64141109</v>
      </c>
      <c r="CS81" s="416">
        <f t="shared" si="234"/>
        <v>40648024.185905904</v>
      </c>
    </row>
    <row r="82" spans="1:97" ht="15.75" customHeight="1">
      <c r="A82" s="88" t="s">
        <v>256</v>
      </c>
      <c r="B82" s="300">
        <v>54</v>
      </c>
      <c r="C82" s="585">
        <f>SUM('Schedule 3B_Income_Eastern:Schedule 3D_Income_The Cape'!C82)</f>
        <v>0</v>
      </c>
      <c r="D82" s="585">
        <f>SUM('Schedule 3B_Income_Eastern:Schedule 3D_Income_The Cape'!D82)</f>
        <v>0</v>
      </c>
      <c r="E82" s="585">
        <f>SUM('Schedule 3B_Income_Eastern:Schedule 3D_Income_The Cape'!E82)</f>
        <v>0</v>
      </c>
      <c r="F82" s="585">
        <f>SUM('Schedule 3B_Income_Eastern:Schedule 3D_Income_The Cape'!F82)</f>
        <v>0</v>
      </c>
      <c r="G82" s="585">
        <f>SUM('Schedule 3B_Income_Eastern:Schedule 3D_Income_The Cape'!G82)</f>
        <v>0</v>
      </c>
      <c r="H82" s="585">
        <f>SUM('Schedule 3B_Income_Eastern:Schedule 3D_Income_The Cape'!H82)</f>
        <v>0</v>
      </c>
      <c r="I82" s="585">
        <f>SUM('Schedule 3B_Income_Eastern:Schedule 3D_Income_The Cape'!I82)</f>
        <v>0</v>
      </c>
      <c r="J82" s="585">
        <f>SUM('Schedule 3B_Income_Eastern:Schedule 3D_Income_The Cape'!J82)</f>
        <v>0</v>
      </c>
      <c r="K82" s="586">
        <f t="shared" si="208"/>
        <v>0</v>
      </c>
      <c r="L82" s="587">
        <f>SUM('Schedule 3B_Income_Eastern:Schedule 3D_Income_The Cape'!L82)</f>
        <v>0</v>
      </c>
      <c r="M82" s="585">
        <f>SUM('Schedule 3B_Income_Eastern:Schedule 3D_Income_The Cape'!M82)</f>
        <v>0</v>
      </c>
      <c r="N82" s="585">
        <f>SUM('Schedule 3B_Income_Eastern:Schedule 3D_Income_The Cape'!N82)</f>
        <v>0</v>
      </c>
      <c r="O82" s="585">
        <f>SUM('Schedule 3B_Income_Eastern:Schedule 3D_Income_The Cape'!O82)</f>
        <v>0</v>
      </c>
      <c r="P82" s="585">
        <f>SUM('Schedule 3B_Income_Eastern:Schedule 3D_Income_The Cape'!P82)</f>
        <v>0</v>
      </c>
      <c r="Q82" s="585">
        <f>SUM('Schedule 3B_Income_Eastern:Schedule 3D_Income_The Cape'!Q82)</f>
        <v>0</v>
      </c>
      <c r="R82" s="585">
        <f>SUM('Schedule 3B_Income_Eastern:Schedule 3D_Income_The Cape'!R82)</f>
        <v>0</v>
      </c>
      <c r="S82" s="585">
        <f>SUM('Schedule 3B_Income_Eastern:Schedule 3D_Income_The Cape'!S82)</f>
        <v>0</v>
      </c>
      <c r="T82" s="588">
        <f t="shared" si="209"/>
        <v>0</v>
      </c>
      <c r="U82" s="589">
        <f t="shared" si="210"/>
        <v>0</v>
      </c>
      <c r="V82" s="300">
        <v>54</v>
      </c>
      <c r="W82" s="585">
        <f>SUM('Schedule 3B_Income_Eastern:Schedule 3D_Income_The Cape'!W82)</f>
        <v>0</v>
      </c>
      <c r="X82" s="585">
        <f>SUM('Schedule 3B_Income_Eastern:Schedule 3D_Income_The Cape'!X82)</f>
        <v>0</v>
      </c>
      <c r="Y82" s="585">
        <f>SUM('Schedule 3B_Income_Eastern:Schedule 3D_Income_The Cape'!Y82)</f>
        <v>0</v>
      </c>
      <c r="Z82" s="585">
        <f>SUM('Schedule 3B_Income_Eastern:Schedule 3D_Income_The Cape'!Z82)</f>
        <v>0</v>
      </c>
      <c r="AA82" s="585">
        <f>SUM('Schedule 3B_Income_Eastern:Schedule 3D_Income_The Cape'!AA82)</f>
        <v>0</v>
      </c>
      <c r="AB82" s="585">
        <f>SUM('Schedule 3B_Income_Eastern:Schedule 3D_Income_The Cape'!AB82)</f>
        <v>0</v>
      </c>
      <c r="AC82" s="585">
        <f>SUM('Schedule 3B_Income_Eastern:Schedule 3D_Income_The Cape'!AC82)</f>
        <v>0</v>
      </c>
      <c r="AD82" s="585">
        <f>SUM('Schedule 3B_Income_Eastern:Schedule 3D_Income_The Cape'!AD82)</f>
        <v>0</v>
      </c>
      <c r="AE82" s="586">
        <f t="shared" si="211"/>
        <v>0</v>
      </c>
      <c r="AF82" s="587">
        <f>SUM('Schedule 3B_Income_Eastern:Schedule 3D_Income_The Cape'!AF82)</f>
        <v>0</v>
      </c>
      <c r="AG82" s="585">
        <f>SUM('Schedule 3B_Income_Eastern:Schedule 3D_Income_The Cape'!AG82)</f>
        <v>0</v>
      </c>
      <c r="AH82" s="585">
        <f>SUM('Schedule 3B_Income_Eastern:Schedule 3D_Income_The Cape'!AH82)</f>
        <v>0</v>
      </c>
      <c r="AI82" s="585">
        <f>SUM('Schedule 3B_Income_Eastern:Schedule 3D_Income_The Cape'!AI82)</f>
        <v>0</v>
      </c>
      <c r="AJ82" s="585">
        <f>SUM('Schedule 3B_Income_Eastern:Schedule 3D_Income_The Cape'!AJ82)</f>
        <v>0</v>
      </c>
      <c r="AK82" s="585">
        <f>SUM('Schedule 3B_Income_Eastern:Schedule 3D_Income_The Cape'!AK82)</f>
        <v>0</v>
      </c>
      <c r="AL82" s="585">
        <f>SUM('Schedule 3B_Income_Eastern:Schedule 3D_Income_The Cape'!AL82)</f>
        <v>0</v>
      </c>
      <c r="AM82" s="585">
        <f>SUM('Schedule 3B_Income_Eastern:Schedule 3D_Income_The Cape'!AM82)</f>
        <v>0</v>
      </c>
      <c r="AN82" s="588">
        <f t="shared" si="212"/>
        <v>0</v>
      </c>
      <c r="AO82" s="589">
        <f t="shared" si="213"/>
        <v>0</v>
      </c>
      <c r="AP82" s="300">
        <v>54</v>
      </c>
      <c r="AQ82" s="585">
        <f>SUM('Schedule 3B_Income_Eastern:Schedule 3D_Income_The Cape'!AQ82)</f>
        <v>0</v>
      </c>
      <c r="AR82" s="585">
        <f>SUM('Schedule 3B_Income_Eastern:Schedule 3D_Income_The Cape'!AR82)</f>
        <v>0</v>
      </c>
      <c r="AS82" s="585">
        <f>SUM('Schedule 3B_Income_Eastern:Schedule 3D_Income_The Cape'!AS82)</f>
        <v>0</v>
      </c>
      <c r="AT82" s="585">
        <f>SUM('Schedule 3B_Income_Eastern:Schedule 3D_Income_The Cape'!AT82)</f>
        <v>0</v>
      </c>
      <c r="AU82" s="585">
        <f>SUM('Schedule 3B_Income_Eastern:Schedule 3D_Income_The Cape'!AU82)</f>
        <v>0</v>
      </c>
      <c r="AV82" s="585">
        <f>SUM('Schedule 3B_Income_Eastern:Schedule 3D_Income_The Cape'!AV82)</f>
        <v>0</v>
      </c>
      <c r="AW82" s="585">
        <f>SUM('Schedule 3B_Income_Eastern:Schedule 3D_Income_The Cape'!AW82)</f>
        <v>0</v>
      </c>
      <c r="AX82" s="585">
        <f>SUM('Schedule 3B_Income_Eastern:Schedule 3D_Income_The Cape'!AX82)</f>
        <v>0</v>
      </c>
      <c r="AY82" s="586">
        <f t="shared" si="214"/>
        <v>0</v>
      </c>
      <c r="AZ82" s="587">
        <f>SUM('Schedule 3B_Income_Eastern:Schedule 3D_Income_The Cape'!AZ82)</f>
        <v>0</v>
      </c>
      <c r="BA82" s="585">
        <f>SUM('Schedule 3B_Income_Eastern:Schedule 3D_Income_The Cape'!BA82)</f>
        <v>0</v>
      </c>
      <c r="BB82" s="585">
        <f>SUM('Schedule 3B_Income_Eastern:Schedule 3D_Income_The Cape'!BB82)</f>
        <v>0</v>
      </c>
      <c r="BC82" s="585">
        <f>SUM('Schedule 3B_Income_Eastern:Schedule 3D_Income_The Cape'!BC82)</f>
        <v>0</v>
      </c>
      <c r="BD82" s="585">
        <f>SUM('Schedule 3B_Income_Eastern:Schedule 3D_Income_The Cape'!BD82)</f>
        <v>0</v>
      </c>
      <c r="BE82" s="585">
        <f>SUM('Schedule 3B_Income_Eastern:Schedule 3D_Income_The Cape'!BE82)</f>
        <v>0</v>
      </c>
      <c r="BF82" s="585">
        <f>SUM('Schedule 3B_Income_Eastern:Schedule 3D_Income_The Cape'!BF82)</f>
        <v>0</v>
      </c>
      <c r="BG82" s="585">
        <f>SUM('Schedule 3B_Income_Eastern:Schedule 3D_Income_The Cape'!BG82)</f>
        <v>0</v>
      </c>
      <c r="BH82" s="588">
        <f t="shared" si="215"/>
        <v>0</v>
      </c>
      <c r="BI82" s="589">
        <f t="shared" si="216"/>
        <v>0</v>
      </c>
      <c r="BJ82" s="300">
        <v>54</v>
      </c>
      <c r="BK82" s="585">
        <f>SUM('Schedule 3B_Income_Eastern:Schedule 3D_Income_The Cape'!BK82)</f>
        <v>0</v>
      </c>
      <c r="BL82" s="585">
        <f>SUM('Schedule 3B_Income_Eastern:Schedule 3D_Income_The Cape'!BL82)</f>
        <v>0</v>
      </c>
      <c r="BM82" s="585">
        <f>SUM('Schedule 3B_Income_Eastern:Schedule 3D_Income_The Cape'!BM82)</f>
        <v>0</v>
      </c>
      <c r="BN82" s="585">
        <f>SUM('Schedule 3B_Income_Eastern:Schedule 3D_Income_The Cape'!BN82)</f>
        <v>0</v>
      </c>
      <c r="BO82" s="585">
        <f>SUM('Schedule 3B_Income_Eastern:Schedule 3D_Income_The Cape'!BO82)</f>
        <v>0</v>
      </c>
      <c r="BP82" s="585">
        <f>SUM('Schedule 3B_Income_Eastern:Schedule 3D_Income_The Cape'!BP82)</f>
        <v>0</v>
      </c>
      <c r="BQ82" s="585">
        <f>SUM('Schedule 3B_Income_Eastern:Schedule 3D_Income_The Cape'!BQ82)</f>
        <v>0</v>
      </c>
      <c r="BR82" s="585">
        <f>SUM('Schedule 3B_Income_Eastern:Schedule 3D_Income_The Cape'!BR82)</f>
        <v>0</v>
      </c>
      <c r="BS82" s="586">
        <f t="shared" si="217"/>
        <v>0</v>
      </c>
      <c r="BT82" s="587">
        <f>SUM('Schedule 3B_Income_Eastern:Schedule 3D_Income_The Cape'!BT82)</f>
        <v>0</v>
      </c>
      <c r="BU82" s="585">
        <f>SUM('Schedule 3B_Income_Eastern:Schedule 3D_Income_The Cape'!BU82)</f>
        <v>0</v>
      </c>
      <c r="BV82" s="585">
        <f>SUM('Schedule 3B_Income_Eastern:Schedule 3D_Income_The Cape'!BV82)</f>
        <v>0</v>
      </c>
      <c r="BW82" s="585">
        <f>SUM('Schedule 3B_Income_Eastern:Schedule 3D_Income_The Cape'!BW82)</f>
        <v>0</v>
      </c>
      <c r="BX82" s="585">
        <f>SUM('Schedule 3B_Income_Eastern:Schedule 3D_Income_The Cape'!BX82)</f>
        <v>0</v>
      </c>
      <c r="BY82" s="585">
        <f>SUM('Schedule 3B_Income_Eastern:Schedule 3D_Income_The Cape'!BY82)</f>
        <v>0</v>
      </c>
      <c r="BZ82" s="585">
        <f>SUM('Schedule 3B_Income_Eastern:Schedule 3D_Income_The Cape'!BZ82)</f>
        <v>0</v>
      </c>
      <c r="CA82" s="585">
        <f>SUM('Schedule 3B_Income_Eastern:Schedule 3D_Income_The Cape'!CA82)</f>
        <v>0</v>
      </c>
      <c r="CB82" s="588">
        <f t="shared" si="218"/>
        <v>0</v>
      </c>
      <c r="CC82" s="589">
        <f t="shared" si="219"/>
        <v>0</v>
      </c>
      <c r="CD82" s="300">
        <v>54</v>
      </c>
      <c r="CE82" s="414">
        <f t="shared" si="220"/>
        <v>0</v>
      </c>
      <c r="CF82" s="414">
        <f t="shared" si="221"/>
        <v>0</v>
      </c>
      <c r="CG82" s="414">
        <f t="shared" si="222"/>
        <v>0</v>
      </c>
      <c r="CH82" s="414">
        <f t="shared" si="223"/>
        <v>0</v>
      </c>
      <c r="CI82" s="416">
        <f t="shared" si="224"/>
        <v>0</v>
      </c>
      <c r="CJ82" s="414">
        <f t="shared" si="225"/>
        <v>0</v>
      </c>
      <c r="CK82" s="414">
        <f t="shared" si="226"/>
        <v>0</v>
      </c>
      <c r="CL82" s="414">
        <f t="shared" si="227"/>
        <v>0</v>
      </c>
      <c r="CM82" s="414">
        <f t="shared" si="228"/>
        <v>0</v>
      </c>
      <c r="CN82" s="416">
        <f t="shared" si="229"/>
        <v>0</v>
      </c>
      <c r="CO82" s="414">
        <f t="shared" si="230"/>
        <v>0</v>
      </c>
      <c r="CP82" s="414">
        <f t="shared" si="231"/>
        <v>0</v>
      </c>
      <c r="CQ82" s="414">
        <f t="shared" si="232"/>
        <v>0</v>
      </c>
      <c r="CR82" s="414">
        <f t="shared" si="233"/>
        <v>0</v>
      </c>
      <c r="CS82" s="416">
        <f t="shared" si="234"/>
        <v>0</v>
      </c>
    </row>
    <row r="83" spans="1:97" ht="15.75" customHeight="1">
      <c r="A83" s="88" t="s">
        <v>258</v>
      </c>
      <c r="B83" s="300">
        <v>55</v>
      </c>
      <c r="C83" s="585">
        <f>SUM('Schedule 3B_Income_Eastern:Schedule 3D_Income_The Cape'!C83)</f>
        <v>0</v>
      </c>
      <c r="D83" s="585">
        <f>SUM('Schedule 3B_Income_Eastern:Schedule 3D_Income_The Cape'!D83)</f>
        <v>0</v>
      </c>
      <c r="E83" s="585">
        <f>SUM('Schedule 3B_Income_Eastern:Schedule 3D_Income_The Cape'!E83)</f>
        <v>0</v>
      </c>
      <c r="F83" s="585">
        <f>SUM('Schedule 3B_Income_Eastern:Schedule 3D_Income_The Cape'!F83)</f>
        <v>0</v>
      </c>
      <c r="G83" s="585">
        <f>SUM('Schedule 3B_Income_Eastern:Schedule 3D_Income_The Cape'!G83)</f>
        <v>0</v>
      </c>
      <c r="H83" s="585">
        <f>SUM('Schedule 3B_Income_Eastern:Schedule 3D_Income_The Cape'!H83)</f>
        <v>0</v>
      </c>
      <c r="I83" s="585">
        <f>SUM('Schedule 3B_Income_Eastern:Schedule 3D_Income_The Cape'!I83)</f>
        <v>0</v>
      </c>
      <c r="J83" s="585">
        <f>SUM('Schedule 3B_Income_Eastern:Schedule 3D_Income_The Cape'!J83)</f>
        <v>0</v>
      </c>
      <c r="K83" s="586">
        <f t="shared" si="208"/>
        <v>0</v>
      </c>
      <c r="L83" s="587">
        <f>SUM('Schedule 3B_Income_Eastern:Schedule 3D_Income_The Cape'!L83)</f>
        <v>0</v>
      </c>
      <c r="M83" s="585">
        <f>SUM('Schedule 3B_Income_Eastern:Schedule 3D_Income_The Cape'!M83)</f>
        <v>0</v>
      </c>
      <c r="N83" s="585">
        <f>SUM('Schedule 3B_Income_Eastern:Schedule 3D_Income_The Cape'!N83)</f>
        <v>0</v>
      </c>
      <c r="O83" s="585">
        <f>SUM('Schedule 3B_Income_Eastern:Schedule 3D_Income_The Cape'!O83)</f>
        <v>0</v>
      </c>
      <c r="P83" s="585">
        <f>SUM('Schedule 3B_Income_Eastern:Schedule 3D_Income_The Cape'!P83)</f>
        <v>0</v>
      </c>
      <c r="Q83" s="585">
        <f>SUM('Schedule 3B_Income_Eastern:Schedule 3D_Income_The Cape'!Q83)</f>
        <v>0</v>
      </c>
      <c r="R83" s="585">
        <f>SUM('Schedule 3B_Income_Eastern:Schedule 3D_Income_The Cape'!R83)</f>
        <v>0</v>
      </c>
      <c r="S83" s="585">
        <f>SUM('Schedule 3B_Income_Eastern:Schedule 3D_Income_The Cape'!S83)</f>
        <v>0</v>
      </c>
      <c r="T83" s="588">
        <f t="shared" si="209"/>
        <v>0</v>
      </c>
      <c r="U83" s="589">
        <f t="shared" si="210"/>
        <v>0</v>
      </c>
      <c r="V83" s="300">
        <v>55</v>
      </c>
      <c r="W83" s="585">
        <f>SUM('Schedule 3B_Income_Eastern:Schedule 3D_Income_The Cape'!W83)</f>
        <v>0</v>
      </c>
      <c r="X83" s="585">
        <f>SUM('Schedule 3B_Income_Eastern:Schedule 3D_Income_The Cape'!X83)</f>
        <v>0</v>
      </c>
      <c r="Y83" s="585">
        <f>SUM('Schedule 3B_Income_Eastern:Schedule 3D_Income_The Cape'!Y83)</f>
        <v>0</v>
      </c>
      <c r="Z83" s="585">
        <f>SUM('Schedule 3B_Income_Eastern:Schedule 3D_Income_The Cape'!Z83)</f>
        <v>0</v>
      </c>
      <c r="AA83" s="585">
        <f>SUM('Schedule 3B_Income_Eastern:Schedule 3D_Income_The Cape'!AA83)</f>
        <v>0</v>
      </c>
      <c r="AB83" s="585">
        <f>SUM('Schedule 3B_Income_Eastern:Schedule 3D_Income_The Cape'!AB83)</f>
        <v>0</v>
      </c>
      <c r="AC83" s="585">
        <f>SUM('Schedule 3B_Income_Eastern:Schedule 3D_Income_The Cape'!AC83)</f>
        <v>0</v>
      </c>
      <c r="AD83" s="585">
        <f>SUM('Schedule 3B_Income_Eastern:Schedule 3D_Income_The Cape'!AD83)</f>
        <v>0</v>
      </c>
      <c r="AE83" s="586">
        <f t="shared" si="211"/>
        <v>0</v>
      </c>
      <c r="AF83" s="587">
        <f>SUM('Schedule 3B_Income_Eastern:Schedule 3D_Income_The Cape'!AF83)</f>
        <v>0</v>
      </c>
      <c r="AG83" s="585">
        <f>SUM('Schedule 3B_Income_Eastern:Schedule 3D_Income_The Cape'!AG83)</f>
        <v>0</v>
      </c>
      <c r="AH83" s="585">
        <f>SUM('Schedule 3B_Income_Eastern:Schedule 3D_Income_The Cape'!AH83)</f>
        <v>0</v>
      </c>
      <c r="AI83" s="585">
        <f>SUM('Schedule 3B_Income_Eastern:Schedule 3D_Income_The Cape'!AI83)</f>
        <v>0</v>
      </c>
      <c r="AJ83" s="585">
        <f>SUM('Schedule 3B_Income_Eastern:Schedule 3D_Income_The Cape'!AJ83)</f>
        <v>0</v>
      </c>
      <c r="AK83" s="585">
        <f>SUM('Schedule 3B_Income_Eastern:Schedule 3D_Income_The Cape'!AK83)</f>
        <v>0</v>
      </c>
      <c r="AL83" s="585">
        <f>SUM('Schedule 3B_Income_Eastern:Schedule 3D_Income_The Cape'!AL83)</f>
        <v>0</v>
      </c>
      <c r="AM83" s="585">
        <f>SUM('Schedule 3B_Income_Eastern:Schedule 3D_Income_The Cape'!AM83)</f>
        <v>0</v>
      </c>
      <c r="AN83" s="588">
        <f t="shared" si="212"/>
        <v>0</v>
      </c>
      <c r="AO83" s="589">
        <f t="shared" si="213"/>
        <v>0</v>
      </c>
      <c r="AP83" s="300">
        <v>55</v>
      </c>
      <c r="AQ83" s="585">
        <f>SUM('Schedule 3B_Income_Eastern:Schedule 3D_Income_The Cape'!AQ83)</f>
        <v>0</v>
      </c>
      <c r="AR83" s="585">
        <f>SUM('Schedule 3B_Income_Eastern:Schedule 3D_Income_The Cape'!AR83)</f>
        <v>0</v>
      </c>
      <c r="AS83" s="585">
        <f>SUM('Schedule 3B_Income_Eastern:Schedule 3D_Income_The Cape'!AS83)</f>
        <v>0</v>
      </c>
      <c r="AT83" s="585">
        <f>SUM('Schedule 3B_Income_Eastern:Schedule 3D_Income_The Cape'!AT83)</f>
        <v>0</v>
      </c>
      <c r="AU83" s="585">
        <f>SUM('Schedule 3B_Income_Eastern:Schedule 3D_Income_The Cape'!AU83)</f>
        <v>0</v>
      </c>
      <c r="AV83" s="585">
        <f>SUM('Schedule 3B_Income_Eastern:Schedule 3D_Income_The Cape'!AV83)</f>
        <v>0</v>
      </c>
      <c r="AW83" s="585">
        <f>SUM('Schedule 3B_Income_Eastern:Schedule 3D_Income_The Cape'!AW83)</f>
        <v>0</v>
      </c>
      <c r="AX83" s="585">
        <f>SUM('Schedule 3B_Income_Eastern:Schedule 3D_Income_The Cape'!AX83)</f>
        <v>0</v>
      </c>
      <c r="AY83" s="586">
        <f t="shared" si="214"/>
        <v>0</v>
      </c>
      <c r="AZ83" s="587">
        <f>SUM('Schedule 3B_Income_Eastern:Schedule 3D_Income_The Cape'!AZ83)</f>
        <v>0</v>
      </c>
      <c r="BA83" s="585">
        <f>SUM('Schedule 3B_Income_Eastern:Schedule 3D_Income_The Cape'!BA83)</f>
        <v>0</v>
      </c>
      <c r="BB83" s="585">
        <f>SUM('Schedule 3B_Income_Eastern:Schedule 3D_Income_The Cape'!BB83)</f>
        <v>0</v>
      </c>
      <c r="BC83" s="585">
        <f>SUM('Schedule 3B_Income_Eastern:Schedule 3D_Income_The Cape'!BC83)</f>
        <v>0</v>
      </c>
      <c r="BD83" s="585">
        <f>SUM('Schedule 3B_Income_Eastern:Schedule 3D_Income_The Cape'!BD83)</f>
        <v>0</v>
      </c>
      <c r="BE83" s="585">
        <f>SUM('Schedule 3B_Income_Eastern:Schedule 3D_Income_The Cape'!BE83)</f>
        <v>0</v>
      </c>
      <c r="BF83" s="585">
        <f>SUM('Schedule 3B_Income_Eastern:Schedule 3D_Income_The Cape'!BF83)</f>
        <v>0</v>
      </c>
      <c r="BG83" s="585">
        <f>SUM('Schedule 3B_Income_Eastern:Schedule 3D_Income_The Cape'!BG83)</f>
        <v>0</v>
      </c>
      <c r="BH83" s="588">
        <f t="shared" si="215"/>
        <v>0</v>
      </c>
      <c r="BI83" s="589">
        <f t="shared" si="216"/>
        <v>0</v>
      </c>
      <c r="BJ83" s="300">
        <v>55</v>
      </c>
      <c r="BK83" s="585">
        <f>SUM('Schedule 3B_Income_Eastern:Schedule 3D_Income_The Cape'!BK83)</f>
        <v>0</v>
      </c>
      <c r="BL83" s="585">
        <f>SUM('Schedule 3B_Income_Eastern:Schedule 3D_Income_The Cape'!BL83)</f>
        <v>0</v>
      </c>
      <c r="BM83" s="585">
        <f>SUM('Schedule 3B_Income_Eastern:Schedule 3D_Income_The Cape'!BM83)</f>
        <v>0</v>
      </c>
      <c r="BN83" s="585">
        <f>SUM('Schedule 3B_Income_Eastern:Schedule 3D_Income_The Cape'!BN83)</f>
        <v>0</v>
      </c>
      <c r="BO83" s="585">
        <f>SUM('Schedule 3B_Income_Eastern:Schedule 3D_Income_The Cape'!BO83)</f>
        <v>0</v>
      </c>
      <c r="BP83" s="585">
        <f>SUM('Schedule 3B_Income_Eastern:Schedule 3D_Income_The Cape'!BP83)</f>
        <v>0</v>
      </c>
      <c r="BQ83" s="585">
        <f>SUM('Schedule 3B_Income_Eastern:Schedule 3D_Income_The Cape'!BQ83)</f>
        <v>0</v>
      </c>
      <c r="BR83" s="585">
        <f>SUM('Schedule 3B_Income_Eastern:Schedule 3D_Income_The Cape'!BR83)</f>
        <v>0</v>
      </c>
      <c r="BS83" s="586">
        <f t="shared" si="217"/>
        <v>0</v>
      </c>
      <c r="BT83" s="587">
        <f>SUM('Schedule 3B_Income_Eastern:Schedule 3D_Income_The Cape'!BT83)</f>
        <v>0</v>
      </c>
      <c r="BU83" s="585">
        <f>SUM('Schedule 3B_Income_Eastern:Schedule 3D_Income_The Cape'!BU83)</f>
        <v>0</v>
      </c>
      <c r="BV83" s="585">
        <f>SUM('Schedule 3B_Income_Eastern:Schedule 3D_Income_The Cape'!BV83)</f>
        <v>0</v>
      </c>
      <c r="BW83" s="585">
        <f>SUM('Schedule 3B_Income_Eastern:Schedule 3D_Income_The Cape'!BW83)</f>
        <v>0</v>
      </c>
      <c r="BX83" s="585">
        <f>SUM('Schedule 3B_Income_Eastern:Schedule 3D_Income_The Cape'!BX83)</f>
        <v>0</v>
      </c>
      <c r="BY83" s="585">
        <f>SUM('Schedule 3B_Income_Eastern:Schedule 3D_Income_The Cape'!BY83)</f>
        <v>0</v>
      </c>
      <c r="BZ83" s="585">
        <f>SUM('Schedule 3B_Income_Eastern:Schedule 3D_Income_The Cape'!BZ83)</f>
        <v>0</v>
      </c>
      <c r="CA83" s="585">
        <f>SUM('Schedule 3B_Income_Eastern:Schedule 3D_Income_The Cape'!CA83)</f>
        <v>0</v>
      </c>
      <c r="CB83" s="588">
        <f t="shared" si="218"/>
        <v>0</v>
      </c>
      <c r="CC83" s="589">
        <f t="shared" si="219"/>
        <v>0</v>
      </c>
      <c r="CD83" s="300">
        <v>55</v>
      </c>
      <c r="CE83" s="414">
        <f t="shared" si="220"/>
        <v>0</v>
      </c>
      <c r="CF83" s="414">
        <f t="shared" si="221"/>
        <v>0</v>
      </c>
      <c r="CG83" s="414">
        <f t="shared" si="222"/>
        <v>0</v>
      </c>
      <c r="CH83" s="414">
        <f t="shared" si="223"/>
        <v>0</v>
      </c>
      <c r="CI83" s="416">
        <f t="shared" si="224"/>
        <v>0</v>
      </c>
      <c r="CJ83" s="414">
        <f t="shared" si="225"/>
        <v>0</v>
      </c>
      <c r="CK83" s="414">
        <f t="shared" si="226"/>
        <v>0</v>
      </c>
      <c r="CL83" s="414">
        <f t="shared" si="227"/>
        <v>0</v>
      </c>
      <c r="CM83" s="414">
        <f t="shared" si="228"/>
        <v>0</v>
      </c>
      <c r="CN83" s="416">
        <f t="shared" si="229"/>
        <v>0</v>
      </c>
      <c r="CO83" s="414">
        <f t="shared" si="230"/>
        <v>0</v>
      </c>
      <c r="CP83" s="414">
        <f t="shared" si="231"/>
        <v>0</v>
      </c>
      <c r="CQ83" s="414">
        <f t="shared" si="232"/>
        <v>0</v>
      </c>
      <c r="CR83" s="414">
        <f t="shared" si="233"/>
        <v>0</v>
      </c>
      <c r="CS83" s="416">
        <f t="shared" si="234"/>
        <v>0</v>
      </c>
    </row>
    <row r="84" spans="1:97" ht="15.75" customHeight="1">
      <c r="A84" s="88" t="s">
        <v>260</v>
      </c>
      <c r="B84" s="300">
        <v>56</v>
      </c>
      <c r="C84" s="585">
        <f>SUM('Schedule 3B_Income_Eastern:Schedule 3D_Income_The Cape'!C84)</f>
        <v>0</v>
      </c>
      <c r="D84" s="585">
        <f>SUM('Schedule 3B_Income_Eastern:Schedule 3D_Income_The Cape'!D84)</f>
        <v>0</v>
      </c>
      <c r="E84" s="585">
        <f>SUM('Schedule 3B_Income_Eastern:Schedule 3D_Income_The Cape'!E84)</f>
        <v>0</v>
      </c>
      <c r="F84" s="585">
        <f>SUM('Schedule 3B_Income_Eastern:Schedule 3D_Income_The Cape'!F84)</f>
        <v>0</v>
      </c>
      <c r="G84" s="585">
        <f>SUM('Schedule 3B_Income_Eastern:Schedule 3D_Income_The Cape'!G84)</f>
        <v>0</v>
      </c>
      <c r="H84" s="585">
        <f>SUM('Schedule 3B_Income_Eastern:Schedule 3D_Income_The Cape'!H84)</f>
        <v>0</v>
      </c>
      <c r="I84" s="585">
        <f>SUM('Schedule 3B_Income_Eastern:Schedule 3D_Income_The Cape'!I84)</f>
        <v>0</v>
      </c>
      <c r="J84" s="585">
        <f>SUM('Schedule 3B_Income_Eastern:Schedule 3D_Income_The Cape'!J84)</f>
        <v>0</v>
      </c>
      <c r="K84" s="586">
        <f t="shared" ref="K84" si="235">SUM(C84:J84)</f>
        <v>0</v>
      </c>
      <c r="L84" s="587">
        <f>SUM('Schedule 3B_Income_Eastern:Schedule 3D_Income_The Cape'!L84)</f>
        <v>0</v>
      </c>
      <c r="M84" s="585">
        <f>SUM('Schedule 3B_Income_Eastern:Schedule 3D_Income_The Cape'!M84)</f>
        <v>0</v>
      </c>
      <c r="N84" s="585">
        <f>SUM('Schedule 3B_Income_Eastern:Schedule 3D_Income_The Cape'!N84)</f>
        <v>0</v>
      </c>
      <c r="O84" s="585">
        <f>SUM('Schedule 3B_Income_Eastern:Schedule 3D_Income_The Cape'!O84)</f>
        <v>0</v>
      </c>
      <c r="P84" s="585">
        <f>SUM('Schedule 3B_Income_Eastern:Schedule 3D_Income_The Cape'!P84)</f>
        <v>0</v>
      </c>
      <c r="Q84" s="585">
        <f>SUM('Schedule 3B_Income_Eastern:Schedule 3D_Income_The Cape'!Q84)</f>
        <v>0</v>
      </c>
      <c r="R84" s="585">
        <f>SUM('Schedule 3B_Income_Eastern:Schedule 3D_Income_The Cape'!R84)</f>
        <v>0</v>
      </c>
      <c r="S84" s="585">
        <f>SUM('Schedule 3B_Income_Eastern:Schedule 3D_Income_The Cape'!S84)</f>
        <v>0</v>
      </c>
      <c r="T84" s="588">
        <f t="shared" ref="T84" si="236">SUM(L84:S84)</f>
        <v>0</v>
      </c>
      <c r="U84" s="589">
        <f t="shared" ref="U84" si="237">SUM(T84,K84)</f>
        <v>0</v>
      </c>
      <c r="V84" s="300">
        <v>56</v>
      </c>
      <c r="W84" s="585">
        <f>SUM('Schedule 3B_Income_Eastern:Schedule 3D_Income_The Cape'!W84)</f>
        <v>0</v>
      </c>
      <c r="X84" s="585">
        <f>SUM('Schedule 3B_Income_Eastern:Schedule 3D_Income_The Cape'!X84)</f>
        <v>0</v>
      </c>
      <c r="Y84" s="585">
        <f>SUM('Schedule 3B_Income_Eastern:Schedule 3D_Income_The Cape'!Y84)</f>
        <v>0</v>
      </c>
      <c r="Z84" s="585">
        <f>SUM('Schedule 3B_Income_Eastern:Schedule 3D_Income_The Cape'!Z84)</f>
        <v>0</v>
      </c>
      <c r="AA84" s="585">
        <f>SUM('Schedule 3B_Income_Eastern:Schedule 3D_Income_The Cape'!AA84)</f>
        <v>0</v>
      </c>
      <c r="AB84" s="585">
        <f>SUM('Schedule 3B_Income_Eastern:Schedule 3D_Income_The Cape'!AB84)</f>
        <v>0</v>
      </c>
      <c r="AC84" s="585">
        <f>SUM('Schedule 3B_Income_Eastern:Schedule 3D_Income_The Cape'!AC84)</f>
        <v>0</v>
      </c>
      <c r="AD84" s="585">
        <f>SUM('Schedule 3B_Income_Eastern:Schedule 3D_Income_The Cape'!AD84)</f>
        <v>0</v>
      </c>
      <c r="AE84" s="586">
        <f t="shared" ref="AE84" si="238">SUM(W84:AD84)</f>
        <v>0</v>
      </c>
      <c r="AF84" s="587">
        <f>SUM('Schedule 3B_Income_Eastern:Schedule 3D_Income_The Cape'!AF84)</f>
        <v>0</v>
      </c>
      <c r="AG84" s="585">
        <f>SUM('Schedule 3B_Income_Eastern:Schedule 3D_Income_The Cape'!AG84)</f>
        <v>0</v>
      </c>
      <c r="AH84" s="585">
        <f>SUM('Schedule 3B_Income_Eastern:Schedule 3D_Income_The Cape'!AH84)</f>
        <v>0</v>
      </c>
      <c r="AI84" s="585">
        <f>SUM('Schedule 3B_Income_Eastern:Schedule 3D_Income_The Cape'!AI84)</f>
        <v>0</v>
      </c>
      <c r="AJ84" s="585">
        <f>SUM('Schedule 3B_Income_Eastern:Schedule 3D_Income_The Cape'!AJ84)</f>
        <v>0</v>
      </c>
      <c r="AK84" s="585">
        <f>SUM('Schedule 3B_Income_Eastern:Schedule 3D_Income_The Cape'!AK84)</f>
        <v>0</v>
      </c>
      <c r="AL84" s="585">
        <f>SUM('Schedule 3B_Income_Eastern:Schedule 3D_Income_The Cape'!AL84)</f>
        <v>0</v>
      </c>
      <c r="AM84" s="585">
        <f>SUM('Schedule 3B_Income_Eastern:Schedule 3D_Income_The Cape'!AM84)</f>
        <v>0</v>
      </c>
      <c r="AN84" s="588">
        <f t="shared" ref="AN84" si="239">SUM(AF84:AM84)</f>
        <v>0</v>
      </c>
      <c r="AO84" s="589">
        <f t="shared" ref="AO84" si="240">SUM(AN84,AE84)</f>
        <v>0</v>
      </c>
      <c r="AP84" s="300">
        <v>56</v>
      </c>
      <c r="AQ84" s="585">
        <f>SUM('Schedule 3B_Income_Eastern:Schedule 3D_Income_The Cape'!AQ84)</f>
        <v>0</v>
      </c>
      <c r="AR84" s="585">
        <f>SUM('Schedule 3B_Income_Eastern:Schedule 3D_Income_The Cape'!AR84)</f>
        <v>0</v>
      </c>
      <c r="AS84" s="585">
        <f>SUM('Schedule 3B_Income_Eastern:Schedule 3D_Income_The Cape'!AS84)</f>
        <v>0</v>
      </c>
      <c r="AT84" s="585">
        <f>SUM('Schedule 3B_Income_Eastern:Schedule 3D_Income_The Cape'!AT84)</f>
        <v>0</v>
      </c>
      <c r="AU84" s="585">
        <f>SUM('Schedule 3B_Income_Eastern:Schedule 3D_Income_The Cape'!AU84)</f>
        <v>0</v>
      </c>
      <c r="AV84" s="585">
        <f>SUM('Schedule 3B_Income_Eastern:Schedule 3D_Income_The Cape'!AV84)</f>
        <v>0</v>
      </c>
      <c r="AW84" s="585">
        <f>SUM('Schedule 3B_Income_Eastern:Schedule 3D_Income_The Cape'!AW84)</f>
        <v>0</v>
      </c>
      <c r="AX84" s="585">
        <f>SUM('Schedule 3B_Income_Eastern:Schedule 3D_Income_The Cape'!AX84)</f>
        <v>0</v>
      </c>
      <c r="AY84" s="586">
        <f t="shared" ref="AY84" si="241">SUM(AQ84:AX84)</f>
        <v>0</v>
      </c>
      <c r="AZ84" s="587">
        <f>SUM('Schedule 3B_Income_Eastern:Schedule 3D_Income_The Cape'!AZ84)</f>
        <v>0</v>
      </c>
      <c r="BA84" s="585">
        <f>SUM('Schedule 3B_Income_Eastern:Schedule 3D_Income_The Cape'!BA84)</f>
        <v>0</v>
      </c>
      <c r="BB84" s="585">
        <f>SUM('Schedule 3B_Income_Eastern:Schedule 3D_Income_The Cape'!BB84)</f>
        <v>0</v>
      </c>
      <c r="BC84" s="585">
        <f>SUM('Schedule 3B_Income_Eastern:Schedule 3D_Income_The Cape'!BC84)</f>
        <v>0</v>
      </c>
      <c r="BD84" s="585">
        <f>SUM('Schedule 3B_Income_Eastern:Schedule 3D_Income_The Cape'!BD84)</f>
        <v>0</v>
      </c>
      <c r="BE84" s="585">
        <f>SUM('Schedule 3B_Income_Eastern:Schedule 3D_Income_The Cape'!BE84)</f>
        <v>0</v>
      </c>
      <c r="BF84" s="585">
        <f>SUM('Schedule 3B_Income_Eastern:Schedule 3D_Income_The Cape'!BF84)</f>
        <v>0</v>
      </c>
      <c r="BG84" s="585">
        <f>SUM('Schedule 3B_Income_Eastern:Schedule 3D_Income_The Cape'!BG84)</f>
        <v>0</v>
      </c>
      <c r="BH84" s="588">
        <f t="shared" ref="BH84" si="242">SUM(AZ84:BG84)</f>
        <v>0</v>
      </c>
      <c r="BI84" s="589">
        <f t="shared" ref="BI84" si="243">SUM(BH84,AY84)</f>
        <v>0</v>
      </c>
      <c r="BJ84" s="300">
        <v>56</v>
      </c>
      <c r="BK84" s="585">
        <f>SUM('Schedule 3B_Income_Eastern:Schedule 3D_Income_The Cape'!BK84)</f>
        <v>0</v>
      </c>
      <c r="BL84" s="585">
        <f>SUM('Schedule 3B_Income_Eastern:Schedule 3D_Income_The Cape'!BL84)</f>
        <v>0</v>
      </c>
      <c r="BM84" s="585">
        <f>SUM('Schedule 3B_Income_Eastern:Schedule 3D_Income_The Cape'!BM84)</f>
        <v>0</v>
      </c>
      <c r="BN84" s="585">
        <f>SUM('Schedule 3B_Income_Eastern:Schedule 3D_Income_The Cape'!BN84)</f>
        <v>0</v>
      </c>
      <c r="BO84" s="585">
        <f>SUM('Schedule 3B_Income_Eastern:Schedule 3D_Income_The Cape'!BO84)</f>
        <v>0</v>
      </c>
      <c r="BP84" s="585">
        <f>SUM('Schedule 3B_Income_Eastern:Schedule 3D_Income_The Cape'!BP84)</f>
        <v>0</v>
      </c>
      <c r="BQ84" s="585">
        <f>SUM('Schedule 3B_Income_Eastern:Schedule 3D_Income_The Cape'!BQ84)</f>
        <v>0</v>
      </c>
      <c r="BR84" s="585">
        <f>SUM('Schedule 3B_Income_Eastern:Schedule 3D_Income_The Cape'!BR84)</f>
        <v>0</v>
      </c>
      <c r="BS84" s="586">
        <f t="shared" ref="BS84" si="244">SUM(BK84:BR84)</f>
        <v>0</v>
      </c>
      <c r="BT84" s="587">
        <f>SUM('Schedule 3B_Income_Eastern:Schedule 3D_Income_The Cape'!BT84)</f>
        <v>0</v>
      </c>
      <c r="BU84" s="585">
        <f>SUM('Schedule 3B_Income_Eastern:Schedule 3D_Income_The Cape'!BU84)</f>
        <v>0</v>
      </c>
      <c r="BV84" s="585">
        <f>SUM('Schedule 3B_Income_Eastern:Schedule 3D_Income_The Cape'!BV84)</f>
        <v>0</v>
      </c>
      <c r="BW84" s="585">
        <f>SUM('Schedule 3B_Income_Eastern:Schedule 3D_Income_The Cape'!BW84)</f>
        <v>0</v>
      </c>
      <c r="BX84" s="585">
        <f>SUM('Schedule 3B_Income_Eastern:Schedule 3D_Income_The Cape'!BX84)</f>
        <v>0</v>
      </c>
      <c r="BY84" s="585">
        <f>SUM('Schedule 3B_Income_Eastern:Schedule 3D_Income_The Cape'!BY84)</f>
        <v>0</v>
      </c>
      <c r="BZ84" s="585">
        <f>SUM('Schedule 3B_Income_Eastern:Schedule 3D_Income_The Cape'!BZ84)</f>
        <v>0</v>
      </c>
      <c r="CA84" s="585">
        <f>SUM('Schedule 3B_Income_Eastern:Schedule 3D_Income_The Cape'!CA84)</f>
        <v>0</v>
      </c>
      <c r="CB84" s="588">
        <f t="shared" ref="CB84" si="245">SUM(BT84:CA84)</f>
        <v>0</v>
      </c>
      <c r="CC84" s="589">
        <f t="shared" ref="CC84" si="246">SUM(CB84,BS84)</f>
        <v>0</v>
      </c>
      <c r="CD84" s="300">
        <v>56</v>
      </c>
      <c r="CE84" s="414">
        <f t="shared" si="220"/>
        <v>0</v>
      </c>
      <c r="CF84" s="414">
        <f t="shared" si="221"/>
        <v>0</v>
      </c>
      <c r="CG84" s="414">
        <f t="shared" si="222"/>
        <v>0</v>
      </c>
      <c r="CH84" s="414">
        <f t="shared" si="223"/>
        <v>0</v>
      </c>
      <c r="CI84" s="416">
        <f t="shared" si="224"/>
        <v>0</v>
      </c>
      <c r="CJ84" s="414">
        <f t="shared" si="225"/>
        <v>0</v>
      </c>
      <c r="CK84" s="414">
        <f t="shared" si="226"/>
        <v>0</v>
      </c>
      <c r="CL84" s="414">
        <f t="shared" si="227"/>
        <v>0</v>
      </c>
      <c r="CM84" s="414">
        <f t="shared" si="228"/>
        <v>0</v>
      </c>
      <c r="CN84" s="416">
        <f t="shared" si="229"/>
        <v>0</v>
      </c>
      <c r="CO84" s="414">
        <f t="shared" si="230"/>
        <v>0</v>
      </c>
      <c r="CP84" s="414">
        <f t="shared" si="231"/>
        <v>0</v>
      </c>
      <c r="CQ84" s="414">
        <f t="shared" si="232"/>
        <v>0</v>
      </c>
      <c r="CR84" s="414">
        <f t="shared" si="233"/>
        <v>0</v>
      </c>
      <c r="CS84" s="416">
        <f t="shared" si="234"/>
        <v>0</v>
      </c>
    </row>
    <row r="85" spans="1:97" ht="15.75" customHeight="1">
      <c r="A85" s="88" t="s">
        <v>262</v>
      </c>
      <c r="B85" s="300">
        <v>57</v>
      </c>
      <c r="C85" s="585">
        <f>SUM('Schedule 3B_Income_Eastern:Schedule 3D_Income_The Cape'!C85)</f>
        <v>0</v>
      </c>
      <c r="D85" s="585">
        <f>SUM('Schedule 3B_Income_Eastern:Schedule 3D_Income_The Cape'!D85)</f>
        <v>0</v>
      </c>
      <c r="E85" s="585">
        <f>SUM('Schedule 3B_Income_Eastern:Schedule 3D_Income_The Cape'!E85)</f>
        <v>0</v>
      </c>
      <c r="F85" s="585">
        <f>SUM('Schedule 3B_Income_Eastern:Schedule 3D_Income_The Cape'!F85)</f>
        <v>0</v>
      </c>
      <c r="G85" s="585">
        <f>SUM('Schedule 3B_Income_Eastern:Schedule 3D_Income_The Cape'!G85)</f>
        <v>0</v>
      </c>
      <c r="H85" s="585">
        <f>SUM('Schedule 3B_Income_Eastern:Schedule 3D_Income_The Cape'!H85)</f>
        <v>0</v>
      </c>
      <c r="I85" s="585">
        <f>SUM('Schedule 3B_Income_Eastern:Schedule 3D_Income_The Cape'!I85)</f>
        <v>0</v>
      </c>
      <c r="J85" s="585">
        <f>SUM('Schedule 3B_Income_Eastern:Schedule 3D_Income_The Cape'!J85)</f>
        <v>0</v>
      </c>
      <c r="K85" s="586">
        <f t="shared" si="208"/>
        <v>0</v>
      </c>
      <c r="L85" s="587">
        <f>SUM('Schedule 3B_Income_Eastern:Schedule 3D_Income_The Cape'!L85)</f>
        <v>0</v>
      </c>
      <c r="M85" s="585">
        <f>SUM('Schedule 3B_Income_Eastern:Schedule 3D_Income_The Cape'!M85)</f>
        <v>0</v>
      </c>
      <c r="N85" s="585">
        <f>SUM('Schedule 3B_Income_Eastern:Schedule 3D_Income_The Cape'!N85)</f>
        <v>0</v>
      </c>
      <c r="O85" s="585">
        <f>SUM('Schedule 3B_Income_Eastern:Schedule 3D_Income_The Cape'!O85)</f>
        <v>0</v>
      </c>
      <c r="P85" s="585">
        <f>SUM('Schedule 3B_Income_Eastern:Schedule 3D_Income_The Cape'!P85)</f>
        <v>0</v>
      </c>
      <c r="Q85" s="585">
        <f>SUM('Schedule 3B_Income_Eastern:Schedule 3D_Income_The Cape'!Q85)</f>
        <v>0</v>
      </c>
      <c r="R85" s="585">
        <f>SUM('Schedule 3B_Income_Eastern:Schedule 3D_Income_The Cape'!R85)</f>
        <v>0</v>
      </c>
      <c r="S85" s="585">
        <f>SUM('Schedule 3B_Income_Eastern:Schedule 3D_Income_The Cape'!S85)</f>
        <v>0</v>
      </c>
      <c r="T85" s="588">
        <f t="shared" si="209"/>
        <v>0</v>
      </c>
      <c r="U85" s="589">
        <f t="shared" si="210"/>
        <v>0</v>
      </c>
      <c r="V85" s="300">
        <v>57</v>
      </c>
      <c r="W85" s="585">
        <f>SUM('Schedule 3B_Income_Eastern:Schedule 3D_Income_The Cape'!W85)</f>
        <v>0</v>
      </c>
      <c r="X85" s="585">
        <f>SUM('Schedule 3B_Income_Eastern:Schedule 3D_Income_The Cape'!X85)</f>
        <v>0</v>
      </c>
      <c r="Y85" s="585">
        <f>SUM('Schedule 3B_Income_Eastern:Schedule 3D_Income_The Cape'!Y85)</f>
        <v>0</v>
      </c>
      <c r="Z85" s="585">
        <f>SUM('Schedule 3B_Income_Eastern:Schedule 3D_Income_The Cape'!Z85)</f>
        <v>0</v>
      </c>
      <c r="AA85" s="585">
        <f>SUM('Schedule 3B_Income_Eastern:Schedule 3D_Income_The Cape'!AA85)</f>
        <v>0</v>
      </c>
      <c r="AB85" s="585">
        <f>SUM('Schedule 3B_Income_Eastern:Schedule 3D_Income_The Cape'!AB85)</f>
        <v>0</v>
      </c>
      <c r="AC85" s="585">
        <f>SUM('Schedule 3B_Income_Eastern:Schedule 3D_Income_The Cape'!AC85)</f>
        <v>0</v>
      </c>
      <c r="AD85" s="585">
        <f>SUM('Schedule 3B_Income_Eastern:Schedule 3D_Income_The Cape'!AD85)</f>
        <v>0</v>
      </c>
      <c r="AE85" s="586">
        <f t="shared" si="211"/>
        <v>0</v>
      </c>
      <c r="AF85" s="587">
        <f>SUM('Schedule 3B_Income_Eastern:Schedule 3D_Income_The Cape'!AF85)</f>
        <v>0</v>
      </c>
      <c r="AG85" s="585">
        <f>SUM('Schedule 3B_Income_Eastern:Schedule 3D_Income_The Cape'!AG85)</f>
        <v>0</v>
      </c>
      <c r="AH85" s="585">
        <f>SUM('Schedule 3B_Income_Eastern:Schedule 3D_Income_The Cape'!AH85)</f>
        <v>0</v>
      </c>
      <c r="AI85" s="585">
        <f>SUM('Schedule 3B_Income_Eastern:Schedule 3D_Income_The Cape'!AI85)</f>
        <v>0</v>
      </c>
      <c r="AJ85" s="585">
        <f>SUM('Schedule 3B_Income_Eastern:Schedule 3D_Income_The Cape'!AJ85)</f>
        <v>0</v>
      </c>
      <c r="AK85" s="585">
        <f>SUM('Schedule 3B_Income_Eastern:Schedule 3D_Income_The Cape'!AK85)</f>
        <v>0</v>
      </c>
      <c r="AL85" s="585">
        <f>SUM('Schedule 3B_Income_Eastern:Schedule 3D_Income_The Cape'!AL85)</f>
        <v>0</v>
      </c>
      <c r="AM85" s="585">
        <f>SUM('Schedule 3B_Income_Eastern:Schedule 3D_Income_The Cape'!AM85)</f>
        <v>0</v>
      </c>
      <c r="AN85" s="588">
        <f t="shared" si="212"/>
        <v>0</v>
      </c>
      <c r="AO85" s="589">
        <f t="shared" si="213"/>
        <v>0</v>
      </c>
      <c r="AP85" s="300">
        <v>57</v>
      </c>
      <c r="AQ85" s="585">
        <f>SUM('Schedule 3B_Income_Eastern:Schedule 3D_Income_The Cape'!AQ85)</f>
        <v>0</v>
      </c>
      <c r="AR85" s="585">
        <f>SUM('Schedule 3B_Income_Eastern:Schedule 3D_Income_The Cape'!AR85)</f>
        <v>0</v>
      </c>
      <c r="AS85" s="585">
        <f>SUM('Schedule 3B_Income_Eastern:Schedule 3D_Income_The Cape'!AS85)</f>
        <v>0</v>
      </c>
      <c r="AT85" s="585">
        <f>SUM('Schedule 3B_Income_Eastern:Schedule 3D_Income_The Cape'!AT85)</f>
        <v>0</v>
      </c>
      <c r="AU85" s="585">
        <f>SUM('Schedule 3B_Income_Eastern:Schedule 3D_Income_The Cape'!AU85)</f>
        <v>0</v>
      </c>
      <c r="AV85" s="585">
        <f>SUM('Schedule 3B_Income_Eastern:Schedule 3D_Income_The Cape'!AV85)</f>
        <v>0</v>
      </c>
      <c r="AW85" s="585">
        <f>SUM('Schedule 3B_Income_Eastern:Schedule 3D_Income_The Cape'!AW85)</f>
        <v>0</v>
      </c>
      <c r="AX85" s="585">
        <f>SUM('Schedule 3B_Income_Eastern:Schedule 3D_Income_The Cape'!AX85)</f>
        <v>0</v>
      </c>
      <c r="AY85" s="586">
        <f t="shared" si="214"/>
        <v>0</v>
      </c>
      <c r="AZ85" s="587">
        <f>SUM('Schedule 3B_Income_Eastern:Schedule 3D_Income_The Cape'!AZ85)</f>
        <v>0</v>
      </c>
      <c r="BA85" s="585">
        <f>SUM('Schedule 3B_Income_Eastern:Schedule 3D_Income_The Cape'!BA85)</f>
        <v>0</v>
      </c>
      <c r="BB85" s="585">
        <f>SUM('Schedule 3B_Income_Eastern:Schedule 3D_Income_The Cape'!BB85)</f>
        <v>0</v>
      </c>
      <c r="BC85" s="585">
        <f>SUM('Schedule 3B_Income_Eastern:Schedule 3D_Income_The Cape'!BC85)</f>
        <v>0</v>
      </c>
      <c r="BD85" s="585">
        <f>SUM('Schedule 3B_Income_Eastern:Schedule 3D_Income_The Cape'!BD85)</f>
        <v>0</v>
      </c>
      <c r="BE85" s="585">
        <f>SUM('Schedule 3B_Income_Eastern:Schedule 3D_Income_The Cape'!BE85)</f>
        <v>0</v>
      </c>
      <c r="BF85" s="585">
        <f>SUM('Schedule 3B_Income_Eastern:Schedule 3D_Income_The Cape'!BF85)</f>
        <v>0</v>
      </c>
      <c r="BG85" s="585">
        <f>SUM('Schedule 3B_Income_Eastern:Schedule 3D_Income_The Cape'!BG85)</f>
        <v>0</v>
      </c>
      <c r="BH85" s="588">
        <f t="shared" si="215"/>
        <v>0</v>
      </c>
      <c r="BI85" s="589">
        <f t="shared" si="216"/>
        <v>0</v>
      </c>
      <c r="BJ85" s="300">
        <v>57</v>
      </c>
      <c r="BK85" s="585">
        <f>SUM('Schedule 3B_Income_Eastern:Schedule 3D_Income_The Cape'!BK85)</f>
        <v>0</v>
      </c>
      <c r="BL85" s="585">
        <f>SUM('Schedule 3B_Income_Eastern:Schedule 3D_Income_The Cape'!BL85)</f>
        <v>0</v>
      </c>
      <c r="BM85" s="585">
        <f>SUM('Schedule 3B_Income_Eastern:Schedule 3D_Income_The Cape'!BM85)</f>
        <v>0</v>
      </c>
      <c r="BN85" s="585">
        <f>SUM('Schedule 3B_Income_Eastern:Schedule 3D_Income_The Cape'!BN85)</f>
        <v>0</v>
      </c>
      <c r="BO85" s="585">
        <f>SUM('Schedule 3B_Income_Eastern:Schedule 3D_Income_The Cape'!BO85)</f>
        <v>0</v>
      </c>
      <c r="BP85" s="585">
        <f>SUM('Schedule 3B_Income_Eastern:Schedule 3D_Income_The Cape'!BP85)</f>
        <v>0</v>
      </c>
      <c r="BQ85" s="585">
        <f>SUM('Schedule 3B_Income_Eastern:Schedule 3D_Income_The Cape'!BQ85)</f>
        <v>0</v>
      </c>
      <c r="BR85" s="585">
        <f>SUM('Schedule 3B_Income_Eastern:Schedule 3D_Income_The Cape'!BR85)</f>
        <v>0</v>
      </c>
      <c r="BS85" s="586">
        <f t="shared" si="217"/>
        <v>0</v>
      </c>
      <c r="BT85" s="587">
        <f>SUM('Schedule 3B_Income_Eastern:Schedule 3D_Income_The Cape'!BT85)</f>
        <v>0</v>
      </c>
      <c r="BU85" s="585">
        <f>SUM('Schedule 3B_Income_Eastern:Schedule 3D_Income_The Cape'!BU85)</f>
        <v>0</v>
      </c>
      <c r="BV85" s="585">
        <f>SUM('Schedule 3B_Income_Eastern:Schedule 3D_Income_The Cape'!BV85)</f>
        <v>0</v>
      </c>
      <c r="BW85" s="585">
        <f>SUM('Schedule 3B_Income_Eastern:Schedule 3D_Income_The Cape'!BW85)</f>
        <v>0</v>
      </c>
      <c r="BX85" s="585">
        <f>SUM('Schedule 3B_Income_Eastern:Schedule 3D_Income_The Cape'!BX85)</f>
        <v>0</v>
      </c>
      <c r="BY85" s="585">
        <f>SUM('Schedule 3B_Income_Eastern:Schedule 3D_Income_The Cape'!BY85)</f>
        <v>0</v>
      </c>
      <c r="BZ85" s="585">
        <f>SUM('Schedule 3B_Income_Eastern:Schedule 3D_Income_The Cape'!BZ85)</f>
        <v>0</v>
      </c>
      <c r="CA85" s="585">
        <f>SUM('Schedule 3B_Income_Eastern:Schedule 3D_Income_The Cape'!CA85)</f>
        <v>0</v>
      </c>
      <c r="CB85" s="588">
        <f t="shared" si="218"/>
        <v>0</v>
      </c>
      <c r="CC85" s="589">
        <f t="shared" si="219"/>
        <v>0</v>
      </c>
      <c r="CD85" s="300">
        <v>57</v>
      </c>
      <c r="CE85" s="414">
        <f t="shared" si="220"/>
        <v>0</v>
      </c>
      <c r="CF85" s="414">
        <f t="shared" si="221"/>
        <v>0</v>
      </c>
      <c r="CG85" s="414">
        <f t="shared" si="222"/>
        <v>0</v>
      </c>
      <c r="CH85" s="414">
        <f t="shared" si="223"/>
        <v>0</v>
      </c>
      <c r="CI85" s="416">
        <f t="shared" si="224"/>
        <v>0</v>
      </c>
      <c r="CJ85" s="414">
        <f t="shared" si="225"/>
        <v>0</v>
      </c>
      <c r="CK85" s="414">
        <f t="shared" si="226"/>
        <v>0</v>
      </c>
      <c r="CL85" s="414">
        <f t="shared" si="227"/>
        <v>0</v>
      </c>
      <c r="CM85" s="414">
        <f t="shared" si="228"/>
        <v>0</v>
      </c>
      <c r="CN85" s="416">
        <f t="shared" si="229"/>
        <v>0</v>
      </c>
      <c r="CO85" s="414">
        <f t="shared" si="230"/>
        <v>0</v>
      </c>
      <c r="CP85" s="414">
        <f t="shared" si="231"/>
        <v>0</v>
      </c>
      <c r="CQ85" s="414">
        <f t="shared" si="232"/>
        <v>0</v>
      </c>
      <c r="CR85" s="414">
        <f t="shared" si="233"/>
        <v>0</v>
      </c>
      <c r="CS85" s="416">
        <f t="shared" si="234"/>
        <v>0</v>
      </c>
    </row>
    <row r="86" spans="1:97" ht="15.75" customHeight="1">
      <c r="A86" s="88" t="s">
        <v>264</v>
      </c>
      <c r="B86" s="300">
        <v>58</v>
      </c>
      <c r="C86" s="585">
        <f>SUM('Schedule 3B_Income_Eastern:Schedule 3D_Income_The Cape'!C86)</f>
        <v>16152.801638051838</v>
      </c>
      <c r="D86" s="585">
        <f>SUM('Schedule 3B_Income_Eastern:Schedule 3D_Income_The Cape'!D86)</f>
        <v>33866.456841323525</v>
      </c>
      <c r="E86" s="585">
        <f>SUM('Schedule 3B_Income_Eastern:Schedule 3D_Income_The Cape'!E86)</f>
        <v>24171.347547463087</v>
      </c>
      <c r="F86" s="585">
        <f>SUM('Schedule 3B_Income_Eastern:Schedule 3D_Income_The Cape'!F86)</f>
        <v>50618.22920145066</v>
      </c>
      <c r="G86" s="585">
        <f>SUM('Schedule 3B_Income_Eastern:Schedule 3D_Income_The Cape'!G86)</f>
        <v>32573.094629759285</v>
      </c>
      <c r="H86" s="585">
        <f>SUM('Schedule 3B_Income_Eastern:Schedule 3D_Income_The Cape'!H86)</f>
        <v>68947.563924965289</v>
      </c>
      <c r="I86" s="585">
        <f>SUM('Schedule 3B_Income_Eastern:Schedule 3D_Income_The Cape'!I86)</f>
        <v>30049.008477404866</v>
      </c>
      <c r="J86" s="585">
        <f>SUM('Schedule 3B_Income_Eastern:Schedule 3D_Income_The Cape'!J86)</f>
        <v>61520.12110270698</v>
      </c>
      <c r="K86" s="586">
        <f t="shared" si="208"/>
        <v>317898.62336312549</v>
      </c>
      <c r="L86" s="587">
        <f>SUM('Schedule 3B_Income_Eastern:Schedule 3D_Income_The Cape'!L86)</f>
        <v>0</v>
      </c>
      <c r="M86" s="585">
        <f>SUM('Schedule 3B_Income_Eastern:Schedule 3D_Income_The Cape'!M86)</f>
        <v>80331.171574971842</v>
      </c>
      <c r="N86" s="585">
        <f>SUM('Schedule 3B_Income_Eastern:Schedule 3D_Income_The Cape'!N86)</f>
        <v>0</v>
      </c>
      <c r="O86" s="585">
        <f>SUM('Schedule 3B_Income_Eastern:Schedule 3D_Income_The Cape'!O86)</f>
        <v>105597.39513710648</v>
      </c>
      <c r="P86" s="585">
        <f>SUM('Schedule 3B_Income_Eastern:Schedule 3D_Income_The Cape'!P86)</f>
        <v>0</v>
      </c>
      <c r="Q86" s="585">
        <f>SUM('Schedule 3B_Income_Eastern:Schedule 3D_Income_The Cape'!Q86)</f>
        <v>149569.06036761627</v>
      </c>
      <c r="R86" s="585">
        <f>SUM('Schedule 3B_Income_Eastern:Schedule 3D_Income_The Cape'!R86)</f>
        <v>0</v>
      </c>
      <c r="S86" s="585">
        <f>SUM('Schedule 3B_Income_Eastern:Schedule 3D_Income_The Cape'!S86)</f>
        <v>132413.09836285835</v>
      </c>
      <c r="T86" s="588">
        <f t="shared" si="209"/>
        <v>467910.72544255294</v>
      </c>
      <c r="U86" s="589">
        <f t="shared" si="210"/>
        <v>785809.34880567843</v>
      </c>
      <c r="V86" s="300">
        <v>58</v>
      </c>
      <c r="W86" s="585">
        <f>SUM('Schedule 3B_Income_Eastern:Schedule 3D_Income_The Cape'!W86)</f>
        <v>2607.6701584869825</v>
      </c>
      <c r="X86" s="585">
        <f>SUM('Schedule 3B_Income_Eastern:Schedule 3D_Income_The Cape'!X86)</f>
        <v>17496.631834587224</v>
      </c>
      <c r="Y86" s="585">
        <f>SUM('Schedule 3B_Income_Eastern:Schedule 3D_Income_The Cape'!Y86)</f>
        <v>3739.4613055410637</v>
      </c>
      <c r="Z86" s="585">
        <f>SUM('Schedule 3B_Income_Eastern:Schedule 3D_Income_The Cape'!Z86)</f>
        <v>24171.645803640786</v>
      </c>
      <c r="AA86" s="585">
        <f>SUM('Schedule 3B_Income_Eastern:Schedule 3D_Income_The Cape'!AA86)</f>
        <v>4826.8818267935521</v>
      </c>
      <c r="AB86" s="585">
        <f>SUM('Schedule 3B_Income_Eastern:Schedule 3D_Income_The Cape'!AB86)</f>
        <v>31639.873339532845</v>
      </c>
      <c r="AC86" s="585">
        <f>SUM('Schedule 3B_Income_Eastern:Schedule 3D_Income_The Cape'!AC86)</f>
        <v>4783.4999639044918</v>
      </c>
      <c r="AD86" s="585">
        <f>SUM('Schedule 3B_Income_Eastern:Schedule 3D_Income_The Cape'!AD86)</f>
        <v>28881.195681522775</v>
      </c>
      <c r="AE86" s="586">
        <f t="shared" si="211"/>
        <v>118146.85991400972</v>
      </c>
      <c r="AF86" s="587">
        <f>SUM('Schedule 3B_Income_Eastern:Schedule 3D_Income_The Cape'!AF86)</f>
        <v>0</v>
      </c>
      <c r="AG86" s="585">
        <f>SUM('Schedule 3B_Income_Eastern:Schedule 3D_Income_The Cape'!AG86)</f>
        <v>26444.785833321188</v>
      </c>
      <c r="AH86" s="585">
        <f>SUM('Schedule 3B_Income_Eastern:Schedule 3D_Income_The Cape'!AH86)</f>
        <v>0</v>
      </c>
      <c r="AI86" s="585">
        <f>SUM('Schedule 3B_Income_Eastern:Schedule 3D_Income_The Cape'!AI86)</f>
        <v>31860.80748410361</v>
      </c>
      <c r="AJ86" s="585">
        <f>SUM('Schedule 3B_Income_Eastern:Schedule 3D_Income_The Cape'!AJ86)</f>
        <v>0</v>
      </c>
      <c r="AK86" s="585">
        <f>SUM('Schedule 3B_Income_Eastern:Schedule 3D_Income_The Cape'!AK86)</f>
        <v>43785.10303565683</v>
      </c>
      <c r="AL86" s="585">
        <f>SUM('Schedule 3B_Income_Eastern:Schedule 3D_Income_The Cape'!AL86)</f>
        <v>0</v>
      </c>
      <c r="AM86" s="585">
        <f>SUM('Schedule 3B_Income_Eastern:Schedule 3D_Income_The Cape'!AM86)</f>
        <v>39296.322374796371</v>
      </c>
      <c r="AN86" s="588">
        <f t="shared" si="212"/>
        <v>141387.01872787799</v>
      </c>
      <c r="AO86" s="589">
        <f t="shared" si="213"/>
        <v>259533.87864188771</v>
      </c>
      <c r="AP86" s="300">
        <v>58</v>
      </c>
      <c r="AQ86" s="585">
        <f>SUM('Schedule 3B_Income_Eastern:Schedule 3D_Income_The Cape'!AQ86)</f>
        <v>288651.17151887383</v>
      </c>
      <c r="AR86" s="585">
        <f>SUM('Schedule 3B_Income_Eastern:Schedule 3D_Income_The Cape'!AR86)</f>
        <v>681684.5932161659</v>
      </c>
      <c r="AS86" s="585">
        <f>SUM('Schedule 3B_Income_Eastern:Schedule 3D_Income_The Cape'!AS86)</f>
        <v>446548.47092236177</v>
      </c>
      <c r="AT86" s="585">
        <f>SUM('Schedule 3B_Income_Eastern:Schedule 3D_Income_The Cape'!AT86)</f>
        <v>1036849.8962695029</v>
      </c>
      <c r="AU86" s="585">
        <f>SUM('Schedule 3B_Income_Eastern:Schedule 3D_Income_The Cape'!AU86)</f>
        <v>612153.22816958139</v>
      </c>
      <c r="AV86" s="585">
        <f>SUM('Schedule 3B_Income_Eastern:Schedule 3D_Income_The Cape'!AV86)</f>
        <v>1423409.2254645</v>
      </c>
      <c r="AW86" s="585">
        <f>SUM('Schedule 3B_Income_Eastern:Schedule 3D_Income_The Cape'!AW86)</f>
        <v>595458.35156088835</v>
      </c>
      <c r="AX86" s="585">
        <f>SUM('Schedule 3B_Income_Eastern:Schedule 3D_Income_The Cape'!AX86)</f>
        <v>1309286.3574017559</v>
      </c>
      <c r="AY86" s="586">
        <f t="shared" si="214"/>
        <v>6394041.2945236294</v>
      </c>
      <c r="AZ86" s="587">
        <f>SUM('Schedule 3B_Income_Eastern:Schedule 3D_Income_The Cape'!AZ86)</f>
        <v>0</v>
      </c>
      <c r="BA86" s="585">
        <f>SUM('Schedule 3B_Income_Eastern:Schedule 3D_Income_The Cape'!BA86)</f>
        <v>609026.25313970551</v>
      </c>
      <c r="BB86" s="585">
        <f>SUM('Schedule 3B_Income_Eastern:Schedule 3D_Income_The Cape'!BB86)</f>
        <v>0</v>
      </c>
      <c r="BC86" s="585">
        <f>SUM('Schedule 3B_Income_Eastern:Schedule 3D_Income_The Cape'!BC86)</f>
        <v>727664.48919337755</v>
      </c>
      <c r="BD86" s="585">
        <f>SUM('Schedule 3B_Income_Eastern:Schedule 3D_Income_The Cape'!BD86)</f>
        <v>0</v>
      </c>
      <c r="BE86" s="585">
        <f>SUM('Schedule 3B_Income_Eastern:Schedule 3D_Income_The Cape'!BE86)</f>
        <v>1083494.3454440758</v>
      </c>
      <c r="BF86" s="585">
        <f>SUM('Schedule 3B_Income_Eastern:Schedule 3D_Income_The Cape'!BF86)</f>
        <v>0</v>
      </c>
      <c r="BG86" s="585">
        <f>SUM('Schedule 3B_Income_Eastern:Schedule 3D_Income_The Cape'!BG86)</f>
        <v>968344.30672156496</v>
      </c>
      <c r="BH86" s="588">
        <f t="shared" si="215"/>
        <v>3388529.3944987236</v>
      </c>
      <c r="BI86" s="589">
        <f t="shared" si="216"/>
        <v>9782570.6890223529</v>
      </c>
      <c r="BJ86" s="300">
        <v>58</v>
      </c>
      <c r="BK86" s="585">
        <f>SUM('Schedule 3B_Income_Eastern:Schedule 3D_Income_The Cape'!BK86)</f>
        <v>6150.9223932868526</v>
      </c>
      <c r="BL86" s="585">
        <f>SUM('Schedule 3B_Income_Eastern:Schedule 3D_Income_The Cape'!BL86)</f>
        <v>70584.821113136903</v>
      </c>
      <c r="BM86" s="585">
        <f>SUM('Schedule 3B_Income_Eastern:Schedule 3D_Income_The Cape'!BM86)</f>
        <v>8475.6291911950266</v>
      </c>
      <c r="BN86" s="585">
        <f>SUM('Schedule 3B_Income_Eastern:Schedule 3D_Income_The Cape'!BN86)</f>
        <v>97037.225221591885</v>
      </c>
      <c r="BO86" s="585">
        <f>SUM('Schedule 3B_Income_Eastern:Schedule 3D_Income_The Cape'!BO86)</f>
        <v>11107.410640382335</v>
      </c>
      <c r="BP86" s="585">
        <f>SUM('Schedule 3B_Income_Eastern:Schedule 3D_Income_The Cape'!BP86)</f>
        <v>123065.99525864678</v>
      </c>
      <c r="BQ86" s="585">
        <f>SUM('Schedule 3B_Income_Eastern:Schedule 3D_Income_The Cape'!BQ86)</f>
        <v>10836.260372909152</v>
      </c>
      <c r="BR86" s="585">
        <f>SUM('Schedule 3B_Income_Eastern:Schedule 3D_Income_The Cape'!BR86)</f>
        <v>113546.64776401836</v>
      </c>
      <c r="BS86" s="586">
        <f t="shared" si="217"/>
        <v>440804.91195516731</v>
      </c>
      <c r="BT86" s="587">
        <f>SUM('Schedule 3B_Income_Eastern:Schedule 3D_Income_The Cape'!BT86)</f>
        <v>0</v>
      </c>
      <c r="BU86" s="585">
        <f>SUM('Schedule 3B_Income_Eastern:Schedule 3D_Income_The Cape'!BU86)</f>
        <v>23806.500738091312</v>
      </c>
      <c r="BV86" s="585">
        <f>SUM('Schedule 3B_Income_Eastern:Schedule 3D_Income_The Cape'!BV86)</f>
        <v>0</v>
      </c>
      <c r="BW86" s="585">
        <f>SUM('Schedule 3B_Income_Eastern:Schedule 3D_Income_The Cape'!BW86)</f>
        <v>30554.132722663606</v>
      </c>
      <c r="BX86" s="585">
        <f>SUM('Schedule 3B_Income_Eastern:Schedule 3D_Income_The Cape'!BX86)</f>
        <v>0</v>
      </c>
      <c r="BY86" s="585">
        <f>SUM('Schedule 3B_Income_Eastern:Schedule 3D_Income_The Cape'!BY86)</f>
        <v>42618.907898486243</v>
      </c>
      <c r="BZ86" s="585">
        <f>SUM('Schedule 3B_Income_Eastern:Schedule 3D_Income_The Cape'!BZ86)</f>
        <v>0</v>
      </c>
      <c r="CA86" s="585">
        <f>SUM('Schedule 3B_Income_Eastern:Schedule 3D_Income_The Cape'!CA86)</f>
        <v>42820.63021567036</v>
      </c>
      <c r="CB86" s="588">
        <f t="shared" si="218"/>
        <v>139800.17157491151</v>
      </c>
      <c r="CC86" s="589">
        <f t="shared" si="219"/>
        <v>580605.08353007887</v>
      </c>
      <c r="CD86" s="300">
        <v>58</v>
      </c>
      <c r="CE86" s="414">
        <f t="shared" si="220"/>
        <v>1117195.068713913</v>
      </c>
      <c r="CF86" s="414">
        <f t="shared" si="221"/>
        <v>1691611.9054627474</v>
      </c>
      <c r="CG86" s="414">
        <f t="shared" si="222"/>
        <v>2307723.2732541617</v>
      </c>
      <c r="CH86" s="414">
        <f t="shared" si="223"/>
        <v>2154361.442325111</v>
      </c>
      <c r="CI86" s="416">
        <f t="shared" si="224"/>
        <v>7270891.6897559324</v>
      </c>
      <c r="CJ86" s="414">
        <f t="shared" si="225"/>
        <v>739608.71128608985</v>
      </c>
      <c r="CK86" s="414">
        <f t="shared" si="226"/>
        <v>895676.82453725126</v>
      </c>
      <c r="CL86" s="414">
        <f t="shared" si="227"/>
        <v>1319467.416745835</v>
      </c>
      <c r="CM86" s="414">
        <f t="shared" si="228"/>
        <v>1182874.3576748902</v>
      </c>
      <c r="CN86" s="416">
        <f t="shared" si="229"/>
        <v>4137627.3102440662</v>
      </c>
      <c r="CO86" s="414">
        <f t="shared" si="230"/>
        <v>1856803.7800000026</v>
      </c>
      <c r="CP86" s="414">
        <f t="shared" si="231"/>
        <v>2587288.7299999986</v>
      </c>
      <c r="CQ86" s="414">
        <f t="shared" si="232"/>
        <v>3627190.6899999962</v>
      </c>
      <c r="CR86" s="414">
        <f t="shared" si="233"/>
        <v>3337235.8000000007</v>
      </c>
      <c r="CS86" s="416">
        <f t="shared" si="234"/>
        <v>11408519</v>
      </c>
    </row>
    <row r="87" spans="1:97" ht="15.75" customHeight="1">
      <c r="A87" s="136"/>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97" s="318" customFormat="1" ht="15.75" customHeight="1">
      <c r="A88" s="16" t="s">
        <v>266</v>
      </c>
      <c r="B88" s="300">
        <v>59</v>
      </c>
      <c r="C88" s="216">
        <f t="shared" ref="C88:U88" si="247">SUM(C76:C86)</f>
        <v>110884.51303593659</v>
      </c>
      <c r="D88" s="216">
        <f t="shared" si="247"/>
        <v>232483.85383847493</v>
      </c>
      <c r="E88" s="216">
        <f t="shared" si="247"/>
        <v>127244.58122576187</v>
      </c>
      <c r="F88" s="216">
        <f t="shared" si="247"/>
        <v>266468.1960524054</v>
      </c>
      <c r="G88" s="216">
        <f t="shared" si="247"/>
        <v>136010.63428809628</v>
      </c>
      <c r="H88" s="216">
        <f t="shared" si="247"/>
        <v>287894.10427973495</v>
      </c>
      <c r="I88" s="216">
        <f t="shared" si="247"/>
        <v>142470.52203071682</v>
      </c>
      <c r="J88" s="216">
        <f t="shared" si="247"/>
        <v>291683.62661570724</v>
      </c>
      <c r="K88" s="221">
        <f t="shared" si="247"/>
        <v>1595140.031366834</v>
      </c>
      <c r="L88" s="218">
        <f t="shared" si="247"/>
        <v>0</v>
      </c>
      <c r="M88" s="216">
        <f t="shared" si="247"/>
        <v>551451.26160116331</v>
      </c>
      <c r="N88" s="216">
        <f t="shared" si="247"/>
        <v>0</v>
      </c>
      <c r="O88" s="216">
        <f t="shared" si="247"/>
        <v>555893.55522558256</v>
      </c>
      <c r="P88" s="216">
        <f t="shared" si="247"/>
        <v>0</v>
      </c>
      <c r="Q88" s="216">
        <f t="shared" si="247"/>
        <v>624533.31504733325</v>
      </c>
      <c r="R88" s="216">
        <f t="shared" si="247"/>
        <v>0</v>
      </c>
      <c r="S88" s="216">
        <f t="shared" si="247"/>
        <v>627806.51353759167</v>
      </c>
      <c r="T88" s="219">
        <f t="shared" si="247"/>
        <v>2359684.6454116711</v>
      </c>
      <c r="U88" s="218">
        <f t="shared" si="247"/>
        <v>3954824.6767785051</v>
      </c>
      <c r="V88" s="300">
        <v>59</v>
      </c>
      <c r="W88" s="216">
        <f t="shared" ref="W88:AO88" si="248">SUM(W76:W86)</f>
        <v>17900.933977979963</v>
      </c>
      <c r="X88" s="216">
        <f t="shared" si="248"/>
        <v>120109.53543668124</v>
      </c>
      <c r="Y88" s="216">
        <f t="shared" si="248"/>
        <v>19685.546571169714</v>
      </c>
      <c r="Z88" s="216">
        <f t="shared" si="248"/>
        <v>127246.15132781577</v>
      </c>
      <c r="AA88" s="216">
        <f t="shared" si="248"/>
        <v>20154.893673998075</v>
      </c>
      <c r="AB88" s="216">
        <f t="shared" si="248"/>
        <v>132113.92072564311</v>
      </c>
      <c r="AC88" s="216">
        <f t="shared" si="248"/>
        <v>22679.874362704606</v>
      </c>
      <c r="AD88" s="216">
        <f t="shared" si="248"/>
        <v>136933.60393944004</v>
      </c>
      <c r="AE88" s="221">
        <f t="shared" si="248"/>
        <v>596824.46001543256</v>
      </c>
      <c r="AF88" s="218">
        <f t="shared" si="248"/>
        <v>0</v>
      </c>
      <c r="AG88" s="216">
        <f t="shared" si="248"/>
        <v>181536.13627989282</v>
      </c>
      <c r="AH88" s="216">
        <f t="shared" si="248"/>
        <v>0</v>
      </c>
      <c r="AI88" s="216">
        <f t="shared" si="248"/>
        <v>167724.00040455689</v>
      </c>
      <c r="AJ88" s="216">
        <f t="shared" si="248"/>
        <v>0</v>
      </c>
      <c r="AK88" s="216">
        <f t="shared" si="248"/>
        <v>182826.95285600948</v>
      </c>
      <c r="AL88" s="216">
        <f t="shared" si="248"/>
        <v>0</v>
      </c>
      <c r="AM88" s="216">
        <f t="shared" si="248"/>
        <v>186314.55233653978</v>
      </c>
      <c r="AN88" s="219">
        <f t="shared" si="248"/>
        <v>718401.64187699906</v>
      </c>
      <c r="AO88" s="218">
        <f t="shared" si="248"/>
        <v>1315226.1018924315</v>
      </c>
      <c r="AP88" s="300">
        <v>59</v>
      </c>
      <c r="AQ88" s="216">
        <f t="shared" ref="AQ88:BI88" si="249">SUM(AQ76:AQ86)</f>
        <v>1981510.4096692936</v>
      </c>
      <c r="AR88" s="216">
        <f t="shared" si="249"/>
        <v>4679576.0795333851</v>
      </c>
      <c r="AS88" s="216">
        <f t="shared" si="249"/>
        <v>2350753.2241612193</v>
      </c>
      <c r="AT88" s="216">
        <f t="shared" si="249"/>
        <v>5458261.2982466798</v>
      </c>
      <c r="AU88" s="216">
        <f t="shared" si="249"/>
        <v>2556077.3328790031</v>
      </c>
      <c r="AV88" s="216">
        <f t="shared" si="249"/>
        <v>5943518.5329329949</v>
      </c>
      <c r="AW88" s="216">
        <f t="shared" si="249"/>
        <v>2823229.9996927064</v>
      </c>
      <c r="AX88" s="216">
        <f t="shared" si="249"/>
        <v>6207682.7249387363</v>
      </c>
      <c r="AY88" s="221">
        <f t="shared" si="249"/>
        <v>32000609.602054019</v>
      </c>
      <c r="AZ88" s="218">
        <f t="shared" si="249"/>
        <v>0</v>
      </c>
      <c r="BA88" s="216">
        <f t="shared" si="249"/>
        <v>4180796.6827507052</v>
      </c>
      <c r="BB88" s="216">
        <f t="shared" si="249"/>
        <v>0</v>
      </c>
      <c r="BC88" s="216">
        <f t="shared" si="249"/>
        <v>3830624.7931959927</v>
      </c>
      <c r="BD88" s="216">
        <f t="shared" si="249"/>
        <v>0</v>
      </c>
      <c r="BE88" s="216">
        <f t="shared" si="249"/>
        <v>4524186.4442556808</v>
      </c>
      <c r="BF88" s="216">
        <f t="shared" si="249"/>
        <v>0</v>
      </c>
      <c r="BG88" s="216">
        <f t="shared" si="249"/>
        <v>4591183.7319967588</v>
      </c>
      <c r="BH88" s="219">
        <f t="shared" si="249"/>
        <v>17126791.652199134</v>
      </c>
      <c r="BI88" s="218">
        <f t="shared" si="249"/>
        <v>49127401.254253149</v>
      </c>
      <c r="BJ88" s="300">
        <v>59</v>
      </c>
      <c r="BK88" s="216">
        <f t="shared" ref="BK88:CC88" si="250">SUM(BK76:BK86)</f>
        <v>42224.379992058777</v>
      </c>
      <c r="BL88" s="216">
        <f t="shared" si="250"/>
        <v>484545.26293575246</v>
      </c>
      <c r="BM88" s="216">
        <f t="shared" si="250"/>
        <v>44618.029050335099</v>
      </c>
      <c r="BN88" s="216">
        <f t="shared" si="250"/>
        <v>510830.48069148016</v>
      </c>
      <c r="BO88" s="216">
        <f t="shared" si="250"/>
        <v>46379.565210746921</v>
      </c>
      <c r="BP88" s="216">
        <f t="shared" si="250"/>
        <v>513868.40165723907</v>
      </c>
      <c r="BQ88" s="216">
        <f t="shared" si="250"/>
        <v>51377.657713731955</v>
      </c>
      <c r="BR88" s="216">
        <f t="shared" si="250"/>
        <v>538355.53988218401</v>
      </c>
      <c r="BS88" s="221">
        <f t="shared" si="250"/>
        <v>2232199.3171335282</v>
      </c>
      <c r="BT88" s="218">
        <f t="shared" si="250"/>
        <v>0</v>
      </c>
      <c r="BU88" s="216">
        <f t="shared" si="250"/>
        <v>163425.03923370771</v>
      </c>
      <c r="BV88" s="216">
        <f t="shared" si="250"/>
        <v>0</v>
      </c>
      <c r="BW88" s="216">
        <f t="shared" si="250"/>
        <v>160845.3072538659</v>
      </c>
      <c r="BX88" s="216">
        <f t="shared" si="250"/>
        <v>0</v>
      </c>
      <c r="BY88" s="216">
        <f t="shared" si="250"/>
        <v>177957.44499643534</v>
      </c>
      <c r="BZ88" s="216">
        <f t="shared" si="250"/>
        <v>0</v>
      </c>
      <c r="CA88" s="216">
        <f t="shared" si="250"/>
        <v>203024.25436427307</v>
      </c>
      <c r="CB88" s="219">
        <f t="shared" si="250"/>
        <v>705252.04584828205</v>
      </c>
      <c r="CC88" s="218">
        <f t="shared" si="250"/>
        <v>2937451.3629818102</v>
      </c>
      <c r="CD88" s="300">
        <v>59</v>
      </c>
      <c r="CE88" s="219">
        <f t="shared" ref="CE88:CH88" si="251">SUM(CE76:CE86)</f>
        <v>7669234.9684195621</v>
      </c>
      <c r="CF88" s="219">
        <f t="shared" si="251"/>
        <v>8905107.5073268674</v>
      </c>
      <c r="CG88" s="219">
        <f t="shared" si="251"/>
        <v>9636017.3856474571</v>
      </c>
      <c r="CH88" s="219">
        <f t="shared" si="251"/>
        <v>10214413.549175927</v>
      </c>
      <c r="CI88" s="216">
        <f>SUM(CI76:CI86)</f>
        <v>36424773.410569809</v>
      </c>
      <c r="CJ88" s="219">
        <f t="shared" ref="CJ88:CM88" si="252">SUM(CJ76:CJ86)</f>
        <v>5077209.1198654696</v>
      </c>
      <c r="CK88" s="219">
        <f t="shared" si="252"/>
        <v>4715087.6560799982</v>
      </c>
      <c r="CL88" s="219">
        <f t="shared" si="252"/>
        <v>5509504.1571554588</v>
      </c>
      <c r="CM88" s="219">
        <f t="shared" si="252"/>
        <v>5608329.0522351637</v>
      </c>
      <c r="CN88" s="216">
        <f>SUM(CN76:CN86)</f>
        <v>20910129.985336088</v>
      </c>
      <c r="CO88" s="219">
        <f t="shared" ref="CO88:CR88" si="253">SUM(CO76:CO86)</f>
        <v>12746444.088285031</v>
      </c>
      <c r="CP88" s="219">
        <f t="shared" si="253"/>
        <v>13620195.163406866</v>
      </c>
      <c r="CQ88" s="219">
        <f t="shared" si="253"/>
        <v>15145521.542802915</v>
      </c>
      <c r="CR88" s="219">
        <f t="shared" si="253"/>
        <v>15822742.601411091</v>
      </c>
      <c r="CS88" s="216">
        <f>SUM(CS76:CS86)</f>
        <v>57334903.395905904</v>
      </c>
    </row>
    <row r="89" spans="1:97" ht="15.75" customHeight="1">
      <c r="A89" s="136"/>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c r="U89" s="379"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c r="AO89" s="379"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c r="BI89" s="379"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c r="CC89" s="379" t="s">
        <v>1315</v>
      </c>
      <c r="CD89" s="300"/>
      <c r="CE89" s="380" t="s">
        <v>1315</v>
      </c>
      <c r="CF89" s="380"/>
      <c r="CG89" s="380"/>
      <c r="CH89" s="380"/>
      <c r="CI89" s="187"/>
      <c r="CJ89" s="380" t="s">
        <v>1315</v>
      </c>
      <c r="CK89" s="380"/>
      <c r="CL89" s="380"/>
      <c r="CM89" s="380"/>
      <c r="CN89" s="187"/>
      <c r="CO89" s="380" t="s">
        <v>1315</v>
      </c>
      <c r="CP89" s="380"/>
      <c r="CQ89" s="380"/>
      <c r="CR89" s="380"/>
      <c r="CS89" s="187"/>
    </row>
    <row r="90" spans="1:97" s="318" customFormat="1" ht="15.75" customHeight="1">
      <c r="A90" s="16" t="s">
        <v>268</v>
      </c>
      <c r="B90" s="300">
        <v>60</v>
      </c>
      <c r="C90" s="216">
        <f t="shared" ref="C90:U90" si="254">C88+C66+C73-C70</f>
        <v>1678488.0042627649</v>
      </c>
      <c r="D90" s="216">
        <f t="shared" si="254"/>
        <v>4358697.8962562168</v>
      </c>
      <c r="E90" s="216">
        <f t="shared" si="254"/>
        <v>3379261.7583704484</v>
      </c>
      <c r="F90" s="216">
        <f t="shared" si="254"/>
        <v>7105363.5423834799</v>
      </c>
      <c r="G90" s="216">
        <f t="shared" si="254"/>
        <v>3144601.3138792953</v>
      </c>
      <c r="H90" s="216">
        <f t="shared" si="254"/>
        <v>6625200.5404062169</v>
      </c>
      <c r="I90" s="216">
        <f t="shared" si="254"/>
        <v>2465212.4043719312</v>
      </c>
      <c r="J90" s="216">
        <f t="shared" si="254"/>
        <v>4334305.8701034412</v>
      </c>
      <c r="K90" s="221">
        <f t="shared" si="254"/>
        <v>33091131.330033787</v>
      </c>
      <c r="L90" s="218">
        <f t="shared" si="254"/>
        <v>0</v>
      </c>
      <c r="M90" s="216">
        <f t="shared" si="254"/>
        <v>6275118.3037516046</v>
      </c>
      <c r="N90" s="216">
        <f t="shared" si="254"/>
        <v>0</v>
      </c>
      <c r="O90" s="216">
        <f t="shared" si="254"/>
        <v>11741990.648957686</v>
      </c>
      <c r="P90" s="216">
        <f t="shared" si="254"/>
        <v>0</v>
      </c>
      <c r="Q90" s="216">
        <f t="shared" si="254"/>
        <v>10587509.635661276</v>
      </c>
      <c r="R90" s="216">
        <f t="shared" si="254"/>
        <v>0</v>
      </c>
      <c r="S90" s="216">
        <f t="shared" si="254"/>
        <v>9599976.5426888876</v>
      </c>
      <c r="T90" s="219">
        <f t="shared" si="254"/>
        <v>38204595.131059453</v>
      </c>
      <c r="U90" s="218">
        <f t="shared" si="254"/>
        <v>71295726.461093247</v>
      </c>
      <c r="V90" s="300">
        <v>60</v>
      </c>
      <c r="W90" s="216">
        <f t="shared" ref="W90:AO90" si="255">W88+W66+W73-W70</f>
        <v>212343.44684302958</v>
      </c>
      <c r="X90" s="216">
        <f t="shared" si="255"/>
        <v>1058845.7316993894</v>
      </c>
      <c r="Y90" s="216">
        <f t="shared" si="255"/>
        <v>139507.06346839183</v>
      </c>
      <c r="Z90" s="216">
        <f t="shared" si="255"/>
        <v>807233.7876064172</v>
      </c>
      <c r="AA90" s="216">
        <f t="shared" si="255"/>
        <v>172974.9081921631</v>
      </c>
      <c r="AB90" s="216">
        <f t="shared" si="255"/>
        <v>853493.99107633345</v>
      </c>
      <c r="AC90" s="216">
        <f t="shared" si="255"/>
        <v>263943.94359265693</v>
      </c>
      <c r="AD90" s="216">
        <f t="shared" si="255"/>
        <v>686840.52253297367</v>
      </c>
      <c r="AE90" s="221">
        <f t="shared" si="255"/>
        <v>4195183.3950113552</v>
      </c>
      <c r="AF90" s="218">
        <f t="shared" si="255"/>
        <v>0</v>
      </c>
      <c r="AG90" s="216">
        <f t="shared" si="255"/>
        <v>2397763.590371192</v>
      </c>
      <c r="AH90" s="216">
        <f t="shared" si="255"/>
        <v>0</v>
      </c>
      <c r="AI90" s="216">
        <f t="shared" si="255"/>
        <v>2307912.1301697213</v>
      </c>
      <c r="AJ90" s="216">
        <f t="shared" si="255"/>
        <v>0</v>
      </c>
      <c r="AK90" s="216">
        <f t="shared" si="255"/>
        <v>2160304.320512678</v>
      </c>
      <c r="AL90" s="216">
        <f t="shared" si="255"/>
        <v>0</v>
      </c>
      <c r="AM90" s="216">
        <f t="shared" si="255"/>
        <v>2568830.5631795079</v>
      </c>
      <c r="AN90" s="219">
        <f t="shared" si="255"/>
        <v>9434810.6042330954</v>
      </c>
      <c r="AO90" s="218">
        <f t="shared" si="255"/>
        <v>13629993.999244459</v>
      </c>
      <c r="AP90" s="300">
        <v>60</v>
      </c>
      <c r="AQ90" s="216">
        <f t="shared" ref="AQ90:BI90" si="256">AQ88+AQ66+AQ73-AQ70</f>
        <v>24815516.79101919</v>
      </c>
      <c r="AR90" s="216">
        <f t="shared" si="256"/>
        <v>56687142.666372605</v>
      </c>
      <c r="AS90" s="216">
        <f t="shared" si="256"/>
        <v>24152905.883907009</v>
      </c>
      <c r="AT90" s="216">
        <f t="shared" si="256"/>
        <v>55560010.700271226</v>
      </c>
      <c r="AU90" s="216">
        <f t="shared" si="256"/>
        <v>26889197.486006349</v>
      </c>
      <c r="AV90" s="216">
        <f t="shared" si="256"/>
        <v>61196422.694249906</v>
      </c>
      <c r="AW90" s="216">
        <f t="shared" si="256"/>
        <v>32012852.936126724</v>
      </c>
      <c r="AX90" s="216">
        <f t="shared" si="256"/>
        <v>64704637.959140062</v>
      </c>
      <c r="AY90" s="221">
        <f t="shared" si="256"/>
        <v>346018687.11709303</v>
      </c>
      <c r="AZ90" s="218">
        <f t="shared" si="256"/>
        <v>0</v>
      </c>
      <c r="BA90" s="216">
        <f t="shared" si="256"/>
        <v>47939201.907219186</v>
      </c>
      <c r="BB90" s="216">
        <f t="shared" si="256"/>
        <v>0</v>
      </c>
      <c r="BC90" s="216">
        <f t="shared" si="256"/>
        <v>48276081.92386131</v>
      </c>
      <c r="BD90" s="216">
        <f t="shared" si="256"/>
        <v>0</v>
      </c>
      <c r="BE90" s="216">
        <f t="shared" si="256"/>
        <v>51908809.968952425</v>
      </c>
      <c r="BF90" s="216">
        <f t="shared" si="256"/>
        <v>0</v>
      </c>
      <c r="BG90" s="216">
        <f t="shared" si="256"/>
        <v>57789901.662434779</v>
      </c>
      <c r="BH90" s="219">
        <f t="shared" si="256"/>
        <v>205913995.46246773</v>
      </c>
      <c r="BI90" s="218">
        <f t="shared" si="256"/>
        <v>551932682.57956088</v>
      </c>
      <c r="BJ90" s="300">
        <v>60</v>
      </c>
      <c r="BK90" s="216">
        <f t="shared" ref="BK90:CC90" si="257">BK88+BK66+BK73-BK70</f>
        <v>704701.29860119987</v>
      </c>
      <c r="BL90" s="216">
        <f t="shared" si="257"/>
        <v>6900625.2684836732</v>
      </c>
      <c r="BM90" s="216">
        <f t="shared" si="257"/>
        <v>569142.12626461755</v>
      </c>
      <c r="BN90" s="216">
        <f t="shared" si="257"/>
        <v>5503584.1845833464</v>
      </c>
      <c r="BO90" s="216">
        <f t="shared" si="257"/>
        <v>593979.30584762932</v>
      </c>
      <c r="BP90" s="216">
        <f t="shared" si="257"/>
        <v>5924479.4035611823</v>
      </c>
      <c r="BQ90" s="216">
        <f t="shared" si="257"/>
        <v>758181.28747224144</v>
      </c>
      <c r="BR90" s="216">
        <f t="shared" si="257"/>
        <v>6277089.7235696716</v>
      </c>
      <c r="BS90" s="221">
        <f t="shared" si="257"/>
        <v>27231782.598383561</v>
      </c>
      <c r="BT90" s="218">
        <f t="shared" si="257"/>
        <v>0</v>
      </c>
      <c r="BU90" s="216">
        <f t="shared" si="257"/>
        <v>2455932.8382660011</v>
      </c>
      <c r="BV90" s="216">
        <f t="shared" si="257"/>
        <v>0</v>
      </c>
      <c r="BW90" s="216">
        <f t="shared" si="257"/>
        <v>3335807.4247015109</v>
      </c>
      <c r="BX90" s="216">
        <f t="shared" si="257"/>
        <v>0</v>
      </c>
      <c r="BY90" s="216">
        <f t="shared" si="257"/>
        <v>2834668.420840783</v>
      </c>
      <c r="BZ90" s="216">
        <f t="shared" si="257"/>
        <v>0</v>
      </c>
      <c r="CA90" s="216">
        <f t="shared" si="257"/>
        <v>3090982.8548459574</v>
      </c>
      <c r="CB90" s="219">
        <f t="shared" si="257"/>
        <v>11717391.538654251</v>
      </c>
      <c r="CC90" s="218">
        <f t="shared" si="257"/>
        <v>38949174.137037806</v>
      </c>
      <c r="CD90" s="300">
        <v>60</v>
      </c>
      <c r="CE90" s="219">
        <f t="shared" ref="CE90:CS90" si="258">CE88+CE66+CE73-CE70</f>
        <v>96416361.103538081</v>
      </c>
      <c r="CF90" s="219">
        <f t="shared" si="258"/>
        <v>97217009.046854913</v>
      </c>
      <c r="CG90" s="219">
        <f t="shared" si="258"/>
        <v>105400349.64321907</v>
      </c>
      <c r="CH90" s="219">
        <f t="shared" si="258"/>
        <v>111503064.64690968</v>
      </c>
      <c r="CI90" s="216">
        <f t="shared" si="258"/>
        <v>410536784.44052172</v>
      </c>
      <c r="CJ90" s="219">
        <f t="shared" si="258"/>
        <v>59068016.639607981</v>
      </c>
      <c r="CK90" s="219">
        <f t="shared" si="258"/>
        <v>65661792.127690226</v>
      </c>
      <c r="CL90" s="219">
        <f t="shared" si="258"/>
        <v>67491292.345967174</v>
      </c>
      <c r="CM90" s="219">
        <f t="shared" si="258"/>
        <v>73049691.623149112</v>
      </c>
      <c r="CN90" s="216">
        <f t="shared" si="258"/>
        <v>20910129.985336088</v>
      </c>
      <c r="CO90" s="219">
        <f t="shared" si="258"/>
        <v>155484377.74314606</v>
      </c>
      <c r="CP90" s="219">
        <f t="shared" si="258"/>
        <v>162878801.17454517</v>
      </c>
      <c r="CQ90" s="219">
        <f t="shared" si="258"/>
        <v>172891641.98918617</v>
      </c>
      <c r="CR90" s="219">
        <f t="shared" si="258"/>
        <v>184552756.27005881</v>
      </c>
      <c r="CS90" s="216">
        <f t="shared" si="258"/>
        <v>675807577.17693627</v>
      </c>
    </row>
    <row r="91" spans="1:97" ht="15.75" customHeight="1">
      <c r="A91" s="136"/>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c r="U91" s="379"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379"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379"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379" t="s">
        <v>1315</v>
      </c>
      <c r="CD91" s="300"/>
      <c r="CE91" s="380" t="s">
        <v>1315</v>
      </c>
      <c r="CF91" s="380"/>
      <c r="CG91" s="380"/>
      <c r="CH91" s="380"/>
      <c r="CI91" s="187"/>
      <c r="CJ91" s="380" t="s">
        <v>1315</v>
      </c>
      <c r="CK91" s="380"/>
      <c r="CL91" s="380"/>
      <c r="CM91" s="380"/>
      <c r="CN91" s="187"/>
      <c r="CO91" s="380" t="s">
        <v>1315</v>
      </c>
      <c r="CP91" s="380"/>
      <c r="CQ91" s="380"/>
      <c r="CR91" s="380"/>
      <c r="CS91" s="187"/>
    </row>
    <row r="92" spans="1:97" s="318" customFormat="1" ht="15.75" customHeight="1">
      <c r="A92" s="16" t="s">
        <v>270</v>
      </c>
      <c r="B92" s="300">
        <v>61</v>
      </c>
      <c r="C92" s="216">
        <f t="shared" ref="C92:J92" si="259">C32-C90</f>
        <v>-368150.08426273498</v>
      </c>
      <c r="D92" s="216">
        <f t="shared" si="259"/>
        <v>-1611403.4262559758</v>
      </c>
      <c r="E92" s="216">
        <f t="shared" si="259"/>
        <v>-2022614.7283704183</v>
      </c>
      <c r="F92" s="216">
        <f t="shared" si="259"/>
        <v>-4264352.2923832182</v>
      </c>
      <c r="G92" s="216">
        <f t="shared" si="259"/>
        <v>-1738145.8838792553</v>
      </c>
      <c r="H92" s="216">
        <f t="shared" si="259"/>
        <v>-3648152.2504059337</v>
      </c>
      <c r="I92" s="216">
        <f t="shared" si="259"/>
        <v>-991435.0743718911</v>
      </c>
      <c r="J92" s="216">
        <f t="shared" si="259"/>
        <v>-1317002.9901031582</v>
      </c>
      <c r="K92" s="221">
        <f>SUM(C92:J92)</f>
        <v>-15961256.730032586</v>
      </c>
      <c r="L92" s="218">
        <f t="shared" ref="L92:S92" si="260">L32-L90</f>
        <v>0</v>
      </c>
      <c r="M92" s="216">
        <f t="shared" si="260"/>
        <v>1516320.9618235016</v>
      </c>
      <c r="N92" s="216">
        <f t="shared" si="260"/>
        <v>0</v>
      </c>
      <c r="O92" s="216">
        <f t="shared" si="260"/>
        <v>-4687130.8952598209</v>
      </c>
      <c r="P92" s="216">
        <f t="shared" si="260"/>
        <v>0</v>
      </c>
      <c r="Q92" s="216">
        <f t="shared" si="260"/>
        <v>-2576658.5408707317</v>
      </c>
      <c r="R92" s="216">
        <f t="shared" si="260"/>
        <v>0</v>
      </c>
      <c r="S92" s="216">
        <f t="shared" si="260"/>
        <v>-1434582.1510625519</v>
      </c>
      <c r="T92" s="219">
        <f>SUM(L92:S92)</f>
        <v>-7182050.6253696028</v>
      </c>
      <c r="U92" s="218">
        <f>U32-U90</f>
        <v>-23143307.355402187</v>
      </c>
      <c r="V92" s="300">
        <v>61</v>
      </c>
      <c r="W92" s="216">
        <f t="shared" ref="W92:AD92" si="261">W32-W90</f>
        <v>-805.58684302959591</v>
      </c>
      <c r="X92" s="216">
        <f t="shared" si="261"/>
        <v>360505.57830062951</v>
      </c>
      <c r="Y92" s="216">
        <f t="shared" si="261"/>
        <v>70374.866531608161</v>
      </c>
      <c r="Z92" s="216">
        <f t="shared" si="261"/>
        <v>549429.98239360098</v>
      </c>
      <c r="AA92" s="216">
        <f t="shared" si="261"/>
        <v>35442.321807836881</v>
      </c>
      <c r="AB92" s="216">
        <f t="shared" si="261"/>
        <v>512666.39892368554</v>
      </c>
      <c r="AC92" s="216">
        <f t="shared" si="261"/>
        <v>-29333.413592656929</v>
      </c>
      <c r="AD92" s="216">
        <f t="shared" si="261"/>
        <v>729660.50746704638</v>
      </c>
      <c r="AE92" s="221">
        <f>SUM(W92:AD92)</f>
        <v>2227940.654988721</v>
      </c>
      <c r="AF92" s="218">
        <f t="shared" ref="AF92:AM92" si="262">AF32-AF90</f>
        <v>0</v>
      </c>
      <c r="AG92" s="216">
        <f t="shared" si="262"/>
        <v>225006.98535058834</v>
      </c>
      <c r="AH92" s="216">
        <f t="shared" si="262"/>
        <v>0</v>
      </c>
      <c r="AI92" s="216">
        <f t="shared" si="262"/>
        <v>-152406.1145778019</v>
      </c>
      <c r="AJ92" s="216">
        <f t="shared" si="262"/>
        <v>0</v>
      </c>
      <c r="AK92" s="216">
        <f t="shared" si="262"/>
        <v>137311.8660483337</v>
      </c>
      <c r="AL92" s="216">
        <f t="shared" si="262"/>
        <v>0</v>
      </c>
      <c r="AM92" s="216">
        <f t="shared" si="262"/>
        <v>-219957.59533834783</v>
      </c>
      <c r="AN92" s="219">
        <f>SUM(AF92:AM92)</f>
        <v>-10044.858517227694</v>
      </c>
      <c r="AO92" s="218">
        <f>AO32-AO90</f>
        <v>2217895.7964714859</v>
      </c>
      <c r="AP92" s="300">
        <v>61</v>
      </c>
      <c r="AQ92" s="216">
        <f t="shared" ref="AQ92:AX92" si="263">AQ32-AQ90</f>
        <v>-1399728.9810210019</v>
      </c>
      <c r="AR92" s="216">
        <f t="shared" si="263"/>
        <v>-1387932.5363663808</v>
      </c>
      <c r="AS92" s="216">
        <f t="shared" si="263"/>
        <v>910184.02609099075</v>
      </c>
      <c r="AT92" s="216">
        <f t="shared" si="263"/>
        <v>2634482.9897380024</v>
      </c>
      <c r="AU92" s="216">
        <f t="shared" si="263"/>
        <v>-457375.71600574628</v>
      </c>
      <c r="AV92" s="216">
        <f t="shared" si="263"/>
        <v>264167.92576672882</v>
      </c>
      <c r="AW92" s="216">
        <f t="shared" si="263"/>
        <v>-2808128.2561255246</v>
      </c>
      <c r="AX92" s="216">
        <f t="shared" si="263"/>
        <v>-489655.50912065804</v>
      </c>
      <c r="AY92" s="221">
        <f>SUM(AQ92:AX92)</f>
        <v>-2733986.0570435897</v>
      </c>
      <c r="AZ92" s="218">
        <f t="shared" ref="AZ92:BG92" si="264">AZ32-AZ90</f>
        <v>0</v>
      </c>
      <c r="BA92" s="216">
        <f t="shared" si="264"/>
        <v>12683988.23619362</v>
      </c>
      <c r="BB92" s="216">
        <f t="shared" si="264"/>
        <v>0</v>
      </c>
      <c r="BC92" s="216">
        <f t="shared" si="264"/>
        <v>3320901.0513927191</v>
      </c>
      <c r="BD92" s="216">
        <f t="shared" si="264"/>
        <v>0</v>
      </c>
      <c r="BE92" s="216">
        <f t="shared" si="264"/>
        <v>6351390.700339593</v>
      </c>
      <c r="BF92" s="216">
        <f t="shared" si="264"/>
        <v>0</v>
      </c>
      <c r="BG92" s="216">
        <f t="shared" si="264"/>
        <v>1026172.8734306768</v>
      </c>
      <c r="BH92" s="219">
        <f>SUM(AZ92:BG92)</f>
        <v>23382452.861356609</v>
      </c>
      <c r="BI92" s="218">
        <f>BI32-BI90</f>
        <v>20648466.804312825</v>
      </c>
      <c r="BJ92" s="300">
        <v>61</v>
      </c>
      <c r="BK92" s="216">
        <f t="shared" ref="BK92:BR92" si="265">BK32-BK90</f>
        <v>-167387.05162965949</v>
      </c>
      <c r="BL92" s="216">
        <f t="shared" si="265"/>
        <v>-734683.38545505423</v>
      </c>
      <c r="BM92" s="216">
        <f t="shared" si="265"/>
        <v>-55465.050439262879</v>
      </c>
      <c r="BN92" s="216">
        <f t="shared" si="265"/>
        <v>377489.29959129915</v>
      </c>
      <c r="BO92" s="216">
        <f t="shared" si="265"/>
        <v>-75245.813298826979</v>
      </c>
      <c r="BP92" s="216">
        <f t="shared" si="265"/>
        <v>-177104.46610998362</v>
      </c>
      <c r="BQ92" s="216">
        <f t="shared" si="265"/>
        <v>-53543.139221534366</v>
      </c>
      <c r="BR92" s="216">
        <f t="shared" si="265"/>
        <v>1106389.1581797814</v>
      </c>
      <c r="BS92" s="221">
        <f>SUM(BK92:BR92)</f>
        <v>220449.55161675904</v>
      </c>
      <c r="BT92" s="218">
        <f t="shared" ref="BT92:CA92" si="266">BT32-BT90</f>
        <v>0</v>
      </c>
      <c r="BU92" s="216">
        <f t="shared" si="266"/>
        <v>-30114.739488850813</v>
      </c>
      <c r="BV92" s="216">
        <f t="shared" si="266"/>
        <v>0</v>
      </c>
      <c r="BW92" s="216">
        <f t="shared" si="266"/>
        <v>-1018438.5470408811</v>
      </c>
      <c r="BX92" s="216">
        <f t="shared" si="266"/>
        <v>0</v>
      </c>
      <c r="BY92" s="216">
        <f t="shared" si="266"/>
        <v>-518113.95870474214</v>
      </c>
      <c r="BZ92" s="216">
        <f t="shared" si="266"/>
        <v>0</v>
      </c>
      <c r="CA92" s="216">
        <f t="shared" si="266"/>
        <v>-604663.54752470367</v>
      </c>
      <c r="CB92" s="219">
        <f>SUM(BT92:CA92)</f>
        <v>-2171330.7927591777</v>
      </c>
      <c r="CC92" s="218">
        <f>CC32-CC90</f>
        <v>-1950881.2411424071</v>
      </c>
      <c r="CD92" s="300">
        <v>61</v>
      </c>
      <c r="CE92" s="219">
        <f t="shared" ref="CE92:CS92" si="267">CE32-CE90</f>
        <v>-5309585.4735332131</v>
      </c>
      <c r="CF92" s="219">
        <f t="shared" si="267"/>
        <v>-1800470.9068473727</v>
      </c>
      <c r="CG92" s="219">
        <f t="shared" si="267"/>
        <v>-5283747.4832014889</v>
      </c>
      <c r="CH92" s="219">
        <f t="shared" si="267"/>
        <v>-3853048.7168885618</v>
      </c>
      <c r="CI92" s="216">
        <f t="shared" si="267"/>
        <v>-16246852.580470622</v>
      </c>
      <c r="CJ92" s="219">
        <f t="shared" si="267"/>
        <v>14395201.443878874</v>
      </c>
      <c r="CK92" s="219">
        <f t="shared" si="267"/>
        <v>-2537074.505485788</v>
      </c>
      <c r="CL92" s="219">
        <f t="shared" si="267"/>
        <v>3393930.0668124408</v>
      </c>
      <c r="CM92" s="219">
        <f t="shared" si="267"/>
        <v>-1233030.4204949141</v>
      </c>
      <c r="CN92" s="216">
        <f t="shared" si="267"/>
        <v>-20910129.985336088</v>
      </c>
      <c r="CO92" s="219">
        <f t="shared" si="267"/>
        <v>9085615.9703456163</v>
      </c>
      <c r="CP92" s="219">
        <f t="shared" si="267"/>
        <v>-4337545.4123331606</v>
      </c>
      <c r="CQ92" s="219">
        <f t="shared" si="267"/>
        <v>-1889817.4163889885</v>
      </c>
      <c r="CR92" s="219">
        <f t="shared" si="267"/>
        <v>-5086079.1373834908</v>
      </c>
      <c r="CS92" s="216">
        <f t="shared" si="267"/>
        <v>-2227825.9957602024</v>
      </c>
    </row>
    <row r="93" spans="1:97" ht="15.75" customHeight="1">
      <c r="A93" s="136"/>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97" ht="15.75" customHeight="1">
      <c r="A94" s="135" t="s">
        <v>272</v>
      </c>
      <c r="B94" s="300">
        <v>62</v>
      </c>
      <c r="C94" s="387">
        <f t="shared" ref="C94:U94" si="268">IF((C32-C28)=0,"",C92/(C32-C28))</f>
        <v>-0.28095812434606682</v>
      </c>
      <c r="D94" s="387">
        <f t="shared" si="268"/>
        <v>-0.58654193929776832</v>
      </c>
      <c r="E94" s="387">
        <f t="shared" si="268"/>
        <v>-1.4908923866293899</v>
      </c>
      <c r="F94" s="387">
        <f t="shared" si="268"/>
        <v>-1.500998031029559</v>
      </c>
      <c r="G94" s="387">
        <f t="shared" si="268"/>
        <v>-1.2358343156876332</v>
      </c>
      <c r="H94" s="387">
        <f t="shared" si="268"/>
        <v>-1.2254259572005757</v>
      </c>
      <c r="I94" s="387">
        <f t="shared" si="268"/>
        <v>-0.6727170069659465</v>
      </c>
      <c r="J94" s="387">
        <f t="shared" si="268"/>
        <v>-0.43648352269594975</v>
      </c>
      <c r="K94" s="388">
        <f t="shared" si="268"/>
        <v>-0.93177895943449929</v>
      </c>
      <c r="L94" s="389" t="str">
        <f t="shared" si="268"/>
        <v/>
      </c>
      <c r="M94" s="387">
        <f t="shared" si="268"/>
        <v>0.19461371771491029</v>
      </c>
      <c r="N94" s="387" t="str">
        <f t="shared" si="268"/>
        <v/>
      </c>
      <c r="O94" s="387">
        <f t="shared" si="268"/>
        <v>-0.66438328455828211</v>
      </c>
      <c r="P94" s="387" t="str">
        <f t="shared" si="268"/>
        <v/>
      </c>
      <c r="Q94" s="387">
        <f t="shared" si="268"/>
        <v>-0.32164604114865303</v>
      </c>
      <c r="R94" s="387" t="str">
        <f t="shared" si="268"/>
        <v/>
      </c>
      <c r="S94" s="387">
        <f t="shared" si="268"/>
        <v>-0.17569049114562366</v>
      </c>
      <c r="T94" s="390">
        <f t="shared" si="268"/>
        <v>-0.23151068810788045</v>
      </c>
      <c r="U94" s="389">
        <f t="shared" si="268"/>
        <v>-0.48062605753211085</v>
      </c>
      <c r="V94" s="300">
        <v>62</v>
      </c>
      <c r="W94" s="387">
        <f t="shared" ref="W94:AO94" si="269">IF((W32-W28)=0,"",W92/(W32-W28))</f>
        <v>-3.8082395417519867E-3</v>
      </c>
      <c r="X94" s="387">
        <f t="shared" si="269"/>
        <v>0.25399319799171122</v>
      </c>
      <c r="Y94" s="387">
        <f t="shared" si="269"/>
        <v>0.33530693438738707</v>
      </c>
      <c r="Z94" s="387">
        <f t="shared" si="269"/>
        <v>0.40498610970763493</v>
      </c>
      <c r="AA94" s="387">
        <f t="shared" si="269"/>
        <v>0.1700546629846145</v>
      </c>
      <c r="AB94" s="387">
        <f t="shared" si="269"/>
        <v>0.37526076928908647</v>
      </c>
      <c r="AC94" s="387">
        <f t="shared" si="269"/>
        <v>-0.12503025159466172</v>
      </c>
      <c r="AD94" s="387">
        <f t="shared" si="269"/>
        <v>0.51511470307016727</v>
      </c>
      <c r="AE94" s="388">
        <f t="shared" si="269"/>
        <v>0.34686246718038938</v>
      </c>
      <c r="AF94" s="389" t="str">
        <f t="shared" si="269"/>
        <v/>
      </c>
      <c r="AG94" s="387">
        <f t="shared" si="269"/>
        <v>8.5789808469491066E-2</v>
      </c>
      <c r="AH94" s="387" t="str">
        <f t="shared" si="269"/>
        <v/>
      </c>
      <c r="AI94" s="387">
        <f t="shared" si="269"/>
        <v>-7.0705492573608031E-2</v>
      </c>
      <c r="AJ94" s="387" t="str">
        <f t="shared" si="269"/>
        <v/>
      </c>
      <c r="AK94" s="387">
        <f t="shared" si="269"/>
        <v>5.9762751869300287E-2</v>
      </c>
      <c r="AL94" s="387" t="str">
        <f t="shared" si="269"/>
        <v/>
      </c>
      <c r="AM94" s="387">
        <f t="shared" si="269"/>
        <v>-9.3643887238614693E-2</v>
      </c>
      <c r="AN94" s="390">
        <f t="shared" si="269"/>
        <v>-1.0657939717805395E-3</v>
      </c>
      <c r="AO94" s="389">
        <f t="shared" si="269"/>
        <v>0.13994896639620974</v>
      </c>
      <c r="AP94" s="300">
        <v>62</v>
      </c>
      <c r="AQ94" s="387">
        <f t="shared" ref="AQ94:BI94" si="270">IF((AQ32-AQ28)=0,"",AQ92/(AQ32-AQ28))</f>
        <v>-5.977714661487233E-2</v>
      </c>
      <c r="AR94" s="387">
        <f t="shared" si="270"/>
        <v>-2.5098596039679538E-2</v>
      </c>
      <c r="AS94" s="387">
        <f t="shared" si="270"/>
        <v>3.6315714836417927E-2</v>
      </c>
      <c r="AT94" s="387">
        <f t="shared" si="270"/>
        <v>4.5270313782114539E-2</v>
      </c>
      <c r="AU94" s="387">
        <f t="shared" si="270"/>
        <v>-1.730398002777301E-2</v>
      </c>
      <c r="AV94" s="387">
        <f t="shared" si="270"/>
        <v>4.2981677055458356E-3</v>
      </c>
      <c r="AW94" s="387">
        <f t="shared" si="270"/>
        <v>-9.6153217908897928E-2</v>
      </c>
      <c r="AX94" s="387">
        <f t="shared" si="270"/>
        <v>-7.6252533355712238E-3</v>
      </c>
      <c r="AY94" s="388">
        <f t="shared" si="270"/>
        <v>-7.9641942929619333E-3</v>
      </c>
      <c r="AZ94" s="389" t="str">
        <f t="shared" si="270"/>
        <v/>
      </c>
      <c r="BA94" s="387">
        <f t="shared" si="270"/>
        <v>0.20922667062204803</v>
      </c>
      <c r="BB94" s="387" t="str">
        <f t="shared" si="270"/>
        <v/>
      </c>
      <c r="BC94" s="387">
        <f t="shared" si="270"/>
        <v>6.4362310737924866E-2</v>
      </c>
      <c r="BD94" s="387" t="str">
        <f t="shared" si="270"/>
        <v/>
      </c>
      <c r="BE94" s="387">
        <f t="shared" si="270"/>
        <v>0.10901765918027992</v>
      </c>
      <c r="BF94" s="387" t="str">
        <f t="shared" si="270"/>
        <v/>
      </c>
      <c r="BG94" s="387">
        <f t="shared" si="270"/>
        <v>1.7447149976065248E-2</v>
      </c>
      <c r="BH94" s="390">
        <f t="shared" si="270"/>
        <v>0.10197477122861798</v>
      </c>
      <c r="BI94" s="389">
        <f t="shared" si="270"/>
        <v>3.606207928174307E-2</v>
      </c>
      <c r="BJ94" s="300">
        <v>62</v>
      </c>
      <c r="BK94" s="387">
        <f t="shared" ref="BK94:CC94" si="271">IF((BK32-BK28)=0,"",BK92/(BK32-BK28))</f>
        <v>-0.31152542962168167</v>
      </c>
      <c r="BL94" s="387">
        <f t="shared" si="271"/>
        <v>-0.11915185050271487</v>
      </c>
      <c r="BM94" s="387">
        <f t="shared" si="271"/>
        <v>-0.1079764954473469</v>
      </c>
      <c r="BN94" s="387">
        <f t="shared" si="271"/>
        <v>6.4187142127552638E-2</v>
      </c>
      <c r="BO94" s="387">
        <f t="shared" si="271"/>
        <v>-0.14505678615256923</v>
      </c>
      <c r="BP94" s="387">
        <f t="shared" si="271"/>
        <v>-3.0814844696477127E-2</v>
      </c>
      <c r="BQ94" s="387">
        <f t="shared" si="271"/>
        <v>-7.5986716521745795E-2</v>
      </c>
      <c r="BR94" s="387">
        <f t="shared" si="271"/>
        <v>0.149846593441821</v>
      </c>
      <c r="BS94" s="388">
        <f t="shared" si="271"/>
        <v>8.030296057974888E-3</v>
      </c>
      <c r="BT94" s="389" t="str">
        <f t="shared" si="271"/>
        <v/>
      </c>
      <c r="BU94" s="387">
        <f t="shared" si="271"/>
        <v>-1.2414261194617844E-2</v>
      </c>
      <c r="BV94" s="387" t="str">
        <f t="shared" si="271"/>
        <v/>
      </c>
      <c r="BW94" s="387">
        <f t="shared" si="271"/>
        <v>-0.43948054919464907</v>
      </c>
      <c r="BX94" s="387" t="str">
        <f t="shared" si="271"/>
        <v/>
      </c>
      <c r="BY94" s="387">
        <f t="shared" si="271"/>
        <v>-0.22365714563300243</v>
      </c>
      <c r="BZ94" s="387" t="str">
        <f t="shared" si="271"/>
        <v/>
      </c>
      <c r="CA94" s="387">
        <f t="shared" si="271"/>
        <v>-0.24319625630714534</v>
      </c>
      <c r="CB94" s="390">
        <f t="shared" si="271"/>
        <v>-0.22745830458840072</v>
      </c>
      <c r="CC94" s="389">
        <f t="shared" si="271"/>
        <v>-5.2728952836600694E-2</v>
      </c>
      <c r="CD94" s="300">
        <v>62</v>
      </c>
      <c r="CE94" s="390">
        <f t="shared" ref="CE94:CS94" si="272">IF((CE32-CE28)=0,"",CE92/(CE32-CE28))</f>
        <v>-5.8278711290322166E-2</v>
      </c>
      <c r="CF94" s="390">
        <f t="shared" si="272"/>
        <v>-1.886958950664808E-2</v>
      </c>
      <c r="CG94" s="390">
        <f t="shared" si="272"/>
        <v>-5.2775936949562181E-2</v>
      </c>
      <c r="CH94" s="390">
        <f t="shared" si="272"/>
        <v>-3.5792365505949122E-2</v>
      </c>
      <c r="CI94" s="423">
        <f t="shared" si="272"/>
        <v>-4.1205344767051427E-2</v>
      </c>
      <c r="CJ94" s="390">
        <f t="shared" si="272"/>
        <v>0.1959511415293505</v>
      </c>
      <c r="CK94" s="390">
        <f t="shared" si="272"/>
        <v>-4.0191459083745024E-2</v>
      </c>
      <c r="CL94" s="390">
        <f t="shared" si="272"/>
        <v>4.7879232811725826E-2</v>
      </c>
      <c r="CM94" s="390">
        <f t="shared" si="272"/>
        <v>-1.7169141531315629E-2</v>
      </c>
      <c r="CN94" s="423" t="str">
        <f t="shared" si="272"/>
        <v/>
      </c>
      <c r="CO94" s="390">
        <f t="shared" si="272"/>
        <v>5.5208217277830304E-2</v>
      </c>
      <c r="CP94" s="390">
        <f t="shared" si="272"/>
        <v>-2.7359095848457419E-2</v>
      </c>
      <c r="CQ94" s="390">
        <f t="shared" si="272"/>
        <v>-1.1051445919423359E-2</v>
      </c>
      <c r="CR94" s="390">
        <f t="shared" si="272"/>
        <v>-2.833996382305266E-2</v>
      </c>
      <c r="CS94" s="423">
        <f t="shared" si="272"/>
        <v>-3.3074420539713836E-3</v>
      </c>
    </row>
    <row r="95" spans="1:97" ht="15.75" customHeight="1">
      <c r="A95" s="135" t="s">
        <v>274</v>
      </c>
      <c r="B95" s="300">
        <v>63</v>
      </c>
      <c r="C95" s="392">
        <f>IF((C32-C28-C25)=0,"",(C73+C66-C64)/(C32-C28-C25))</f>
        <v>1.1963352867226742</v>
      </c>
      <c r="D95" s="392">
        <f t="shared" ref="D95:U95" si="273">IF((D32-D28-D25)=0,"",(D73+D66-D64)/(D32-D28-D25))</f>
        <v>1.501919101674376</v>
      </c>
      <c r="E95" s="392">
        <f t="shared" si="273"/>
        <v>2.3970989544307737</v>
      </c>
      <c r="F95" s="392">
        <f t="shared" si="273"/>
        <v>2.4072045988309432</v>
      </c>
      <c r="G95" s="392">
        <f t="shared" si="273"/>
        <v>2.1391297693600668</v>
      </c>
      <c r="H95" s="392">
        <f t="shared" si="273"/>
        <v>2.128721410873009</v>
      </c>
      <c r="I95" s="392">
        <f t="shared" si="273"/>
        <v>1.5760466897269694</v>
      </c>
      <c r="J95" s="392">
        <f t="shared" si="273"/>
        <v>1.3398132054569722</v>
      </c>
      <c r="K95" s="388">
        <f t="shared" si="273"/>
        <v>1.8386586028285772</v>
      </c>
      <c r="L95" s="393" t="str">
        <f t="shared" si="273"/>
        <v/>
      </c>
      <c r="M95" s="392">
        <f t="shared" si="273"/>
        <v>0.7346097231918759</v>
      </c>
      <c r="N95" s="392" t="str">
        <f t="shared" si="273"/>
        <v/>
      </c>
      <c r="O95" s="392">
        <f t="shared" si="273"/>
        <v>1.5855874509580172</v>
      </c>
      <c r="P95" s="392" t="str">
        <f t="shared" si="273"/>
        <v/>
      </c>
      <c r="Q95" s="392">
        <f t="shared" si="273"/>
        <v>1.2436851219332818</v>
      </c>
      <c r="R95" s="392" t="str">
        <f t="shared" si="273"/>
        <v/>
      </c>
      <c r="S95" s="392">
        <f t="shared" si="273"/>
        <v>1.0988042461674985</v>
      </c>
      <c r="T95" s="390">
        <f t="shared" si="273"/>
        <v>1.1554471451906037</v>
      </c>
      <c r="U95" s="394">
        <f t="shared" si="273"/>
        <v>1.3984946765915613</v>
      </c>
      <c r="V95" s="300">
        <v>63</v>
      </c>
      <c r="W95" s="392">
        <f>IF((W32-W28-W25)=0,"",(W73+W66-W64)/(W32-W28-W25))</f>
        <v>0.9191854019183594</v>
      </c>
      <c r="X95" s="392">
        <f t="shared" ref="X95:AO95" si="274">IF((X32-X28-X25)=0,"",(X73+X66-X64)/(X32-X28-X25))</f>
        <v>0.66138396438489611</v>
      </c>
      <c r="Y95" s="392">
        <f t="shared" si="274"/>
        <v>0.57089963341399674</v>
      </c>
      <c r="Z95" s="392">
        <f t="shared" si="274"/>
        <v>0.50122045809374893</v>
      </c>
      <c r="AA95" s="392">
        <f t="shared" si="274"/>
        <v>0.73324079068781911</v>
      </c>
      <c r="AB95" s="392">
        <f t="shared" si="274"/>
        <v>0.528034684383347</v>
      </c>
      <c r="AC95" s="392">
        <f t="shared" si="274"/>
        <v>1.0283599343556844</v>
      </c>
      <c r="AD95" s="392">
        <f t="shared" si="274"/>
        <v>0.3882149796908555</v>
      </c>
      <c r="AE95" s="388">
        <f t="shared" si="274"/>
        <v>0.5602194363653743</v>
      </c>
      <c r="AF95" s="393" t="str">
        <f t="shared" si="274"/>
        <v/>
      </c>
      <c r="AG95" s="392">
        <f t="shared" si="274"/>
        <v>0.84499478322895194</v>
      </c>
      <c r="AH95" s="392" t="str">
        <f t="shared" si="274"/>
        <v/>
      </c>
      <c r="AI95" s="392">
        <f t="shared" si="274"/>
        <v>0.99289360098466328</v>
      </c>
      <c r="AJ95" s="392" t="str">
        <f t="shared" si="274"/>
        <v/>
      </c>
      <c r="AK95" s="392">
        <f t="shared" si="274"/>
        <v>0.86066479650654115</v>
      </c>
      <c r="AL95" s="392" t="str">
        <f t="shared" si="274"/>
        <v/>
      </c>
      <c r="AM95" s="392">
        <f t="shared" si="274"/>
        <v>1.0143230576801818</v>
      </c>
      <c r="AN95" s="390">
        <f t="shared" si="274"/>
        <v>0.92484091355991904</v>
      </c>
      <c r="AO95" s="394">
        <f t="shared" si="274"/>
        <v>0.77706041978415297</v>
      </c>
      <c r="AP95" s="300">
        <v>63</v>
      </c>
      <c r="AQ95" s="392">
        <f>IF((AQ32-AQ28-AQ25)=0,"",(AQ73+AQ66-AQ64)/(AQ32-AQ28-AQ25))</f>
        <v>0.97515430899147959</v>
      </c>
      <c r="AR95" s="392">
        <f t="shared" ref="AR95:BI95" si="275">IF((AR32-AR28-AR25)=0,"",(AR73+AR66-AR64)/(AR32-AR28-AR25))</f>
        <v>0.94047575841628694</v>
      </c>
      <c r="AS95" s="392">
        <f t="shared" si="275"/>
        <v>0.86989085296496593</v>
      </c>
      <c r="AT95" s="392">
        <f t="shared" si="275"/>
        <v>0.86093625401926921</v>
      </c>
      <c r="AU95" s="392">
        <f t="shared" si="275"/>
        <v>0.92059943370020658</v>
      </c>
      <c r="AV95" s="392">
        <f t="shared" si="275"/>
        <v>0.89899728596688766</v>
      </c>
      <c r="AW95" s="392">
        <f t="shared" si="275"/>
        <v>0.99948290066992052</v>
      </c>
      <c r="AX95" s="392">
        <f t="shared" si="275"/>
        <v>0.91095493609659395</v>
      </c>
      <c r="AY95" s="388">
        <f t="shared" si="275"/>
        <v>0.91474533104843803</v>
      </c>
      <c r="AZ95" s="393" t="str">
        <f t="shared" si="275"/>
        <v/>
      </c>
      <c r="BA95" s="392">
        <f t="shared" si="275"/>
        <v>0.72180967581797884</v>
      </c>
      <c r="BB95" s="392" t="str">
        <f t="shared" si="275"/>
        <v/>
      </c>
      <c r="BC95" s="392">
        <f t="shared" si="275"/>
        <v>0.86139643381826048</v>
      </c>
      <c r="BD95" s="392" t="str">
        <f t="shared" si="275"/>
        <v/>
      </c>
      <c r="BE95" s="392">
        <f t="shared" si="275"/>
        <v>0.81332750282942967</v>
      </c>
      <c r="BF95" s="392" t="str">
        <f t="shared" si="275"/>
        <v/>
      </c>
      <c r="BG95" s="392">
        <f t="shared" si="275"/>
        <v>0.90449283380851897</v>
      </c>
      <c r="BH95" s="390">
        <f t="shared" si="275"/>
        <v>0.82333243794362443</v>
      </c>
      <c r="BI95" s="394">
        <f t="shared" si="275"/>
        <v>0.87813802788714168</v>
      </c>
      <c r="BJ95" s="300">
        <v>63</v>
      </c>
      <c r="BK95" s="392">
        <f>IF((BK32-BK28-BK25)=0,"",(BK73+BK66-BK64)/(BK32-BK28-BK25))</f>
        <v>1.3276850180689521</v>
      </c>
      <c r="BL95" s="392">
        <f t="shared" ref="BL95:CC95" si="276">IF((BL32-BL28-BL25)=0,"",(BL73+BL66-BL64)/(BL32-BL28-BL25))</f>
        <v>1.1205287473013004</v>
      </c>
      <c r="BM95" s="392">
        <f t="shared" si="276"/>
        <v>1.1026241274151194</v>
      </c>
      <c r="BN95" s="392">
        <f t="shared" si="276"/>
        <v>0.91671801842458467</v>
      </c>
      <c r="BO95" s="392">
        <f t="shared" si="276"/>
        <v>1.1417826848258621</v>
      </c>
      <c r="BP95" s="392">
        <f t="shared" si="276"/>
        <v>1.018219218396438</v>
      </c>
      <c r="BQ95" s="392">
        <f t="shared" si="276"/>
        <v>1.3298957981915496</v>
      </c>
      <c r="BR95" s="392">
        <f t="shared" si="276"/>
        <v>1.0304811838820127</v>
      </c>
      <c r="BS95" s="388">
        <f t="shared" si="276"/>
        <v>1.0398811596535216</v>
      </c>
      <c r="BT95" s="393" t="str">
        <f t="shared" si="276"/>
        <v/>
      </c>
      <c r="BU95" s="392">
        <f t="shared" si="276"/>
        <v>0.94504522007975023</v>
      </c>
      <c r="BV95" s="392" t="str">
        <f t="shared" si="276"/>
        <v/>
      </c>
      <c r="BW95" s="392">
        <f t="shared" si="276"/>
        <v>1.3700719587866177</v>
      </c>
      <c r="BX95" s="392" t="str">
        <f t="shared" si="276"/>
        <v/>
      </c>
      <c r="BY95" s="392">
        <f t="shared" si="276"/>
        <v>1.1468372616608618</v>
      </c>
      <c r="BZ95" s="392" t="str">
        <f t="shared" si="276"/>
        <v/>
      </c>
      <c r="CA95" s="392">
        <f t="shared" si="276"/>
        <v>1.1615397073005698</v>
      </c>
      <c r="CB95" s="390">
        <f t="shared" si="276"/>
        <v>1.1535794487313866</v>
      </c>
      <c r="CC95" s="394">
        <f t="shared" si="276"/>
        <v>1.0721964904781787</v>
      </c>
      <c r="CD95" s="300">
        <v>63</v>
      </c>
      <c r="CE95" s="390">
        <f t="shared" ref="CE95:CS95" si="277">IF((CE32-CE28-CE25)=0,"",(CE73+CE66-CE64)/(CE32-CE28-CE25))</f>
        <v>0.97924156391084038</v>
      </c>
      <c r="CF95" s="390">
        <f t="shared" si="277"/>
        <v>0.93014894458753206</v>
      </c>
      <c r="CG95" s="390">
        <f t="shared" si="277"/>
        <v>0.9610657530697837</v>
      </c>
      <c r="CH95" s="390">
        <f t="shared" si="277"/>
        <v>0.95860677533620808</v>
      </c>
      <c r="CI95" s="391">
        <f t="shared" si="277"/>
        <v>0.95710560614042783</v>
      </c>
      <c r="CJ95" s="390">
        <f t="shared" si="277"/>
        <v>0.73493659722862892</v>
      </c>
      <c r="CK95" s="390">
        <f t="shared" si="277"/>
        <v>0.96549666703256531</v>
      </c>
      <c r="CL95" s="390">
        <f t="shared" si="277"/>
        <v>0.87439646909589541</v>
      </c>
      <c r="CM95" s="390">
        <f t="shared" si="277"/>
        <v>0.93907683038349665</v>
      </c>
      <c r="CN95" s="391" t="str">
        <f t="shared" si="277"/>
        <v/>
      </c>
      <c r="CO95" s="390">
        <f t="shared" si="277"/>
        <v>0.86986714304262991</v>
      </c>
      <c r="CP95" s="390">
        <f t="shared" si="277"/>
        <v>0.94426506735674776</v>
      </c>
      <c r="CQ95" s="390">
        <f t="shared" si="277"/>
        <v>0.92503922770937175</v>
      </c>
      <c r="CR95" s="390">
        <f t="shared" si="277"/>
        <v>0.9507040076964226</v>
      </c>
      <c r="CS95" s="391">
        <f t="shared" si="277"/>
        <v>0.92286168840491434</v>
      </c>
    </row>
    <row r="96" spans="1:97" ht="15.75" customHeight="1">
      <c r="A96" s="135" t="s">
        <v>276</v>
      </c>
      <c r="B96" s="300">
        <v>64</v>
      </c>
      <c r="C96" s="392">
        <f>IF((C32-C28)=0,"",(C73)/(C32-C28))</f>
        <v>3.720523199284026E-2</v>
      </c>
      <c r="D96" s="392">
        <f t="shared" ref="D96:U96" si="278">IF((D32-D28)=0,"",(D73)/(D32-D28))</f>
        <v>3.7205231992840267E-2</v>
      </c>
      <c r="E96" s="392">
        <f t="shared" si="278"/>
        <v>4.0473652490409892E-2</v>
      </c>
      <c r="F96" s="392">
        <f t="shared" si="278"/>
        <v>4.0473652490409885E-2</v>
      </c>
      <c r="G96" s="392">
        <f t="shared" si="278"/>
        <v>3.8211887225006458E-2</v>
      </c>
      <c r="H96" s="392">
        <f t="shared" si="278"/>
        <v>3.8211887225006465E-2</v>
      </c>
      <c r="I96" s="392">
        <f t="shared" si="278"/>
        <v>3.7631832553010017E-2</v>
      </c>
      <c r="J96" s="392">
        <f t="shared" si="278"/>
        <v>3.7631832553010024E-2</v>
      </c>
      <c r="K96" s="388">
        <f t="shared" si="278"/>
        <v>3.8375601719449717E-2</v>
      </c>
      <c r="L96" s="393" t="str">
        <f t="shared" si="278"/>
        <v/>
      </c>
      <c r="M96" s="392">
        <f t="shared" si="278"/>
        <v>3.010901618643725E-2</v>
      </c>
      <c r="N96" s="392" t="str">
        <f t="shared" si="278"/>
        <v/>
      </c>
      <c r="O96" s="392">
        <f t="shared" si="278"/>
        <v>3.3072061931908904E-2</v>
      </c>
      <c r="P96" s="392" t="str">
        <f t="shared" si="278"/>
        <v/>
      </c>
      <c r="Q96" s="392">
        <f t="shared" si="278"/>
        <v>2.994276092162685E-2</v>
      </c>
      <c r="R96" s="392" t="str">
        <f t="shared" si="278"/>
        <v/>
      </c>
      <c r="S96" s="392">
        <f t="shared" si="278"/>
        <v>2.9133648303444323E-2</v>
      </c>
      <c r="T96" s="390">
        <f t="shared" si="278"/>
        <v>3.0483188026670431E-2</v>
      </c>
      <c r="U96" s="394">
        <f t="shared" si="278"/>
        <v>3.3290857077562679E-2</v>
      </c>
      <c r="V96" s="300">
        <v>64</v>
      </c>
      <c r="W96" s="392">
        <f t="shared" ref="W96:AO96" si="279">IF((W32-W28)=0,"",(W73)/(W32-W28))</f>
        <v>3.7205231992840267E-2</v>
      </c>
      <c r="X96" s="392">
        <f t="shared" si="279"/>
        <v>3.720523199284026E-2</v>
      </c>
      <c r="Y96" s="392">
        <f t="shared" si="279"/>
        <v>4.0473652490409892E-2</v>
      </c>
      <c r="Z96" s="392">
        <f t="shared" si="279"/>
        <v>4.0473652490409892E-2</v>
      </c>
      <c r="AA96" s="392">
        <f t="shared" si="279"/>
        <v>3.8211887225006458E-2</v>
      </c>
      <c r="AB96" s="392">
        <f t="shared" si="279"/>
        <v>3.8211887225006465E-2</v>
      </c>
      <c r="AC96" s="392">
        <f t="shared" si="279"/>
        <v>3.7631832553010024E-2</v>
      </c>
      <c r="AD96" s="392">
        <f t="shared" si="279"/>
        <v>3.763183255301001E-2</v>
      </c>
      <c r="AE96" s="388">
        <f t="shared" si="279"/>
        <v>3.8358806473825585E-2</v>
      </c>
      <c r="AF96" s="393" t="str">
        <f t="shared" si="279"/>
        <v/>
      </c>
      <c r="AG96" s="392">
        <f t="shared" si="279"/>
        <v>2.9444887906429192E-2</v>
      </c>
      <c r="AH96" s="392" t="str">
        <f t="shared" si="279"/>
        <v/>
      </c>
      <c r="AI96" s="392">
        <f t="shared" si="279"/>
        <v>3.2659083356152425E-2</v>
      </c>
      <c r="AJ96" s="392" t="str">
        <f t="shared" si="279"/>
        <v/>
      </c>
      <c r="AK96" s="392">
        <f t="shared" si="279"/>
        <v>3.056170859591565E-2</v>
      </c>
      <c r="AL96" s="392" t="str">
        <f t="shared" si="279"/>
        <v/>
      </c>
      <c r="AM96" s="392">
        <f t="shared" si="279"/>
        <v>3.0056158317398871E-2</v>
      </c>
      <c r="AN96" s="390">
        <f t="shared" si="279"/>
        <v>3.0604602615535163E-2</v>
      </c>
      <c r="AO96" s="394">
        <f t="shared" si="279"/>
        <v>3.3747368872292731E-2</v>
      </c>
      <c r="AP96" s="300">
        <v>64</v>
      </c>
      <c r="AQ96" s="392">
        <f t="shared" ref="AQ96:BI96" si="280">IF((AQ32-AQ28)=0,"",(AQ73)/(AQ32-AQ28))</f>
        <v>3.7205231992840267E-2</v>
      </c>
      <c r="AR96" s="392">
        <f t="shared" si="280"/>
        <v>3.7205231992840253E-2</v>
      </c>
      <c r="AS96" s="392">
        <f t="shared" si="280"/>
        <v>4.0473652490409885E-2</v>
      </c>
      <c r="AT96" s="392">
        <f t="shared" si="280"/>
        <v>4.0473652490409878E-2</v>
      </c>
      <c r="AU96" s="392">
        <f t="shared" si="280"/>
        <v>3.8211887225006458E-2</v>
      </c>
      <c r="AV96" s="392">
        <f t="shared" si="280"/>
        <v>3.8211887225006465E-2</v>
      </c>
      <c r="AW96" s="392">
        <f t="shared" si="280"/>
        <v>3.7631832553010024E-2</v>
      </c>
      <c r="AX96" s="392">
        <f t="shared" si="280"/>
        <v>3.7631832553010024E-2</v>
      </c>
      <c r="AY96" s="388">
        <f t="shared" si="280"/>
        <v>3.8371759507094427E-2</v>
      </c>
      <c r="AZ96" s="393" t="str">
        <f t="shared" si="280"/>
        <v/>
      </c>
      <c r="BA96" s="392">
        <f t="shared" si="280"/>
        <v>2.9337789063443968E-2</v>
      </c>
      <c r="BB96" s="392" t="str">
        <f t="shared" si="280"/>
        <v/>
      </c>
      <c r="BC96" s="392">
        <f t="shared" si="280"/>
        <v>3.1160421633413069E-2</v>
      </c>
      <c r="BD96" s="392" t="str">
        <f t="shared" si="280"/>
        <v/>
      </c>
      <c r="BE96" s="392">
        <f t="shared" si="280"/>
        <v>2.9825203085759457E-2</v>
      </c>
      <c r="BF96" s="392" t="str">
        <f t="shared" si="280"/>
        <v/>
      </c>
      <c r="BG96" s="392">
        <f t="shared" si="280"/>
        <v>2.9578412362680821E-2</v>
      </c>
      <c r="BH96" s="390">
        <f t="shared" si="280"/>
        <v>2.9933488208953824E-2</v>
      </c>
      <c r="BI96" s="394">
        <f t="shared" si="280"/>
        <v>3.4992560522394148E-2</v>
      </c>
      <c r="BJ96" s="300">
        <v>64</v>
      </c>
      <c r="BK96" s="392">
        <f t="shared" ref="BK96:CC96" si="281">IF((BK32-BK28)=0,"",(BK73)/(BK32-BK28))</f>
        <v>3.4550263015894277E-2</v>
      </c>
      <c r="BL96" s="392">
        <f t="shared" si="281"/>
        <v>3.4550263015894277E-2</v>
      </c>
      <c r="BM96" s="392">
        <f t="shared" si="281"/>
        <v>3.7481776561985612E-2</v>
      </c>
      <c r="BN96" s="392">
        <f t="shared" si="281"/>
        <v>3.7481776561985612E-2</v>
      </c>
      <c r="BO96" s="392">
        <f t="shared" si="281"/>
        <v>3.5329214285027853E-2</v>
      </c>
      <c r="BP96" s="392">
        <f t="shared" si="281"/>
        <v>3.5329214285027853E-2</v>
      </c>
      <c r="BQ96" s="392">
        <f t="shared" si="281"/>
        <v>2.8383789231660957E-2</v>
      </c>
      <c r="BR96" s="392">
        <f t="shared" si="281"/>
        <v>2.8383789231660961E-2</v>
      </c>
      <c r="BS96" s="388">
        <f t="shared" si="281"/>
        <v>3.3594134185229614E-2</v>
      </c>
      <c r="BT96" s="393" t="str">
        <f t="shared" si="281"/>
        <v/>
      </c>
      <c r="BU96" s="392">
        <f t="shared" si="281"/>
        <v>2.8659425880267056E-2</v>
      </c>
      <c r="BV96" s="392" t="str">
        <f t="shared" si="281"/>
        <v/>
      </c>
      <c r="BW96" s="392">
        <f t="shared" si="281"/>
        <v>2.9132063152298382E-2</v>
      </c>
      <c r="BX96" s="392" t="str">
        <f t="shared" si="281"/>
        <v/>
      </c>
      <c r="BY96" s="392">
        <f t="shared" si="281"/>
        <v>2.9504518968670693E-2</v>
      </c>
      <c r="BZ96" s="392" t="str">
        <f t="shared" si="281"/>
        <v/>
      </c>
      <c r="CA96" s="392">
        <f t="shared" si="281"/>
        <v>3.0941206468170911E-2</v>
      </c>
      <c r="CB96" s="390">
        <f t="shared" si="281"/>
        <v>2.9573542648696185E-2</v>
      </c>
      <c r="CC96" s="394">
        <f t="shared" si="281"/>
        <v>3.2556767105884232E-2</v>
      </c>
      <c r="CD96" s="300">
        <v>64</v>
      </c>
      <c r="CE96" s="390">
        <f t="shared" ref="CE96:CS96" si="282">IF((CE32-CE28)=0,"",(CE73)/(CE32-CE28))</f>
        <v>3.7009890461471073E-2</v>
      </c>
      <c r="CF96" s="390">
        <f t="shared" si="282"/>
        <v>4.0273139029727963E-2</v>
      </c>
      <c r="CG96" s="390">
        <f t="shared" si="282"/>
        <v>3.8031466187731719E-2</v>
      </c>
      <c r="CH96" s="390">
        <f t="shared" si="282"/>
        <v>3.6936995157628612E-2</v>
      </c>
      <c r="CI96" s="391">
        <f t="shared" si="282"/>
        <v>3.8039075735113691E-2</v>
      </c>
      <c r="CJ96" s="390">
        <f t="shared" si="282"/>
        <v>2.9401008173860134E-2</v>
      </c>
      <c r="CK96" s="390">
        <f t="shared" si="282"/>
        <v>3.1350779296779575E-2</v>
      </c>
      <c r="CL96" s="390">
        <f t="shared" si="282"/>
        <v>2.9851880903970923E-2</v>
      </c>
      <c r="CM96" s="390">
        <f t="shared" si="282"/>
        <v>2.9590649521653585E-2</v>
      </c>
      <c r="CN96" s="391" t="str">
        <f t="shared" si="282"/>
        <v/>
      </c>
      <c r="CO96" s="390">
        <f t="shared" si="282"/>
        <v>3.3613323649665239E-2</v>
      </c>
      <c r="CP96" s="390">
        <f t="shared" si="282"/>
        <v>3.6720616148801351E-2</v>
      </c>
      <c r="CQ96" s="390">
        <f t="shared" si="282"/>
        <v>3.464079054124556E-2</v>
      </c>
      <c r="CR96" s="390">
        <f t="shared" si="282"/>
        <v>3.3997229268798002E-2</v>
      </c>
      <c r="CS96" s="391">
        <f t="shared" si="282"/>
        <v>3.4707820674683351E-2</v>
      </c>
    </row>
    <row r="97" spans="1:97" ht="15.75" customHeight="1">
      <c r="A97" s="135" t="s">
        <v>278</v>
      </c>
      <c r="B97" s="300">
        <v>65</v>
      </c>
      <c r="C97" s="392">
        <f t="shared" ref="C97:U97" si="283">IF((C32-C28)=0,"",C88/(C32-C28))</f>
        <v>8.4622837623392635E-2</v>
      </c>
      <c r="D97" s="392">
        <f t="shared" si="283"/>
        <v>8.4622837623392635E-2</v>
      </c>
      <c r="E97" s="392">
        <f t="shared" si="283"/>
        <v>9.3793432198616203E-2</v>
      </c>
      <c r="F97" s="392">
        <f t="shared" si="283"/>
        <v>9.3793432198616217E-2</v>
      </c>
      <c r="G97" s="392">
        <f t="shared" si="283"/>
        <v>9.6704546327566462E-2</v>
      </c>
      <c r="H97" s="392">
        <f t="shared" si="283"/>
        <v>9.6704546327566476E-2</v>
      </c>
      <c r="I97" s="392">
        <f t="shared" si="283"/>
        <v>9.6670317238977302E-2</v>
      </c>
      <c r="J97" s="392">
        <f t="shared" si="283"/>
        <v>9.6670317238977302E-2</v>
      </c>
      <c r="K97" s="395">
        <f t="shared" si="283"/>
        <v>9.3120356605921759E-2</v>
      </c>
      <c r="L97" s="393" t="str">
        <f t="shared" si="283"/>
        <v/>
      </c>
      <c r="M97" s="392">
        <f t="shared" si="283"/>
        <v>7.0776559093213856E-2</v>
      </c>
      <c r="N97" s="392" t="str">
        <f t="shared" si="283"/>
        <v/>
      </c>
      <c r="O97" s="392">
        <f t="shared" si="283"/>
        <v>7.8795833600264861E-2</v>
      </c>
      <c r="P97" s="392" t="str">
        <f t="shared" si="283"/>
        <v/>
      </c>
      <c r="Q97" s="392">
        <f t="shared" si="283"/>
        <v>7.7960919215371155E-2</v>
      </c>
      <c r="R97" s="392" t="str">
        <f t="shared" si="283"/>
        <v/>
      </c>
      <c r="S97" s="392">
        <f t="shared" si="283"/>
        <v>7.6886244978125157E-2</v>
      </c>
      <c r="T97" s="396">
        <f t="shared" si="283"/>
        <v>7.6063542917276863E-2</v>
      </c>
      <c r="U97" s="393">
        <f t="shared" si="283"/>
        <v>8.2131380940549475E-2</v>
      </c>
      <c r="V97" s="300">
        <v>65</v>
      </c>
      <c r="W97" s="392">
        <f t="shared" ref="W97:AO97" si="284">IF((W32-W28)=0,"",W88/(W32-W28))</f>
        <v>8.4622837623392635E-2</v>
      </c>
      <c r="X97" s="392">
        <f t="shared" si="284"/>
        <v>8.4622837623392649E-2</v>
      </c>
      <c r="Y97" s="392">
        <f t="shared" si="284"/>
        <v>9.3793432198616217E-2</v>
      </c>
      <c r="Z97" s="392">
        <f t="shared" si="284"/>
        <v>9.3793432198616217E-2</v>
      </c>
      <c r="AA97" s="392">
        <f t="shared" si="284"/>
        <v>9.6704546327566476E-2</v>
      </c>
      <c r="AB97" s="392">
        <f t="shared" si="284"/>
        <v>9.6704546327566462E-2</v>
      </c>
      <c r="AC97" s="392">
        <f t="shared" si="284"/>
        <v>9.6670317238977316E-2</v>
      </c>
      <c r="AD97" s="392">
        <f t="shared" si="284"/>
        <v>9.6670317238977302E-2</v>
      </c>
      <c r="AE97" s="395">
        <f t="shared" si="284"/>
        <v>9.291809645423639E-2</v>
      </c>
      <c r="AF97" s="393" t="str">
        <f t="shared" si="284"/>
        <v/>
      </c>
      <c r="AG97" s="392">
        <f t="shared" si="284"/>
        <v>6.9215408301557022E-2</v>
      </c>
      <c r="AH97" s="392" t="str">
        <f t="shared" si="284"/>
        <v/>
      </c>
      <c r="AI97" s="392">
        <f t="shared" si="284"/>
        <v>7.7811891588944845E-2</v>
      </c>
      <c r="AJ97" s="392" t="str">
        <f t="shared" si="284"/>
        <v/>
      </c>
      <c r="AK97" s="392">
        <f t="shared" si="284"/>
        <v>7.9572451624158436E-2</v>
      </c>
      <c r="AL97" s="392" t="str">
        <f t="shared" si="284"/>
        <v/>
      </c>
      <c r="AM97" s="392">
        <f t="shared" si="284"/>
        <v>7.9320829558433198E-2</v>
      </c>
      <c r="AN97" s="396">
        <f t="shared" si="284"/>
        <v>7.6224880411861318E-2</v>
      </c>
      <c r="AO97" s="393">
        <f t="shared" si="284"/>
        <v>8.2990613819637224E-2</v>
      </c>
      <c r="AP97" s="300">
        <v>65</v>
      </c>
      <c r="AQ97" s="392">
        <f t="shared" ref="AQ97:BI97" si="285">IF((AQ32-AQ28)=0,"",AQ88/(AQ32-AQ28))</f>
        <v>8.4622837623392649E-2</v>
      </c>
      <c r="AR97" s="392">
        <f t="shared" si="285"/>
        <v>8.4622837623392622E-2</v>
      </c>
      <c r="AS97" s="392">
        <f t="shared" si="285"/>
        <v>9.3793432198616203E-2</v>
      </c>
      <c r="AT97" s="392">
        <f t="shared" si="285"/>
        <v>9.3793432198616217E-2</v>
      </c>
      <c r="AU97" s="392">
        <f t="shared" si="285"/>
        <v>9.6704546327566462E-2</v>
      </c>
      <c r="AV97" s="392">
        <f t="shared" si="285"/>
        <v>9.6704546327566449E-2</v>
      </c>
      <c r="AW97" s="392">
        <f t="shared" si="285"/>
        <v>9.6670317238977316E-2</v>
      </c>
      <c r="AX97" s="392">
        <f t="shared" si="285"/>
        <v>9.6670317238977316E-2</v>
      </c>
      <c r="AY97" s="395">
        <f t="shared" si="285"/>
        <v>9.32188632445239E-2</v>
      </c>
      <c r="AZ97" s="393" t="str">
        <f t="shared" si="285"/>
        <v/>
      </c>
      <c r="BA97" s="392">
        <f t="shared" si="285"/>
        <v>6.8963653559973234E-2</v>
      </c>
      <c r="BB97" s="392" t="str">
        <f t="shared" si="285"/>
        <v/>
      </c>
      <c r="BC97" s="392">
        <f t="shared" si="285"/>
        <v>7.4241255443814699E-2</v>
      </c>
      <c r="BD97" s="392" t="str">
        <f t="shared" si="285"/>
        <v/>
      </c>
      <c r="BE97" s="392">
        <f t="shared" si="285"/>
        <v>7.765483799029041E-2</v>
      </c>
      <c r="BF97" s="392" t="str">
        <f t="shared" si="285"/>
        <v/>
      </c>
      <c r="BG97" s="392">
        <f t="shared" si="285"/>
        <v>7.8060016215415751E-2</v>
      </c>
      <c r="BH97" s="396">
        <f t="shared" si="285"/>
        <v>7.469279082775758E-2</v>
      </c>
      <c r="BI97" s="393">
        <f t="shared" si="285"/>
        <v>8.5799892831115235E-2</v>
      </c>
      <c r="BJ97" s="300">
        <v>65</v>
      </c>
      <c r="BK97" s="392">
        <f t="shared" ref="BK97:CC97" si="286">IF((BK32-BK28)=0,"",BK88/(BK32-BK28))</f>
        <v>7.858414369253687E-2</v>
      </c>
      <c r="BL97" s="392">
        <f t="shared" si="286"/>
        <v>7.8584143692536884E-2</v>
      </c>
      <c r="BM97" s="392">
        <f t="shared" si="286"/>
        <v>8.6860074451725791E-2</v>
      </c>
      <c r="BN97" s="392">
        <f t="shared" si="286"/>
        <v>8.6860074451725805E-2</v>
      </c>
      <c r="BO97" s="392">
        <f t="shared" si="286"/>
        <v>8.9409235911991056E-2</v>
      </c>
      <c r="BP97" s="392">
        <f t="shared" si="286"/>
        <v>8.9409235911991056E-2</v>
      </c>
      <c r="BQ97" s="392">
        <f t="shared" si="286"/>
        <v>7.2913534189539816E-2</v>
      </c>
      <c r="BR97" s="392">
        <f t="shared" si="286"/>
        <v>7.291353418953983E-2</v>
      </c>
      <c r="BS97" s="395">
        <f t="shared" si="286"/>
        <v>8.1312124454459067E-2</v>
      </c>
      <c r="BT97" s="393" t="str">
        <f t="shared" si="286"/>
        <v/>
      </c>
      <c r="BU97" s="392">
        <f t="shared" si="286"/>
        <v>6.7369041114867564E-2</v>
      </c>
      <c r="BV97" s="392" t="str">
        <f t="shared" si="286"/>
        <v/>
      </c>
      <c r="BW97" s="392">
        <f t="shared" si="286"/>
        <v>6.9408590408031323E-2</v>
      </c>
      <c r="BX97" s="392" t="str">
        <f t="shared" si="286"/>
        <v/>
      </c>
      <c r="BY97" s="392">
        <f t="shared" si="286"/>
        <v>7.6819883972140651E-2</v>
      </c>
      <c r="BZ97" s="392" t="str">
        <f t="shared" si="286"/>
        <v/>
      </c>
      <c r="CA97" s="392">
        <f t="shared" si="286"/>
        <v>8.165654900657561E-2</v>
      </c>
      <c r="CB97" s="396">
        <f t="shared" si="286"/>
        <v>7.3878855857014036E-2</v>
      </c>
      <c r="CC97" s="393">
        <f t="shared" si="286"/>
        <v>7.9394240465286217E-2</v>
      </c>
      <c r="CD97" s="300">
        <v>65</v>
      </c>
      <c r="CE97" s="396">
        <f t="shared" ref="CE97:CS97" si="287">IF((CE32-CE28)=0,"",CE88/(CE32-CE28))</f>
        <v>8.4178535738825958E-2</v>
      </c>
      <c r="CF97" s="396">
        <f t="shared" si="287"/>
        <v>9.3328763345617682E-2</v>
      </c>
      <c r="CG97" s="396">
        <f t="shared" si="287"/>
        <v>9.6247946671682821E-2</v>
      </c>
      <c r="CH97" s="396">
        <f t="shared" si="287"/>
        <v>9.488538818067524E-2</v>
      </c>
      <c r="CI97" s="423">
        <f t="shared" si="287"/>
        <v>9.2380683520720444E-2</v>
      </c>
      <c r="CJ97" s="396">
        <f t="shared" si="287"/>
        <v>6.9112261242020523E-2</v>
      </c>
      <c r="CK97" s="396">
        <f t="shared" si="287"/>
        <v>7.4694792051179681E-2</v>
      </c>
      <c r="CL97" s="396">
        <f t="shared" si="287"/>
        <v>7.772429809237888E-2</v>
      </c>
      <c r="CM97" s="396">
        <f t="shared" si="287"/>
        <v>7.809231114781888E-2</v>
      </c>
      <c r="CN97" s="423" t="str">
        <f t="shared" si="287"/>
        <v/>
      </c>
      <c r="CO97" s="396">
        <f t="shared" si="287"/>
        <v>7.745302652484734E-2</v>
      </c>
      <c r="CP97" s="396">
        <f t="shared" si="287"/>
        <v>8.5909469418074411E-2</v>
      </c>
      <c r="CQ97" s="396">
        <f t="shared" si="287"/>
        <v>8.8569356383418674E-2</v>
      </c>
      <c r="CR97" s="396">
        <f t="shared" si="287"/>
        <v>8.8165351107012055E-2</v>
      </c>
      <c r="CS97" s="423">
        <f t="shared" si="287"/>
        <v>8.5119695619359934E-2</v>
      </c>
    </row>
    <row r="99" spans="1:97">
      <c r="K99" s="319"/>
    </row>
    <row r="100" spans="1:97">
      <c r="K100" s="319"/>
    </row>
  </sheetData>
  <sheetProtection formatColumns="0"/>
  <mergeCells count="13">
    <mergeCell ref="V10:V13"/>
    <mergeCell ref="U11:U13"/>
    <mergeCell ref="AO11:AO13"/>
    <mergeCell ref="G1:I1"/>
    <mergeCell ref="B10:B13"/>
    <mergeCell ref="BI11:BI13"/>
    <mergeCell ref="CD10:CD13"/>
    <mergeCell ref="CC11:CC13"/>
    <mergeCell ref="CS10:CS13"/>
    <mergeCell ref="AP10:AP13"/>
    <mergeCell ref="BJ10:BJ13"/>
    <mergeCell ref="CN10:CN13"/>
    <mergeCell ref="CI10:CI13"/>
  </mergeCells>
  <pageMargins left="0.25" right="0.25" top="0.5" bottom="0.75" header="0.3" footer="0.3"/>
  <pageSetup paperSize="9" scale="58" fitToHeight="0" orientation="portrait" r:id="rId1"/>
  <headerFooter alignWithMargins="0"/>
  <ignoredErrors>
    <ignoredError sqref="K7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EA342"/>
  <sheetViews>
    <sheetView zoomScale="90" zoomScaleNormal="90" workbookViewId="0">
      <pane xSplit="2" ySplit="14" topLeftCell="C15" activePane="bottomRight" state="frozen"/>
      <selection pane="bottomRight" activeCell="CX25" sqref="CX25"/>
      <selection pane="bottomLeft" activeCell="CX25" sqref="CX25"/>
      <selection pane="topRight" activeCell="CX25" sqref="CX25"/>
    </sheetView>
  </sheetViews>
  <sheetFormatPr defaultColWidth="9.28515625" defaultRowHeight="13.15"/>
  <cols>
    <col min="1" max="1" width="49.28515625" style="136" bestFit="1" customWidth="1"/>
    <col min="2" max="2" width="8.5703125" style="136" bestFit="1" customWidth="1"/>
    <col min="3" max="21" width="15.5703125" style="136" customWidth="1"/>
    <col min="22" max="22" width="7.28515625" style="136" bestFit="1" customWidth="1"/>
    <col min="23" max="41" width="15.5703125" style="136" customWidth="1"/>
    <col min="42" max="42" width="7.28515625" style="136" bestFit="1" customWidth="1"/>
    <col min="43" max="61" width="15.5703125" style="136" customWidth="1"/>
    <col min="62" max="62" width="7.28515625" style="136" bestFit="1" customWidth="1"/>
    <col min="63" max="81" width="15.5703125" style="136" customWidth="1"/>
    <col min="82" max="82" width="7.28515625" style="136" bestFit="1" customWidth="1"/>
    <col min="83" max="92" width="15.5703125" style="136" customWidth="1"/>
    <col min="93" max="93" width="16.85546875" style="136" bestFit="1" customWidth="1"/>
    <col min="94" max="97" width="15.5703125" style="136" customWidth="1"/>
    <col min="98" max="98" width="13.28515625" style="317" bestFit="1" customWidth="1"/>
    <col min="99" max="99" width="12.28515625" style="317" bestFit="1" customWidth="1"/>
    <col min="100" max="100" width="13.28515625" style="317" bestFit="1" customWidth="1"/>
    <col min="101" max="101" width="11.28515625" style="317" bestFit="1" customWidth="1"/>
    <col min="102" max="102" width="13.28515625" style="317" bestFit="1" customWidth="1"/>
    <col min="103" max="131" width="9.28515625" style="317"/>
    <col min="132" max="16384" width="9.28515625" style="136"/>
  </cols>
  <sheetData>
    <row r="1" spans="1:131" s="179" customFormat="1" ht="27" customHeight="1">
      <c r="A1" s="15" t="s">
        <v>1325</v>
      </c>
      <c r="G1" s="777"/>
      <c r="H1" s="777"/>
      <c r="I1" s="777"/>
      <c r="J1" s="710"/>
      <c r="K1" s="710"/>
      <c r="L1" s="180"/>
      <c r="M1" s="180"/>
      <c r="N1" s="180"/>
      <c r="O1" s="180"/>
      <c r="P1" s="180"/>
      <c r="Q1" s="180"/>
      <c r="R1" s="180"/>
      <c r="S1" s="180"/>
      <c r="T1" s="710"/>
      <c r="U1" s="180"/>
      <c r="V1" s="180"/>
      <c r="W1" s="180"/>
      <c r="X1" s="180"/>
      <c r="Y1" s="180"/>
      <c r="Z1" s="180"/>
      <c r="AA1" s="180"/>
      <c r="AB1" s="180"/>
      <c r="AC1" s="180"/>
      <c r="AD1" s="180"/>
      <c r="AE1" s="710"/>
      <c r="AF1" s="180"/>
      <c r="AG1" s="180"/>
      <c r="AH1" s="180"/>
      <c r="AI1" s="180"/>
      <c r="AJ1" s="180"/>
      <c r="AK1" s="180"/>
      <c r="AL1" s="180"/>
      <c r="AM1" s="180"/>
      <c r="AN1" s="710"/>
      <c r="AO1" s="180"/>
      <c r="AP1" s="180"/>
      <c r="AQ1" s="180"/>
      <c r="AR1" s="180"/>
      <c r="AS1" s="180"/>
      <c r="AT1" s="180"/>
      <c r="AU1" s="180"/>
      <c r="AV1" s="180"/>
      <c r="AW1" s="180"/>
      <c r="AX1" s="180"/>
      <c r="AY1" s="710"/>
      <c r="AZ1" s="180"/>
      <c r="BA1" s="180"/>
      <c r="BB1" s="180"/>
      <c r="BC1" s="180"/>
      <c r="BD1" s="180"/>
      <c r="BE1" s="180"/>
      <c r="BF1" s="180"/>
      <c r="BG1" s="180"/>
      <c r="BH1" s="710"/>
      <c r="BI1" s="180"/>
      <c r="BJ1" s="180"/>
      <c r="BK1" s="180"/>
      <c r="BL1" s="180"/>
      <c r="BM1" s="180"/>
      <c r="BN1" s="180"/>
      <c r="BO1" s="180"/>
      <c r="BP1" s="180"/>
      <c r="BQ1" s="180"/>
      <c r="BR1" s="180"/>
      <c r="BS1" s="710"/>
      <c r="BT1" s="180"/>
      <c r="BU1" s="180"/>
      <c r="BV1" s="180"/>
      <c r="BW1" s="180"/>
      <c r="BX1" s="180"/>
      <c r="BY1" s="180"/>
      <c r="BZ1" s="180"/>
      <c r="CA1" s="180"/>
      <c r="CB1" s="71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row>
    <row r="2" spans="1:131" s="179" customFormat="1" ht="15.6">
      <c r="A2" s="139" t="s">
        <v>1303</v>
      </c>
      <c r="B2" s="397" t="str">
        <f>'Schedule 3A_Income Statement'!B2</f>
        <v>Tufts Associated Health Plans, Inc. (TAHMO)</v>
      </c>
      <c r="C2" s="398"/>
      <c r="D2" s="398"/>
      <c r="E2" s="398"/>
      <c r="F2" s="399"/>
      <c r="G2" s="425"/>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row>
    <row r="3" spans="1:131" s="179" customFormat="1" ht="15.6">
      <c r="A3" s="139" t="s">
        <v>1285</v>
      </c>
      <c r="B3" s="520" t="str">
        <f>'Schedule 3A_Income Statement'!B3</f>
        <v>01/01/2024 - 12/31/2024</v>
      </c>
      <c r="C3" s="521"/>
      <c r="D3" s="521"/>
      <c r="E3" s="521"/>
      <c r="F3" s="522"/>
      <c r="G3" s="42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row>
    <row r="4" spans="1:131" s="179" customFormat="1" ht="15.6">
      <c r="A4" s="139" t="s">
        <v>1306</v>
      </c>
      <c r="B4" s="401">
        <f>'Schedule 3A_Income Statement'!B4</f>
        <v>45657</v>
      </c>
      <c r="C4" s="398"/>
      <c r="D4" s="398"/>
      <c r="E4" s="398"/>
      <c r="F4" s="399"/>
      <c r="G4" s="425"/>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row>
    <row r="5" spans="1:131" s="179" customFormat="1" ht="15.6">
      <c r="A5" s="139" t="s">
        <v>1307</v>
      </c>
      <c r="B5" s="397" t="str">
        <f>'Schedule 3A_Income Statement'!B5</f>
        <v>Roshni Parikh</v>
      </c>
      <c r="C5" s="398"/>
      <c r="D5" s="398"/>
      <c r="E5" s="398"/>
      <c r="F5" s="399"/>
      <c r="G5" s="425"/>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row>
    <row r="6" spans="1:131" s="179" customFormat="1" ht="15.6">
      <c r="A6" s="139" t="s">
        <v>1288</v>
      </c>
      <c r="B6" s="401">
        <f>'Schedule 3A_Income Statement'!B6</f>
        <v>45657</v>
      </c>
      <c r="C6" s="398"/>
      <c r="D6" s="398"/>
      <c r="E6" s="398"/>
      <c r="F6" s="399"/>
      <c r="G6" s="425"/>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row>
    <row r="7" spans="1:131" s="179" customFormat="1">
      <c r="A7" s="230" t="s">
        <v>1289</v>
      </c>
      <c r="B7" s="181"/>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row>
    <row r="8" spans="1:131" s="179" customFormat="1">
      <c r="A8" s="230"/>
      <c r="B8" s="181"/>
      <c r="G8" s="180"/>
      <c r="H8" s="180"/>
      <c r="I8" s="180"/>
      <c r="J8" s="180"/>
      <c r="K8" s="180"/>
      <c r="L8" s="180"/>
      <c r="M8" s="180"/>
      <c r="N8" s="180"/>
      <c r="O8" s="180"/>
      <c r="P8" s="180"/>
      <c r="Q8" s="180"/>
      <c r="R8" s="180"/>
      <c r="S8" s="180"/>
      <c r="T8" s="180"/>
      <c r="U8" s="180"/>
      <c r="V8" s="343"/>
      <c r="W8" s="180"/>
      <c r="X8" s="180"/>
      <c r="Y8" s="180"/>
      <c r="Z8" s="180"/>
      <c r="AA8" s="180"/>
      <c r="AB8" s="180"/>
      <c r="AC8" s="180"/>
      <c r="AD8" s="180"/>
      <c r="AE8" s="180"/>
      <c r="AF8" s="180"/>
      <c r="AG8" s="180"/>
      <c r="AH8" s="180"/>
      <c r="AI8" s="180"/>
      <c r="AJ8" s="180"/>
      <c r="AK8" s="180"/>
      <c r="AL8" s="180"/>
      <c r="AM8" s="180"/>
      <c r="AN8" s="180"/>
      <c r="AO8" s="180"/>
      <c r="AP8" s="343"/>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row>
    <row r="9" spans="1:131" s="179" customFormat="1">
      <c r="A9" s="230"/>
      <c r="B9" s="181"/>
      <c r="G9" s="180"/>
      <c r="H9" s="180"/>
      <c r="I9" s="180"/>
      <c r="J9" s="180"/>
      <c r="K9" s="180"/>
      <c r="L9" s="180"/>
      <c r="M9" s="180"/>
      <c r="N9" s="180"/>
      <c r="O9" s="180"/>
      <c r="P9" s="180"/>
      <c r="Q9" s="180"/>
      <c r="R9" s="180"/>
      <c r="S9" s="180"/>
      <c r="T9" s="180"/>
      <c r="U9" s="180"/>
      <c r="V9" s="343"/>
      <c r="W9" s="180"/>
      <c r="X9" s="180"/>
      <c r="Y9" s="180"/>
      <c r="Z9" s="180"/>
      <c r="AA9" s="180"/>
      <c r="AB9" s="180"/>
      <c r="AC9" s="180"/>
      <c r="AD9" s="180"/>
      <c r="AE9" s="180"/>
      <c r="AF9" s="180"/>
      <c r="AG9" s="180"/>
      <c r="AH9" s="180"/>
      <c r="AI9" s="180"/>
      <c r="AJ9" s="180"/>
      <c r="AK9" s="180"/>
      <c r="AL9" s="180"/>
      <c r="AM9" s="180"/>
      <c r="AN9" s="180"/>
      <c r="AO9" s="180"/>
      <c r="AP9" s="343"/>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row>
    <row r="10" spans="1:131" s="179" customFormat="1" ht="15.75" customHeight="1">
      <c r="A10" s="404"/>
      <c r="B10" s="773" t="s">
        <v>1326</v>
      </c>
      <c r="C10" s="405" t="s">
        <v>404</v>
      </c>
      <c r="D10" s="406"/>
      <c r="E10" s="406"/>
      <c r="F10" s="406"/>
      <c r="G10" s="406"/>
      <c r="H10" s="406"/>
      <c r="I10" s="406"/>
      <c r="J10" s="406"/>
      <c r="K10" s="406"/>
      <c r="L10" s="406"/>
      <c r="M10" s="406"/>
      <c r="N10" s="406"/>
      <c r="O10" s="406"/>
      <c r="P10" s="406"/>
      <c r="Q10" s="406"/>
      <c r="R10" s="406"/>
      <c r="S10" s="406"/>
      <c r="T10" s="406"/>
      <c r="U10" s="407"/>
      <c r="V10" s="773" t="s">
        <v>1326</v>
      </c>
      <c r="W10" s="405" t="s">
        <v>409</v>
      </c>
      <c r="X10" s="406"/>
      <c r="Y10" s="406"/>
      <c r="Z10" s="406"/>
      <c r="AA10" s="406"/>
      <c r="AB10" s="406"/>
      <c r="AC10" s="406"/>
      <c r="AD10" s="406"/>
      <c r="AE10" s="406"/>
      <c r="AF10" s="406"/>
      <c r="AG10" s="406"/>
      <c r="AH10" s="406"/>
      <c r="AI10" s="406"/>
      <c r="AJ10" s="406"/>
      <c r="AK10" s="406"/>
      <c r="AL10" s="406"/>
      <c r="AM10" s="406"/>
      <c r="AN10" s="406"/>
      <c r="AO10" s="407"/>
      <c r="AP10" s="773" t="s">
        <v>1326</v>
      </c>
      <c r="AQ10" s="405" t="s">
        <v>411</v>
      </c>
      <c r="AR10" s="406"/>
      <c r="AS10" s="406"/>
      <c r="AT10" s="406"/>
      <c r="AU10" s="406"/>
      <c r="AV10" s="406"/>
      <c r="AW10" s="406"/>
      <c r="AX10" s="406"/>
      <c r="AY10" s="406"/>
      <c r="AZ10" s="406"/>
      <c r="BA10" s="406"/>
      <c r="BB10" s="406"/>
      <c r="BC10" s="406"/>
      <c r="BD10" s="406"/>
      <c r="BE10" s="406"/>
      <c r="BF10" s="406"/>
      <c r="BG10" s="406"/>
      <c r="BH10" s="406"/>
      <c r="BI10" s="406"/>
      <c r="BJ10" s="773" t="s">
        <v>1326</v>
      </c>
      <c r="BK10" s="406" t="s">
        <v>1327</v>
      </c>
      <c r="BL10" s="406"/>
      <c r="BM10" s="406"/>
      <c r="BN10" s="406"/>
      <c r="BO10" s="406"/>
      <c r="BP10" s="406"/>
      <c r="BQ10" s="406"/>
      <c r="BR10" s="406"/>
      <c r="BS10" s="406"/>
      <c r="BT10" s="406"/>
      <c r="BU10" s="406"/>
      <c r="BV10" s="406"/>
      <c r="BW10" s="406"/>
      <c r="BX10" s="406"/>
      <c r="BY10" s="406"/>
      <c r="BZ10" s="406"/>
      <c r="CA10" s="406"/>
      <c r="CB10" s="406"/>
      <c r="CC10" s="406"/>
      <c r="CD10" s="773" t="s">
        <v>1326</v>
      </c>
      <c r="CE10" s="646"/>
      <c r="CF10" s="647"/>
      <c r="CG10" s="647"/>
      <c r="CH10" s="648"/>
      <c r="CI10" s="774" t="s">
        <v>1328</v>
      </c>
      <c r="CJ10" s="646"/>
      <c r="CK10" s="647"/>
      <c r="CL10" s="647"/>
      <c r="CM10" s="648"/>
      <c r="CN10" s="774" t="s">
        <v>1328</v>
      </c>
      <c r="CO10" s="646"/>
      <c r="CP10" s="647"/>
      <c r="CQ10" s="647"/>
      <c r="CR10" s="648"/>
      <c r="CS10" s="774" t="s">
        <v>1328</v>
      </c>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row>
    <row r="11" spans="1:131" s="179" customFormat="1" ht="32.1" customHeight="1">
      <c r="A11" s="138" t="s">
        <v>1329</v>
      </c>
      <c r="B11" s="773"/>
      <c r="C11" s="405" t="s">
        <v>1330</v>
      </c>
      <c r="D11" s="406"/>
      <c r="E11" s="406"/>
      <c r="F11" s="406"/>
      <c r="G11" s="406"/>
      <c r="H11" s="406"/>
      <c r="I11" s="406"/>
      <c r="J11" s="406"/>
      <c r="K11" s="408"/>
      <c r="L11" s="409" t="s">
        <v>1331</v>
      </c>
      <c r="M11" s="406"/>
      <c r="N11" s="406"/>
      <c r="O11" s="406"/>
      <c r="P11" s="406"/>
      <c r="Q11" s="406"/>
      <c r="R11" s="406"/>
      <c r="S11" s="406"/>
      <c r="T11" s="406"/>
      <c r="U11" s="769" t="s">
        <v>1332</v>
      </c>
      <c r="V11" s="773"/>
      <c r="W11" s="406" t="s">
        <v>1330</v>
      </c>
      <c r="X11" s="406"/>
      <c r="Y11" s="406"/>
      <c r="Z11" s="406"/>
      <c r="AA11" s="406"/>
      <c r="AB11" s="406"/>
      <c r="AC11" s="406"/>
      <c r="AD11" s="406"/>
      <c r="AE11" s="408"/>
      <c r="AF11" s="409" t="s">
        <v>1331</v>
      </c>
      <c r="AG11" s="406"/>
      <c r="AH11" s="406"/>
      <c r="AI11" s="406"/>
      <c r="AJ11" s="406"/>
      <c r="AK11" s="406"/>
      <c r="AL11" s="406"/>
      <c r="AM11" s="406"/>
      <c r="AN11" s="406"/>
      <c r="AO11" s="769" t="s">
        <v>1332</v>
      </c>
      <c r="AP11" s="773"/>
      <c r="AQ11" s="405" t="s">
        <v>1330</v>
      </c>
      <c r="AR11" s="406"/>
      <c r="AS11" s="406"/>
      <c r="AT11" s="406"/>
      <c r="AU11" s="406"/>
      <c r="AV11" s="406"/>
      <c r="AW11" s="406"/>
      <c r="AX11" s="406"/>
      <c r="AY11" s="408"/>
      <c r="AZ11" s="409" t="s">
        <v>1331</v>
      </c>
      <c r="BA11" s="406"/>
      <c r="BB11" s="406"/>
      <c r="BC11" s="406"/>
      <c r="BD11" s="406"/>
      <c r="BE11" s="406"/>
      <c r="BF11" s="406"/>
      <c r="BG11" s="406"/>
      <c r="BH11" s="406"/>
      <c r="BI11" s="778" t="s">
        <v>1332</v>
      </c>
      <c r="BJ11" s="773"/>
      <c r="BK11" s="406" t="s">
        <v>1330</v>
      </c>
      <c r="BL11" s="406"/>
      <c r="BM11" s="406"/>
      <c r="BN11" s="406"/>
      <c r="BO11" s="406"/>
      <c r="BP11" s="406"/>
      <c r="BQ11" s="406"/>
      <c r="BR11" s="406"/>
      <c r="BS11" s="408"/>
      <c r="BT11" s="409" t="s">
        <v>1331</v>
      </c>
      <c r="BU11" s="406"/>
      <c r="BV11" s="406"/>
      <c r="BW11" s="406"/>
      <c r="BX11" s="406"/>
      <c r="BY11" s="406"/>
      <c r="BZ11" s="406"/>
      <c r="CA11" s="406"/>
      <c r="CB11" s="406"/>
      <c r="CC11" s="778" t="s">
        <v>1332</v>
      </c>
      <c r="CD11" s="773"/>
      <c r="CE11" s="645" t="s">
        <v>1330</v>
      </c>
      <c r="CF11" s="645"/>
      <c r="CG11" s="645"/>
      <c r="CH11" s="645"/>
      <c r="CI11" s="775"/>
      <c r="CJ11" s="645" t="s">
        <v>1331</v>
      </c>
      <c r="CK11" s="645"/>
      <c r="CL11" s="645"/>
      <c r="CM11" s="645"/>
      <c r="CN11" s="775"/>
      <c r="CO11" s="645" t="s">
        <v>1333</v>
      </c>
      <c r="CP11" s="645"/>
      <c r="CQ11" s="645"/>
      <c r="CR11" s="645"/>
      <c r="CS11" s="775"/>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row>
    <row r="12" spans="1:131" ht="12.75" customHeight="1">
      <c r="A12" s="103" t="s">
        <v>1334</v>
      </c>
      <c r="B12" s="773"/>
      <c r="C12" s="174" t="s">
        <v>1291</v>
      </c>
      <c r="D12" s="175"/>
      <c r="E12" s="174" t="s">
        <v>1298</v>
      </c>
      <c r="F12" s="175"/>
      <c r="G12" s="174" t="s">
        <v>1299</v>
      </c>
      <c r="H12" s="175"/>
      <c r="I12" s="174" t="s">
        <v>1300</v>
      </c>
      <c r="J12" s="175"/>
      <c r="K12" s="79"/>
      <c r="L12" s="176" t="s">
        <v>1291</v>
      </c>
      <c r="M12" s="175"/>
      <c r="N12" s="174" t="s">
        <v>1298</v>
      </c>
      <c r="O12" s="175"/>
      <c r="P12" s="174" t="s">
        <v>1299</v>
      </c>
      <c r="Q12" s="175"/>
      <c r="R12" s="174" t="s">
        <v>1300</v>
      </c>
      <c r="S12" s="175"/>
      <c r="T12" s="411"/>
      <c r="U12" s="770"/>
      <c r="V12" s="773"/>
      <c r="W12" s="177" t="s">
        <v>1291</v>
      </c>
      <c r="X12" s="175"/>
      <c r="Y12" s="174" t="s">
        <v>1298</v>
      </c>
      <c r="Z12" s="175"/>
      <c r="AA12" s="174" t="s">
        <v>1299</v>
      </c>
      <c r="AB12" s="175"/>
      <c r="AC12" s="174" t="s">
        <v>1300</v>
      </c>
      <c r="AD12" s="175"/>
      <c r="AE12" s="79"/>
      <c r="AF12" s="176" t="s">
        <v>1291</v>
      </c>
      <c r="AG12" s="175"/>
      <c r="AH12" s="174" t="s">
        <v>1298</v>
      </c>
      <c r="AI12" s="175"/>
      <c r="AJ12" s="174" t="s">
        <v>1299</v>
      </c>
      <c r="AK12" s="175"/>
      <c r="AL12" s="174" t="s">
        <v>1300</v>
      </c>
      <c r="AM12" s="175"/>
      <c r="AN12" s="411"/>
      <c r="AO12" s="770"/>
      <c r="AP12" s="773"/>
      <c r="AQ12" s="174" t="s">
        <v>1291</v>
      </c>
      <c r="AR12" s="175"/>
      <c r="AS12" s="174" t="s">
        <v>1298</v>
      </c>
      <c r="AT12" s="175"/>
      <c r="AU12" s="174" t="s">
        <v>1299</v>
      </c>
      <c r="AV12" s="175"/>
      <c r="AW12" s="174" t="s">
        <v>1300</v>
      </c>
      <c r="AX12" s="175"/>
      <c r="AY12" s="79"/>
      <c r="AZ12" s="176" t="s">
        <v>1291</v>
      </c>
      <c r="BA12" s="175"/>
      <c r="BB12" s="174" t="s">
        <v>1298</v>
      </c>
      <c r="BC12" s="175"/>
      <c r="BD12" s="174" t="s">
        <v>1299</v>
      </c>
      <c r="BE12" s="175"/>
      <c r="BF12" s="174" t="s">
        <v>1300</v>
      </c>
      <c r="BG12" s="175"/>
      <c r="BH12" s="411"/>
      <c r="BI12" s="779"/>
      <c r="BJ12" s="773"/>
      <c r="BK12" s="177" t="s">
        <v>1291</v>
      </c>
      <c r="BL12" s="175"/>
      <c r="BM12" s="174" t="s">
        <v>1298</v>
      </c>
      <c r="BN12" s="175"/>
      <c r="BO12" s="174" t="s">
        <v>1299</v>
      </c>
      <c r="BP12" s="175"/>
      <c r="BQ12" s="174" t="s">
        <v>1300</v>
      </c>
      <c r="BR12" s="175"/>
      <c r="BS12" s="79"/>
      <c r="BT12" s="176" t="s">
        <v>1291</v>
      </c>
      <c r="BU12" s="175"/>
      <c r="BV12" s="174" t="s">
        <v>1298</v>
      </c>
      <c r="BW12" s="175"/>
      <c r="BX12" s="174" t="s">
        <v>1299</v>
      </c>
      <c r="BY12" s="175"/>
      <c r="BZ12" s="174" t="s">
        <v>1300</v>
      </c>
      <c r="CA12" s="175"/>
      <c r="CB12" s="411"/>
      <c r="CC12" s="779"/>
      <c r="CD12" s="773"/>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131" s="247" customFormat="1" ht="46.5" customHeight="1">
      <c r="A13" s="410"/>
      <c r="B13" s="773"/>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1"/>
      <c r="V13" s="773"/>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1"/>
      <c r="AP13" s="773"/>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80"/>
      <c r="BJ13" s="773"/>
      <c r="BK13" s="615"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80"/>
      <c r="CD13" s="773"/>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c r="DQ13" s="374"/>
      <c r="DR13" s="374"/>
      <c r="DS13" s="374"/>
      <c r="DT13" s="374"/>
      <c r="DU13" s="374"/>
      <c r="DV13" s="374"/>
      <c r="DW13" s="374"/>
      <c r="DX13" s="374"/>
      <c r="DY13" s="374"/>
      <c r="DZ13" s="374"/>
      <c r="EA13" s="374"/>
    </row>
    <row r="14" spans="1:131" ht="15.75" customHeight="1">
      <c r="A14" s="16" t="s">
        <v>1293</v>
      </c>
      <c r="B14" s="140"/>
      <c r="C14" s="637">
        <f>INDEX('Schedule 1_Enrollment'!$D$12:$K$35,MATCH(C12,'Schedule 1_Enrollment'!$B$10:$B$31,0)+1,MATCH(C10,'Schedule 1_Enrollment'!$D$10:$K$10,0)+IF(C13="Dual Eligible",1,0))</f>
        <v>109</v>
      </c>
      <c r="D14" s="637">
        <f>INDEX('Schedule 1_Enrollment'!$D$12:$K$35,MATCH(C12,'Schedule 1_Enrollment'!$B$10:$B$31,0)+1,MATCH(C10,'Schedule 1_Enrollment'!$D$10:$K$10,0)+IF(D13="Dual Eligible",1,0))</f>
        <v>430</v>
      </c>
      <c r="E14" s="637">
        <f>INDEX('Schedule 1_Enrollment'!$D$12:$K$35,MATCH(E12,'Schedule 1_Enrollment'!$B$10:$B$31,0)+1,MATCH(C10,'Schedule 1_Enrollment'!$D$10:$K$10,0)+IF(E13="Dual Eligible",1,0))</f>
        <v>126</v>
      </c>
      <c r="F14" s="637">
        <f>INDEX('Schedule 1_Enrollment'!$D$12:$K$35,MATCH(E12,'Schedule 1_Enrollment'!$B$10:$B$31,0)+1,MATCH(C10,'Schedule 1_Enrollment'!$D$10:$K$10,0)+IF(F13="Dual Eligible",1,0))</f>
        <v>558</v>
      </c>
      <c r="G14" s="637">
        <f>INDEX('Schedule 1_Enrollment'!$D$12:$K$35,MATCH(G12,'Schedule 1_Enrollment'!$B$10:$B$31,0)+1,MATCH(C10,'Schedule 1_Enrollment'!$D$10:$K$10,0)+IF(G13="Dual Eligible",1,0))</f>
        <v>136</v>
      </c>
      <c r="H14" s="637">
        <f>INDEX('Schedule 1_Enrollment'!$D$12:$K$35,MATCH(G12,'Schedule 1_Enrollment'!$B$10:$B$31,0)+1,MATCH(C10,'Schedule 1_Enrollment'!$D$10:$K$10,0)+IF(H13="Dual Eligible",1,0))</f>
        <v>583</v>
      </c>
      <c r="I14" s="637">
        <f>INDEX('Schedule 1_Enrollment'!$D$12:$K$35,MATCH(I12,'Schedule 1_Enrollment'!$B$10:$B$31,0)+1,MATCH(C10,'Schedule 1_Enrollment'!$D$10:$K$10,0)+IF(I13="Dual Eligible",1,0))</f>
        <v>108</v>
      </c>
      <c r="J14" s="637">
        <f>INDEX('Schedule 1_Enrollment'!$D$12:$K$35,MATCH(I12,'Schedule 1_Enrollment'!$B$10:$B$31,0)+1,MATCH(C10,'Schedule 1_Enrollment'!$D$10:$K$10,0)+IF(J13="Dual Eligible",1,0))</f>
        <v>561</v>
      </c>
      <c r="K14" s="640">
        <f>SUM(C14:J14)</f>
        <v>2611</v>
      </c>
      <c r="L14" s="639">
        <f>INDEX('Schedule 1_Enrollment'!$D$12:$K$35,MATCH(L12,'Schedule 1_Enrollment'!$B$10:$B$31,0)+1,MATCH(C10,'Schedule 1_Enrollment'!$D$10:$K$10,0)+IF(L13="Dual Eligible",1,0))</f>
        <v>109</v>
      </c>
      <c r="M14" s="637">
        <f>INDEX('Schedule 1_Enrollment'!$D$12:$K$35,MATCH(L12,'Schedule 1_Enrollment'!$B$10:$B$31,0)+1,MATCH(C10,'Schedule 1_Enrollment'!$D$10:$K$10,0)+IF(M13="Dual Eligible",1,0))</f>
        <v>430</v>
      </c>
      <c r="N14" s="637">
        <f>INDEX('Schedule 1_Enrollment'!$D$12:$K$35,MATCH(N12,'Schedule 1_Enrollment'!$B$10:$B$31,0)+1,MATCH(C10,'Schedule 1_Enrollment'!$D$10:$K$10,0)+IF(N13="Dual Eligible",1,0))</f>
        <v>126</v>
      </c>
      <c r="O14" s="637">
        <f>INDEX('Schedule 1_Enrollment'!$D$12:$K$35,MATCH(N12,'Schedule 1_Enrollment'!$B$10:$B$31,0)+1,MATCH(C10,'Schedule 1_Enrollment'!$D$10:$K$10,0)+IF(O13="Dual Eligible",1,0))</f>
        <v>558</v>
      </c>
      <c r="P14" s="637">
        <f>INDEX('Schedule 1_Enrollment'!$D$12:$K$35,MATCH(P12,'Schedule 1_Enrollment'!$B$10:$B$31,0)+1,MATCH(C10,'Schedule 1_Enrollment'!$D$10:$K$10,0)+IF(P13="Dual Eligible",1,0))</f>
        <v>136</v>
      </c>
      <c r="Q14" s="637">
        <f>INDEX('Schedule 1_Enrollment'!$D$12:$K$35,MATCH(P12,'Schedule 1_Enrollment'!$B$10:$B$31,0)+1,MATCH(C10,'Schedule 1_Enrollment'!$D$10:$K$10,0)+IF(Q13="Dual Eligible",1,0))</f>
        <v>583</v>
      </c>
      <c r="R14" s="637">
        <f>INDEX('Schedule 1_Enrollment'!$D$12:$K$35,MATCH(R12,'Schedule 1_Enrollment'!$B$10:$B$31,0)+1,MATCH(C10,'Schedule 1_Enrollment'!$D$10:$K$10,0)+IF(R13="Dual Eligible",1,0))</f>
        <v>108</v>
      </c>
      <c r="S14" s="637">
        <f>INDEX('Schedule 1_Enrollment'!$D$12:$K$35,MATCH(R12,'Schedule 1_Enrollment'!$B$10:$B$31,0)+1,MATCH(C10,'Schedule 1_Enrollment'!$D$10:$K$10,0)+IF(S13="Dual Eligible",1,0))</f>
        <v>561</v>
      </c>
      <c r="T14" s="640">
        <f>SUM(L14:S14)</f>
        <v>2611</v>
      </c>
      <c r="U14" s="637">
        <f>T14</f>
        <v>2611</v>
      </c>
      <c r="V14" s="140"/>
      <c r="W14" s="637">
        <f>INDEX('Schedule 1_Enrollment'!$D$12:$K$35,MATCH(W12,'Schedule 1_Enrollment'!$B$10:$B$31,0)+1,MATCH(W10,'Schedule 1_Enrollment'!$D$10:$K$10,0)+IF(W13="Dual Eligible",1,0))</f>
        <v>0</v>
      </c>
      <c r="X14" s="637">
        <f>INDEX('Schedule 1_Enrollment'!$D$12:$K$35,MATCH(W12,'Schedule 1_Enrollment'!$B$10:$B$31,0)+1,MATCH(W10,'Schedule 1_Enrollment'!$D$10:$K$10,0)+IF(X13="Dual Eligible",1,0))</f>
        <v>124</v>
      </c>
      <c r="Y14" s="637">
        <f>INDEX('Schedule 1_Enrollment'!$D$12:$K$35,MATCH(Y12,'Schedule 1_Enrollment'!$B$10:$B$31,0)+1,MATCH(W10,'Schedule 1_Enrollment'!$D$10:$K$10,0)+IF(Y13="Dual Eligible",1,0))</f>
        <v>2</v>
      </c>
      <c r="Z14" s="637">
        <f>INDEX('Schedule 1_Enrollment'!$D$12:$K$35,MATCH(Y12,'Schedule 1_Enrollment'!$B$10:$B$31,0)+1,MATCH(W10,'Schedule 1_Enrollment'!$D$10:$K$10,0)+IF(Z13="Dual Eligible",1,0))</f>
        <v>103</v>
      </c>
      <c r="AA14" s="637">
        <f>INDEX('Schedule 1_Enrollment'!$D$12:$K$35,MATCH(AA12,'Schedule 1_Enrollment'!$B$10:$B$31,0)+1,MATCH(W10,'Schedule 1_Enrollment'!$D$10:$K$10,0)+IF(AA13="Dual Eligible",1,0))</f>
        <v>8</v>
      </c>
      <c r="AB14" s="637">
        <f>INDEX('Schedule 1_Enrollment'!$D$12:$K$35,MATCH(AA12,'Schedule 1_Enrollment'!$B$10:$B$31,0)+1,MATCH(W10,'Schedule 1_Enrollment'!$D$10:$K$10,0)+IF(AB13="Dual Eligible",1,0))</f>
        <v>98</v>
      </c>
      <c r="AC14" s="637">
        <f>INDEX('Schedule 1_Enrollment'!$D$12:$K$35,MATCH(AC12,'Schedule 1_Enrollment'!$B$10:$B$31,0)+1,MATCH(W10,'Schedule 1_Enrollment'!$D$10:$K$10,0)+IF(AC13="Dual Eligible",1,0))</f>
        <v>9</v>
      </c>
      <c r="AD14" s="637">
        <f>INDEX('Schedule 1_Enrollment'!$D$12:$K$35,MATCH(AC12,'Schedule 1_Enrollment'!$B$10:$B$31,0)+1,MATCH(W10,'Schedule 1_Enrollment'!$D$10:$K$10,0)+IF(AD13="Dual Eligible",1,0))</f>
        <v>100</v>
      </c>
      <c r="AE14" s="640">
        <f>SUM(W14:AD14)</f>
        <v>444</v>
      </c>
      <c r="AF14" s="639">
        <f>INDEX('Schedule 1_Enrollment'!$D$12:$K$35,MATCH(AF12,'Schedule 1_Enrollment'!$B$10:$B$31,0)+1,MATCH(W10,'Schedule 1_Enrollment'!$D$10:$K$10,0)+IF(AF13="Dual Eligible",1,0))</f>
        <v>0</v>
      </c>
      <c r="AG14" s="637">
        <f>INDEX('Schedule 1_Enrollment'!$D$12:$K$35,MATCH(AF12,'Schedule 1_Enrollment'!$B$10:$B$31,0)+1,MATCH(W10,'Schedule 1_Enrollment'!$D$10:$K$10,0)+IF(AG13="Dual Eligible",1,0))</f>
        <v>124</v>
      </c>
      <c r="AH14" s="637">
        <f>INDEX('Schedule 1_Enrollment'!$D$12:$K$35,MATCH(AH12,'Schedule 1_Enrollment'!$B$10:$B$31,0)+1,MATCH(W10,'Schedule 1_Enrollment'!$D$10:$K$10,0)+IF(AH13="Dual Eligible",1,0))</f>
        <v>2</v>
      </c>
      <c r="AI14" s="637">
        <f>INDEX('Schedule 1_Enrollment'!$D$12:$K$35,MATCH(AH12,'Schedule 1_Enrollment'!$B$10:$B$31,0)+1,MATCH(W10,'Schedule 1_Enrollment'!$D$10:$K$10,0)+IF(AI13="Dual Eligible",1,0))</f>
        <v>103</v>
      </c>
      <c r="AJ14" s="637">
        <f>INDEX('Schedule 1_Enrollment'!$D$12:$K$35,MATCH(AJ12,'Schedule 1_Enrollment'!$B$10:$B$31,0)+1,MATCH(W10,'Schedule 1_Enrollment'!$D$10:$K$10,0)+IF(AJ13="Dual Eligible",1,0))</f>
        <v>8</v>
      </c>
      <c r="AK14" s="637">
        <f>INDEX('Schedule 1_Enrollment'!$D$12:$K$35,MATCH(AJ12,'Schedule 1_Enrollment'!$B$10:$B$31,0)+1,MATCH(W10,'Schedule 1_Enrollment'!$D$10:$K$10,0)+IF(AK13="Dual Eligible",1,0))</f>
        <v>98</v>
      </c>
      <c r="AL14" s="637">
        <f>INDEX('Schedule 1_Enrollment'!$D$12:$K$35,MATCH(AL12,'Schedule 1_Enrollment'!$B$10:$B$31,0)+1,MATCH(W10,'Schedule 1_Enrollment'!$D$10:$K$10,0)+IF(AL13="Dual Eligible",1,0))</f>
        <v>9</v>
      </c>
      <c r="AM14" s="637">
        <f>INDEX('Schedule 1_Enrollment'!$D$12:$K$35,MATCH(AL12,'Schedule 1_Enrollment'!$B$10:$B$31,0)+1,MATCH(W10,'Schedule 1_Enrollment'!$D$10:$K$10,0)+IF(AM13="Dual Eligible",1,0))</f>
        <v>100</v>
      </c>
      <c r="AN14" s="640">
        <f>SUM(AF14:AM14)</f>
        <v>444</v>
      </c>
      <c r="AO14" s="637">
        <f>AN14</f>
        <v>444</v>
      </c>
      <c r="AP14" s="140"/>
      <c r="AQ14" s="637">
        <f>INDEX('Schedule 1_Enrollment'!$D$12:$K$35,MATCH(AQ12,'Schedule 1_Enrollment'!$B$10:$B$31,0)+1,MATCH(AQ10,'Schedule 1_Enrollment'!$D$10:$K$10,0)+IF(AQ13="Dual Eligible",1,0))</f>
        <v>298</v>
      </c>
      <c r="AR14" s="637">
        <f>INDEX('Schedule 1_Enrollment'!$D$12:$K$35,MATCH(AQ12,'Schedule 1_Enrollment'!$B$10:$B$31,0)+1,MATCH(AQ10,'Schedule 1_Enrollment'!$D$10:$K$10,0)+IF(AR13="Dual Eligible",1,0))</f>
        <v>1083.342594773655</v>
      </c>
      <c r="AS14" s="637">
        <f>INDEX('Schedule 1_Enrollment'!$D$12:$K$35,MATCH(AS12,'Schedule 1_Enrollment'!$B$10:$B$31,0)+1,MATCH(AQ10,'Schedule 1_Enrollment'!$D$10:$K$10,0)+IF(AS13="Dual Eligible",1,0))</f>
        <v>304</v>
      </c>
      <c r="AT14" s="637">
        <f>INDEX('Schedule 1_Enrollment'!$D$12:$K$35,MATCH(AS12,'Schedule 1_Enrollment'!$B$10:$B$31,0)+1,MATCH(AQ10,'Schedule 1_Enrollment'!$D$10:$K$10,0)+IF(AT13="Dual Eligible",1,0))</f>
        <v>1081.7356920975371</v>
      </c>
      <c r="AU14" s="637">
        <f>INDEX('Schedule 1_Enrollment'!$D$12:$K$35,MATCH(AU12,'Schedule 1_Enrollment'!$B$10:$B$31,0)+1,MATCH(AQ10,'Schedule 1_Enrollment'!$D$10:$K$10,0)+IF(AU13="Dual Eligible",1,0))</f>
        <v>333.06490137486685</v>
      </c>
      <c r="AV14" s="637">
        <f>INDEX('Schedule 1_Enrollment'!$D$12:$K$35,MATCH(AU12,'Schedule 1_Enrollment'!$B$10:$B$31,0)+1,MATCH(AQ10,'Schedule 1_Enrollment'!$D$10:$K$10,0)+IF(AV13="Dual Eligible",1,0))</f>
        <v>1223.7687490240294</v>
      </c>
      <c r="AW14" s="637">
        <f>INDEX('Schedule 1_Enrollment'!$D$12:$K$35,MATCH(AW12,'Schedule 1_Enrollment'!$B$10:$B$31,0)+1,MATCH(AQ10,'Schedule 1_Enrollment'!$D$10:$K$10,0)+IF(AW13="Dual Eligible",1,0))</f>
        <v>373</v>
      </c>
      <c r="AX14" s="637">
        <f>INDEX('Schedule 1_Enrollment'!$D$12:$K$35,MATCH(AW12,'Schedule 1_Enrollment'!$B$10:$B$31,0)+1,MATCH(AQ10,'Schedule 1_Enrollment'!$D$10:$K$10,0)+IF(AX13="Dual Eligible",1,0))</f>
        <v>1401.5125006427527</v>
      </c>
      <c r="AY14" s="640">
        <f>SUM(AQ14:AX14)</f>
        <v>6098.4244379128413</v>
      </c>
      <c r="AZ14" s="639">
        <f>INDEX('Schedule 1_Enrollment'!$D$12:$K$35,MATCH(AZ12,'Schedule 1_Enrollment'!$B$10:$B$31,0)+1,MATCH(AQ10,'Schedule 1_Enrollment'!$D$10:$K$10,0)+IF(AZ13="Dual Eligible",1,0))</f>
        <v>298</v>
      </c>
      <c r="BA14" s="637">
        <f>INDEX('Schedule 1_Enrollment'!$D$12:$K$35,MATCH(AZ12,'Schedule 1_Enrollment'!$B$10:$B$31,0)+1,MATCH(AQ10,'Schedule 1_Enrollment'!$D$10:$K$10,0)+IF(BA13="Dual Eligible",1,0))</f>
        <v>1083.342594773655</v>
      </c>
      <c r="BB14" s="637">
        <f>INDEX('Schedule 1_Enrollment'!$D$12:$K$35,MATCH(BB12,'Schedule 1_Enrollment'!$B$10:$B$31,0)+1,MATCH(AQ10,'Schedule 1_Enrollment'!$D$10:$K$10,0)+IF(BB13="Dual Eligible",1,0))</f>
        <v>304</v>
      </c>
      <c r="BC14" s="637">
        <f>INDEX('Schedule 1_Enrollment'!$D$12:$K$35,MATCH(BB12,'Schedule 1_Enrollment'!$B$10:$B$31,0)+1,MATCH(AQ10,'Schedule 1_Enrollment'!$D$10:$K$10,0)+IF(BC13="Dual Eligible",1,0))</f>
        <v>1081.7356920975371</v>
      </c>
      <c r="BD14" s="637">
        <f>INDEX('Schedule 1_Enrollment'!$D$12:$K$35,MATCH(BD12,'Schedule 1_Enrollment'!$B$10:$B$31,0)+1,MATCH(AQ10,'Schedule 1_Enrollment'!$D$10:$K$10,0)+IF(BD13="Dual Eligible",1,0))</f>
        <v>333.06490137486685</v>
      </c>
      <c r="BE14" s="637">
        <f>INDEX('Schedule 1_Enrollment'!$D$12:$K$35,MATCH(BD12,'Schedule 1_Enrollment'!$B$10:$B$31,0)+1,MATCH(AQ10,'Schedule 1_Enrollment'!$D$10:$K$10,0)+IF(BE13="Dual Eligible",1,0))</f>
        <v>1223.7687490240294</v>
      </c>
      <c r="BF14" s="637">
        <f>INDEX('Schedule 1_Enrollment'!$D$12:$K$35,MATCH(BF12,'Schedule 1_Enrollment'!$B$10:$B$31,0)+1,MATCH(AQ10,'Schedule 1_Enrollment'!$D$10:$K$10,0)+IF(BF13="Dual Eligible",1,0))</f>
        <v>373</v>
      </c>
      <c r="BG14" s="637">
        <f>INDEX('Schedule 1_Enrollment'!$D$12:$K$35,MATCH(BF12,'Schedule 1_Enrollment'!$B$10:$B$31,0)+1,MATCH(AQ10,'Schedule 1_Enrollment'!$D$10:$K$10,0)+IF(BG13="Dual Eligible",1,0))</f>
        <v>1401.5125006427527</v>
      </c>
      <c r="BH14" s="640">
        <f>SUM(AZ14:BG14)</f>
        <v>6098.4244379128413</v>
      </c>
      <c r="BI14" s="637">
        <f>BH14</f>
        <v>6098.4244379128413</v>
      </c>
      <c r="BJ14" s="140"/>
      <c r="BK14" s="637">
        <f>INDEX('Schedule 1_Enrollment'!$D$12:$K$35,MATCH(BK12,'Schedule 1_Enrollment'!$B$10:$B$31,0)+1,MATCH(IF(BK10="Institutional (All: Tier 1, Tier 2 and Tier 3)","Institutional (All Tiers)",BK10),'Schedule 1_Enrollment'!$D$10:$K$10,0)+IF(BK13="Dual Eligible",1,0))</f>
        <v>3</v>
      </c>
      <c r="BL14" s="637">
        <f>INDEX('Schedule 1_Enrollment'!$D$12:$K$35,MATCH(BK12,'Schedule 1_Enrollment'!$B$10:$B$31,0)+1,MATCH(IF(BK10="Institutional (All: Tier 1, Tier 2 and Tier 3)","Institutional (All Tiers)",BK10),'Schedule 1_Enrollment'!$D$10:$K$10,0)+IF(BL13="Dual Eligible",1,0))</f>
        <v>52.18881248951692</v>
      </c>
      <c r="BM14" s="637">
        <f>INDEX('Schedule 1_Enrollment'!$D$12:$K$35,MATCH(BM12,'Schedule 1_Enrollment'!$B$10:$B$31,0)+1,MATCH(IF(BK10="Institutional (All: Tier 1, Tier 2 and Tier 3)","Institutional (All Tiers)",BK10),'Schedule 1_Enrollment'!$D$10:$K$10,0)+IF(BM13="Dual Eligible",1,0))</f>
        <v>3</v>
      </c>
      <c r="BN14" s="637">
        <f>INDEX('Schedule 1_Enrollment'!$D$12:$K$35,MATCH(BM12,'Schedule 1_Enrollment'!$B$10:$B$31,0)+1,MATCH(IF(BK10="Institutional (All: Tier 1, Tier 2 and Tier 3)","Institutional (All Tiers)",BK10),'Schedule 1_Enrollment'!$D$10:$K$10,0)+IF(BN13="Dual Eligible",1,0))</f>
        <v>43.963657155266901</v>
      </c>
      <c r="BO14" s="637">
        <f>INDEX('Schedule 1_Enrollment'!$D$12:$K$35,MATCH(BO12,'Schedule 1_Enrollment'!$B$10:$B$31,0)+1,MATCH(IF(BK10="Institutional (All: Tier 1, Tier 2 and Tier 3)","Institutional (All Tiers)",BK10),'Schedule 1_Enrollment'!$D$10:$K$10,0)+IF(BO13="Dual Eligible",1,0))</f>
        <v>2.3256022021661988</v>
      </c>
      <c r="BP14" s="637">
        <f>INDEX('Schedule 1_Enrollment'!$D$12:$K$35,MATCH(BO12,'Schedule 1_Enrollment'!$B$10:$B$31,0)+1,MATCH(IF(BK10="Institutional (All: Tier 1, Tier 2 and Tier 3)","Institutional (All Tiers)",BK10),'Schedule 1_Enrollment'!$D$10:$K$10,0)+IF(BP13="Dual Eligible",1,0))</f>
        <v>48.289423696840352</v>
      </c>
      <c r="BQ14" s="637">
        <f>INDEX('Schedule 1_Enrollment'!$D$12:$K$35,MATCH(BQ12,'Schedule 1_Enrollment'!$B$10:$B$31,0)+1,MATCH(IF(BK10="Institutional (All: Tier 1, Tier 2 and Tier 3)","Institutional (All Tiers)",BK10),'Schedule 1_Enrollment'!$D$10:$K$10,0)+IF(BQ13="Dual Eligible",1,0))</f>
        <v>0</v>
      </c>
      <c r="BR14" s="637">
        <f>INDEX('Schedule 1_Enrollment'!$D$12:$K$35,MATCH(BQ12,'Schedule 1_Enrollment'!$B$10:$B$31,0)+1,MATCH(IF(BK10="Institutional (All: Tier 1, Tier 2 and Tier 3)","Institutional (All Tiers)",BK10),'Schedule 1_Enrollment'!$D$10:$K$10,0)+IF(BR13="Dual Eligible",1,0))</f>
        <v>45.549106445735276</v>
      </c>
      <c r="BS14" s="640">
        <f>SUM(BK14:BR14)</f>
        <v>198.31660198952565</v>
      </c>
      <c r="BT14" s="639">
        <f>INDEX('Schedule 1_Enrollment'!$D$12:$K$35,MATCH(BT12,'Schedule 1_Enrollment'!$B$10:$B$31,0)+1,MATCH(IF(BK10="Institutional (All: Tier 1, Tier 2 and Tier 3)","Institutional (All Tiers)",BK10),'Schedule 1_Enrollment'!$D$10:$K$10,0)+IF(BT13="Dual Eligible",1,0))</f>
        <v>3</v>
      </c>
      <c r="BU14" s="637">
        <f>INDEX('Schedule 1_Enrollment'!$D$12:$K$35,MATCH(BT12,'Schedule 1_Enrollment'!$B$10:$B$31,0)+1,MATCH(IF(BK10="Institutional (All: Tier 1, Tier 2 and Tier 3)","Institutional (All Tiers)",BK10),'Schedule 1_Enrollment'!$D$10:$K$10,0)+IF(BU13="Dual Eligible",1,0))</f>
        <v>52.18881248951692</v>
      </c>
      <c r="BV14" s="637">
        <f>INDEX('Schedule 1_Enrollment'!$D$12:$K$35,MATCH(BV12,'Schedule 1_Enrollment'!$B$10:$B$31,0)+1,MATCH(IF(BK10="Institutional (All: Tier 1, Tier 2 and Tier 3)","Institutional (All Tiers)",BK10),'Schedule 1_Enrollment'!$D$10:$K$10,0)+IF(BV13="Dual Eligible",1,0))</f>
        <v>3</v>
      </c>
      <c r="BW14" s="637">
        <f>INDEX('Schedule 1_Enrollment'!$D$12:$K$35,MATCH(BV12,'Schedule 1_Enrollment'!$B$10:$B$31,0)+1,MATCH(IF(BK10="Institutional (All: Tier 1, Tier 2 and Tier 3)","Institutional (All Tiers)",BK10),'Schedule 1_Enrollment'!$D$10:$K$10,0)+IF(BW13="Dual Eligible",1,0))</f>
        <v>43.963657155266901</v>
      </c>
      <c r="BX14" s="637">
        <f>INDEX('Schedule 1_Enrollment'!$D$12:$K$35,MATCH(BX12,'Schedule 1_Enrollment'!$B$10:$B$31,0)+1,MATCH(IF(BK10="Institutional (All: Tier 1, Tier 2 and Tier 3)","Institutional (All Tiers)",BK10),'Schedule 1_Enrollment'!$D$10:$K$10,0)+IF(BX13="Dual Eligible",1,0))</f>
        <v>2.3256022021661988</v>
      </c>
      <c r="BY14" s="637">
        <f>INDEX('Schedule 1_Enrollment'!$D$12:$K$35,MATCH(BX12,'Schedule 1_Enrollment'!$B$10:$B$31,0)+1,MATCH(IF(BK10="Institutional (All: Tier 1, Tier 2 and Tier 3)","Institutional (All Tiers)",BK10),'Schedule 1_Enrollment'!$D$10:$K$10,0)+IF(BY13="Dual Eligible",1,0))</f>
        <v>48.289423696840352</v>
      </c>
      <c r="BZ14" s="637">
        <f>INDEX('Schedule 1_Enrollment'!$D$12:$K$35,MATCH(BZ12,'Schedule 1_Enrollment'!$B$10:$B$31,0)+1,MATCH(IF(BK10="Institutional (All: Tier 1, Tier 2 and Tier 3)","Institutional (All Tiers)",BK10),'Schedule 1_Enrollment'!$D$10:$K$10,0)+IF(BZ13="Dual Eligible",1,0))</f>
        <v>0</v>
      </c>
      <c r="CA14" s="637">
        <f>INDEX('Schedule 1_Enrollment'!$D$12:$K$35,MATCH(BZ12,'Schedule 1_Enrollment'!$B$10:$B$31,0)+1,MATCH(IF(BK10="Institutional (All: Tier 1, Tier 2 and Tier 3)","Institutional (All Tiers)",BK10),'Schedule 1_Enrollment'!$D$10:$K$10,0)+IF(CA13="Dual Eligible",1,0))</f>
        <v>45.549106445735276</v>
      </c>
      <c r="CB14" s="640">
        <f>SUM(BT14:CA14)</f>
        <v>198.31660198952565</v>
      </c>
      <c r="CC14" s="637">
        <f>CB14</f>
        <v>198.31660198952565</v>
      </c>
      <c r="CD14" s="140"/>
      <c r="CE14" s="637">
        <f>+C14+D14+W14+X14+AQ14+AR14+BK14+BL14</f>
        <v>2099.5314072631718</v>
      </c>
      <c r="CF14" s="637">
        <f>+E14+F14+Y14+Z14+AS14+AT14+BM14+BN14</f>
        <v>2221.699349252804</v>
      </c>
      <c r="CG14" s="637">
        <f>+G14+H14+AA14+AB14+AU14+AV14+BO14+BP14</f>
        <v>2432.4486762979027</v>
      </c>
      <c r="CH14" s="637">
        <f>+I14+J14+AC14+AD14+AW14+AX14+BQ14+BR14</f>
        <v>2598.0616070884876</v>
      </c>
      <c r="CI14" s="638">
        <f>SUM(K14,AE14,AY14,BS14)</f>
        <v>9351.7410399023665</v>
      </c>
      <c r="CJ14" s="637">
        <f>L14+M14+AF14+AG14+AZ14+BA14+BT14+BU14</f>
        <v>2099.5314072631718</v>
      </c>
      <c r="CK14" s="637">
        <f>N14+O14+AH14+AI14+BB14+BC14+BV14+BW14</f>
        <v>2221.699349252804</v>
      </c>
      <c r="CL14" s="637">
        <f>P14+Q14+AJ14+AK14+BD14+BE14+BX14+BY14</f>
        <v>2432.4486762979027</v>
      </c>
      <c r="CM14" s="637">
        <f>+R14+S14+AL14+AM14+BF14+BG14+BZ14+CA14</f>
        <v>2598.0616070884876</v>
      </c>
      <c r="CN14" s="638">
        <f>SUM(T14,AN14,BH14,CB14)</f>
        <v>9351.7410399023665</v>
      </c>
      <c r="CO14" s="637">
        <f>+C14+D14+W14+X14+AQ14+AR14+BK14+BL14</f>
        <v>2099.5314072631718</v>
      </c>
      <c r="CP14" s="637">
        <f>+E14+F14+Y14+Z14+AS14+AT14+BM14+BN14</f>
        <v>2221.699349252804</v>
      </c>
      <c r="CQ14" s="637">
        <f>+G14+H14+AA14+AB14+AU14+AV14+BO14+BP14</f>
        <v>2432.4486762979027</v>
      </c>
      <c r="CR14" s="637">
        <f>+I14+J14+AC14+AD14+AW14+AX14+BQ14+BR14</f>
        <v>2598.0616070884876</v>
      </c>
      <c r="CS14" s="638">
        <f t="shared" ref="CS14" si="0">SUM(CC14,BI14,AO14,U14)</f>
        <v>9351.7410399023665</v>
      </c>
    </row>
    <row r="15" spans="1:131"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6"/>
      <c r="V15" s="193"/>
      <c r="W15" s="104"/>
      <c r="X15" s="104"/>
      <c r="Y15" s="104"/>
      <c r="Z15" s="104"/>
      <c r="AA15" s="104"/>
      <c r="AB15" s="104"/>
      <c r="AC15" s="104"/>
      <c r="AD15" s="104"/>
      <c r="AE15" s="375"/>
      <c r="AF15" s="376"/>
      <c r="AG15" s="104"/>
      <c r="AH15" s="104"/>
      <c r="AI15" s="104"/>
      <c r="AJ15" s="104"/>
      <c r="AK15" s="104"/>
      <c r="AL15" s="104"/>
      <c r="AM15" s="104"/>
      <c r="AN15" s="104"/>
      <c r="AO15" s="376"/>
      <c r="AP15" s="193"/>
      <c r="AQ15" s="104"/>
      <c r="AR15" s="104"/>
      <c r="AS15" s="104"/>
      <c r="AT15" s="104"/>
      <c r="AU15" s="104"/>
      <c r="AV15" s="104"/>
      <c r="AW15" s="104"/>
      <c r="AX15" s="104"/>
      <c r="AY15" s="375"/>
      <c r="AZ15" s="376"/>
      <c r="BA15" s="104"/>
      <c r="BB15" s="104"/>
      <c r="BC15" s="104"/>
      <c r="BD15" s="104"/>
      <c r="BE15" s="104"/>
      <c r="BF15" s="104"/>
      <c r="BG15" s="104"/>
      <c r="BH15" s="104"/>
      <c r="BI15" s="376"/>
      <c r="BJ15" s="193"/>
      <c r="BK15" s="104"/>
      <c r="BL15" s="104"/>
      <c r="BM15" s="104"/>
      <c r="BN15" s="104"/>
      <c r="BO15" s="104"/>
      <c r="BP15" s="104"/>
      <c r="BQ15" s="104"/>
      <c r="BR15" s="104"/>
      <c r="BS15" s="375"/>
      <c r="BT15" s="376"/>
      <c r="BU15" s="104"/>
      <c r="BV15" s="104"/>
      <c r="BW15" s="104"/>
      <c r="BX15" s="104"/>
      <c r="BY15" s="104"/>
      <c r="BZ15" s="104"/>
      <c r="CA15" s="104"/>
      <c r="CB15" s="104"/>
      <c r="CC15" s="376"/>
      <c r="CD15" s="193"/>
      <c r="CE15" s="199"/>
      <c r="CF15" s="199"/>
      <c r="CG15" s="199"/>
      <c r="CH15" s="199"/>
      <c r="CI15" s="193"/>
      <c r="CJ15" s="199"/>
      <c r="CK15" s="199"/>
      <c r="CL15" s="199"/>
      <c r="CM15" s="199"/>
      <c r="CN15" s="193"/>
      <c r="CO15" s="199"/>
      <c r="CP15" s="199"/>
      <c r="CQ15" s="199"/>
      <c r="CR15" s="199"/>
      <c r="CS15" s="193"/>
    </row>
    <row r="16" spans="1:131" ht="15.75" customHeight="1">
      <c r="A16" s="135" t="s">
        <v>171</v>
      </c>
      <c r="B16" s="300">
        <v>1</v>
      </c>
      <c r="C16" s="233">
        <v>1150310.16000003</v>
      </c>
      <c r="D16" s="233">
        <v>2182936.6300002402</v>
      </c>
      <c r="E16" s="233">
        <v>1179626.8000000301</v>
      </c>
      <c r="F16" s="233">
        <v>2262790.2400002601</v>
      </c>
      <c r="G16" s="233">
        <v>1198554.91000004</v>
      </c>
      <c r="H16" s="233">
        <v>2366909.6300002802</v>
      </c>
      <c r="I16" s="233">
        <v>1255821.25000004</v>
      </c>
      <c r="J16" s="233">
        <v>2384815.89000028</v>
      </c>
      <c r="K16" s="412">
        <f t="shared" ref="K16:K23" si="1">SUM(C16:J16)</f>
        <v>13981765.510001201</v>
      </c>
      <c r="L16" s="413"/>
      <c r="M16" s="233"/>
      <c r="N16" s="233"/>
      <c r="O16" s="233"/>
      <c r="P16" s="233"/>
      <c r="Q16" s="233"/>
      <c r="R16" s="233"/>
      <c r="S16" s="233"/>
      <c r="T16" s="414">
        <f t="shared" ref="T16:T23" si="2">SUM(L16:S16)</f>
        <v>0</v>
      </c>
      <c r="U16" s="415">
        <f t="shared" ref="U16:U23" si="3">SUM(K16,T16)</f>
        <v>13981765.510001201</v>
      </c>
      <c r="V16" s="300">
        <v>1</v>
      </c>
      <c r="W16" s="233">
        <v>175913.24</v>
      </c>
      <c r="X16" s="233">
        <v>994432.38000001898</v>
      </c>
      <c r="Y16" s="233">
        <v>182877.91</v>
      </c>
      <c r="Z16" s="233">
        <v>947873.12000001804</v>
      </c>
      <c r="AA16" s="233">
        <v>170453.61</v>
      </c>
      <c r="AB16" s="233">
        <v>967860.44000001904</v>
      </c>
      <c r="AC16" s="233">
        <v>182047.53</v>
      </c>
      <c r="AD16" s="233">
        <v>988270.23000001896</v>
      </c>
      <c r="AE16" s="412">
        <f t="shared" ref="AE16:AE23" si="4">SUM(W16:AD16)</f>
        <v>4609728.4600000745</v>
      </c>
      <c r="AF16" s="413"/>
      <c r="AG16" s="233"/>
      <c r="AH16" s="233"/>
      <c r="AI16" s="233"/>
      <c r="AJ16" s="233"/>
      <c r="AK16" s="233"/>
      <c r="AL16" s="233"/>
      <c r="AM16" s="233"/>
      <c r="AN16" s="414">
        <f t="shared" ref="AN16:AN23" si="5">SUM(AF16:AM16)</f>
        <v>0</v>
      </c>
      <c r="AO16" s="415">
        <f t="shared" ref="AO16:AO23" si="6">SUM(AE16,AN16)</f>
        <v>4609728.4600000745</v>
      </c>
      <c r="AP16" s="300">
        <v>1</v>
      </c>
      <c r="AQ16" s="233">
        <v>19124981.1299982</v>
      </c>
      <c r="AR16" s="233">
        <v>43153124.270006403</v>
      </c>
      <c r="AS16" s="233">
        <v>20472747.439998001</v>
      </c>
      <c r="AT16" s="233">
        <v>45622910.810009398</v>
      </c>
      <c r="AU16" s="233">
        <v>21613298.970000602</v>
      </c>
      <c r="AV16" s="233">
        <v>48014921.9600171</v>
      </c>
      <c r="AW16" s="233">
        <v>23461859.680001199</v>
      </c>
      <c r="AX16" s="233">
        <v>50143961.830019899</v>
      </c>
      <c r="AY16" s="412">
        <f t="shared" ref="AY16:AY23" si="7">SUM(AQ16:AX16)</f>
        <v>271607806.09005076</v>
      </c>
      <c r="AZ16" s="413"/>
      <c r="BA16" s="233"/>
      <c r="BB16" s="233"/>
      <c r="BC16" s="233"/>
      <c r="BD16" s="233"/>
      <c r="BE16" s="233"/>
      <c r="BF16" s="233"/>
      <c r="BG16" s="233"/>
      <c r="BH16" s="414">
        <f t="shared" ref="BH16:BH23" si="8">SUM(AZ16:BG16)</f>
        <v>0</v>
      </c>
      <c r="BI16" s="415">
        <f t="shared" ref="BI16:BI23" si="9">SUM(AY16,BH16)</f>
        <v>271607806.09005076</v>
      </c>
      <c r="BJ16" s="300">
        <v>1</v>
      </c>
      <c r="BK16" s="233">
        <v>399595.91</v>
      </c>
      <c r="BL16" s="233">
        <v>4107613.0700000003</v>
      </c>
      <c r="BM16" s="233">
        <v>390213.18000000005</v>
      </c>
      <c r="BN16" s="233">
        <v>3937954.92</v>
      </c>
      <c r="BO16" s="233">
        <v>359389.77</v>
      </c>
      <c r="BP16" s="233">
        <v>3827095.8800000008</v>
      </c>
      <c r="BQ16" s="233">
        <v>403400.36</v>
      </c>
      <c r="BR16" s="233">
        <v>4077910.0500000007</v>
      </c>
      <c r="BS16" s="412">
        <f t="shared" ref="BS16:BS23" si="10">SUM(BK16:BR16)</f>
        <v>17503173.140000001</v>
      </c>
      <c r="BT16" s="413">
        <v>0</v>
      </c>
      <c r="BU16" s="233">
        <v>0</v>
      </c>
      <c r="BV16" s="233">
        <v>0</v>
      </c>
      <c r="BW16" s="233">
        <v>0</v>
      </c>
      <c r="BX16" s="233">
        <v>0</v>
      </c>
      <c r="BY16" s="233">
        <v>0</v>
      </c>
      <c r="BZ16" s="233">
        <v>0</v>
      </c>
      <c r="CA16" s="233">
        <v>0</v>
      </c>
      <c r="CB16" s="414">
        <f t="shared" ref="CB16:CB23" si="11">SUM(BT16:CA16)</f>
        <v>0</v>
      </c>
      <c r="CC16" s="415">
        <f t="shared" ref="CC16:CC23" si="12">SUM(BS16,CB16)</f>
        <v>17503173.140000001</v>
      </c>
      <c r="CD16" s="300">
        <v>1</v>
      </c>
      <c r="CE16" s="414">
        <f>+C16+D16+W16+X16+AQ16+AR16+BK16+BL16</f>
        <v>71288906.790004879</v>
      </c>
      <c r="CF16" s="414">
        <f>+E16+F16+Y16+Z16+AS16+AT16+BM16+BN16</f>
        <v>74996994.420007721</v>
      </c>
      <c r="CG16" s="414">
        <f>+G16+H16+AA16+AB16+AU16+AV16+BO16+BP16</f>
        <v>78518485.170018032</v>
      </c>
      <c r="CH16" s="414">
        <f>+I16+J16+AC16+AD16+AW16+AX16+BQ16+BR16</f>
        <v>82898086.820021436</v>
      </c>
      <c r="CI16" s="416">
        <f>SUM(K16,AE16,AY16,BS16)</f>
        <v>307702473.20005202</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71288906.790004879</v>
      </c>
      <c r="CP16" s="414">
        <f>+E16+F16+N16+O16+Y16+Z16+AH16+AI16+AS16+AT16+BB16+BC16+BM16+BN16+BV16+BW16</f>
        <v>74996994.420007721</v>
      </c>
      <c r="CQ16" s="414">
        <f>+G16+H16+P16+Q16+AA16+AB16+AJ16+AK16+AU16+AV16+BD16+BE16+BO16+BP16+BX16+BY16</f>
        <v>78518485.170018032</v>
      </c>
      <c r="CR16" s="414">
        <f>+I16+J16+R16+S16+AC16+AD16+AL16+AM16+AW16+AX16+BF16+BG16+BQ16+BR16+BZ16+CA16</f>
        <v>82898086.820021436</v>
      </c>
      <c r="CS16" s="416">
        <f t="shared" ref="CS16" si="13">SUM(CC16,BI16,AO16,U16)</f>
        <v>307702473.20005202</v>
      </c>
      <c r="CT16" s="319"/>
      <c r="CU16" s="319"/>
      <c r="CV16" s="319"/>
      <c r="CW16" s="319"/>
      <c r="CX16" s="319"/>
    </row>
    <row r="17" spans="1:131" ht="15.75" customHeight="1">
      <c r="A17" s="88" t="s">
        <v>1337</v>
      </c>
      <c r="B17" s="300"/>
      <c r="C17" s="233"/>
      <c r="D17" s="233"/>
      <c r="E17" s="233"/>
      <c r="F17" s="233"/>
      <c r="G17" s="233"/>
      <c r="H17" s="233"/>
      <c r="I17" s="233"/>
      <c r="J17" s="233"/>
      <c r="K17" s="412">
        <f t="shared" si="1"/>
        <v>0</v>
      </c>
      <c r="L17" s="417"/>
      <c r="M17" s="231">
        <v>4859248.7187999804</v>
      </c>
      <c r="N17" s="231">
        <v>0</v>
      </c>
      <c r="O17" s="231">
        <v>4397896.9510000004</v>
      </c>
      <c r="P17" s="231">
        <v>0</v>
      </c>
      <c r="Q17" s="231">
        <v>4840343.0487999702</v>
      </c>
      <c r="R17" s="231">
        <v>0</v>
      </c>
      <c r="S17" s="231">
        <v>4858191.63199999</v>
      </c>
      <c r="T17" s="414">
        <f t="shared" si="2"/>
        <v>18955680.350599937</v>
      </c>
      <c r="U17" s="415">
        <f t="shared" si="3"/>
        <v>18955680.350599937</v>
      </c>
      <c r="V17" s="300"/>
      <c r="W17" s="233"/>
      <c r="X17" s="233"/>
      <c r="Y17" s="233"/>
      <c r="Z17" s="233"/>
      <c r="AA17" s="233"/>
      <c r="AB17" s="233"/>
      <c r="AC17" s="233"/>
      <c r="AD17" s="233"/>
      <c r="AE17" s="412">
        <f t="shared" si="4"/>
        <v>0</v>
      </c>
      <c r="AF17" s="417"/>
      <c r="AG17" s="231">
        <v>1458751.9421999999</v>
      </c>
      <c r="AH17" s="231">
        <v>0</v>
      </c>
      <c r="AI17" s="231">
        <v>1186393.7134</v>
      </c>
      <c r="AJ17" s="231">
        <v>0</v>
      </c>
      <c r="AK17" s="231">
        <v>1269002.9996</v>
      </c>
      <c r="AL17" s="231">
        <v>0</v>
      </c>
      <c r="AM17" s="231">
        <v>1262730.2058000001</v>
      </c>
      <c r="AN17" s="414">
        <f t="shared" si="5"/>
        <v>5176878.8609999996</v>
      </c>
      <c r="AO17" s="415">
        <f t="shared" si="6"/>
        <v>5176878.8609999996</v>
      </c>
      <c r="AP17" s="300"/>
      <c r="AQ17" s="233">
        <v>0</v>
      </c>
      <c r="AR17" s="233">
        <v>0</v>
      </c>
      <c r="AS17" s="233">
        <v>0</v>
      </c>
      <c r="AT17" s="233">
        <v>0</v>
      </c>
      <c r="AU17" s="233">
        <v>0</v>
      </c>
      <c r="AV17" s="233">
        <v>0</v>
      </c>
      <c r="AW17" s="233">
        <v>0</v>
      </c>
      <c r="AX17" s="233">
        <v>0</v>
      </c>
      <c r="AY17" s="412">
        <f t="shared" si="7"/>
        <v>0</v>
      </c>
      <c r="AZ17" s="417">
        <v>0</v>
      </c>
      <c r="BA17" s="231">
        <v>36274046.878999695</v>
      </c>
      <c r="BB17" s="231">
        <v>0</v>
      </c>
      <c r="BC17" s="231">
        <v>29946181.792799298</v>
      </c>
      <c r="BD17" s="231">
        <v>0</v>
      </c>
      <c r="BE17" s="231">
        <v>34407227.434999995</v>
      </c>
      <c r="BF17" s="231">
        <v>0</v>
      </c>
      <c r="BG17" s="231">
        <v>34968388.018199898</v>
      </c>
      <c r="BH17" s="414">
        <f t="shared" si="8"/>
        <v>135595844.12499887</v>
      </c>
      <c r="BI17" s="415">
        <f t="shared" si="9"/>
        <v>135595844.12499887</v>
      </c>
      <c r="BJ17" s="300"/>
      <c r="BK17" s="233"/>
      <c r="BL17" s="233"/>
      <c r="BM17" s="233"/>
      <c r="BN17" s="233"/>
      <c r="BO17" s="233"/>
      <c r="BP17" s="233"/>
      <c r="BQ17" s="233"/>
      <c r="BR17" s="233"/>
      <c r="BS17" s="412">
        <f t="shared" si="10"/>
        <v>0</v>
      </c>
      <c r="BT17" s="417">
        <v>0</v>
      </c>
      <c r="BU17" s="231">
        <v>1341168.1808</v>
      </c>
      <c r="BV17" s="231">
        <v>0</v>
      </c>
      <c r="BW17" s="231">
        <v>1153863.368</v>
      </c>
      <c r="BX17" s="231">
        <v>0</v>
      </c>
      <c r="BY17" s="231">
        <v>1279537.7252</v>
      </c>
      <c r="BZ17" s="231">
        <v>0</v>
      </c>
      <c r="CA17" s="231">
        <v>1481009.9471999998</v>
      </c>
      <c r="CB17" s="414">
        <f t="shared" si="11"/>
        <v>5255579.2212000005</v>
      </c>
      <c r="CC17" s="415">
        <f t="shared" si="12"/>
        <v>5255579.2212000005</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43933215.720799677</v>
      </c>
      <c r="CK17" s="414">
        <f t="shared" ref="CK17:CK23" si="20">N17+O17+AH17+AI17+BB17+BC17+BV17+BW17</f>
        <v>36684335.825199299</v>
      </c>
      <c r="CL17" s="414">
        <f t="shared" ref="CL17:CL23" si="21">P17+Q17+AJ17+AK17+BD17+BE17+BX17+BY17</f>
        <v>41796111.208599962</v>
      </c>
      <c r="CM17" s="414">
        <f t="shared" ref="CM17:CM23" si="22">+R17+S17+AL17+AM17+BF17+BG17+BZ17+CA17</f>
        <v>42570319.803199887</v>
      </c>
      <c r="CN17" s="416">
        <f t="shared" ref="CN17:CN23" si="23">SUM(T17,AN17,BH17,CB17)</f>
        <v>164983982.5577988</v>
      </c>
      <c r="CO17" s="414">
        <f t="shared" ref="CO17:CO23" si="24">+C17+D17+L17+M17+W17+X17+AF17+AG17+AQ17+AR17+AZ17+BA17+BK17+BL17+BT17+BU17</f>
        <v>43933215.720799677</v>
      </c>
      <c r="CP17" s="414">
        <f t="shared" ref="CP17:CP23" si="25">+E17+F17+N17+O17+Y17+Z17+AH17+AI17+AS17+AT17+BB17+BC17+BM17+BN17+BV17+BW17</f>
        <v>36684335.825199299</v>
      </c>
      <c r="CQ17" s="414">
        <f t="shared" ref="CQ17:CQ23" si="26">+G17+H17+P17+Q17+AA17+AB17+AJ17+AK17+AU17+AV17+BD17+BE17+BO17+BP17+BX17+BY17</f>
        <v>41796111.208599962</v>
      </c>
      <c r="CR17" s="414">
        <f t="shared" ref="CR17:CR23" si="27">+I17+J17+R17+S17+AC17+AD17+AL17+AM17+AW17+AX17+BF17+BG17+BQ17+BR17+BZ17+CA17</f>
        <v>42570319.803199887</v>
      </c>
      <c r="CS17" s="416">
        <f t="shared" ref="CS17:CS23" si="28">SUM(CC17,BI17,AO17,U17)</f>
        <v>164983982.5577988</v>
      </c>
      <c r="CT17" s="319"/>
      <c r="CV17" s="319"/>
      <c r="CX17" s="319"/>
    </row>
    <row r="18" spans="1:131" ht="15.75" customHeight="1">
      <c r="A18" s="88" t="s">
        <v>1338</v>
      </c>
      <c r="B18" s="300"/>
      <c r="C18" s="231"/>
      <c r="D18" s="231"/>
      <c r="E18" s="231"/>
      <c r="F18" s="231"/>
      <c r="G18" s="231"/>
      <c r="H18" s="231"/>
      <c r="I18" s="231"/>
      <c r="J18" s="231"/>
      <c r="K18" s="412">
        <f t="shared" si="1"/>
        <v>0</v>
      </c>
      <c r="L18" s="417"/>
      <c r="M18" s="231">
        <v>145351.68900000001</v>
      </c>
      <c r="N18" s="231">
        <v>0</v>
      </c>
      <c r="O18" s="231">
        <v>108738.085400001</v>
      </c>
      <c r="P18" s="231">
        <v>0</v>
      </c>
      <c r="Q18" s="231">
        <v>124245.272200002</v>
      </c>
      <c r="R18" s="231">
        <v>0</v>
      </c>
      <c r="S18" s="231">
        <v>121131.675000002</v>
      </c>
      <c r="T18" s="414">
        <f t="shared" si="2"/>
        <v>499466.72160000505</v>
      </c>
      <c r="U18" s="415">
        <f t="shared" si="3"/>
        <v>499466.72160000505</v>
      </c>
      <c r="V18" s="300"/>
      <c r="W18" s="231"/>
      <c r="X18" s="231"/>
      <c r="Y18" s="231"/>
      <c r="Z18" s="231"/>
      <c r="AA18" s="231"/>
      <c r="AB18" s="231"/>
      <c r="AC18" s="231"/>
      <c r="AD18" s="231"/>
      <c r="AE18" s="412">
        <f t="shared" si="4"/>
        <v>0</v>
      </c>
      <c r="AF18" s="417"/>
      <c r="AG18" s="231">
        <v>51083.950399999798</v>
      </c>
      <c r="AH18" s="231">
        <v>0</v>
      </c>
      <c r="AI18" s="231">
        <v>38845.563399999897</v>
      </c>
      <c r="AJ18" s="231">
        <v>0</v>
      </c>
      <c r="AK18" s="231">
        <v>42039.922399999901</v>
      </c>
      <c r="AL18" s="231">
        <v>0</v>
      </c>
      <c r="AM18" s="231">
        <v>42427.874999999804</v>
      </c>
      <c r="AN18" s="414">
        <f t="shared" si="5"/>
        <v>174397.31119999939</v>
      </c>
      <c r="AO18" s="415">
        <f t="shared" si="6"/>
        <v>174397.31119999939</v>
      </c>
      <c r="AP18" s="300"/>
      <c r="AQ18" s="231"/>
      <c r="AR18" s="231"/>
      <c r="AS18" s="231"/>
      <c r="AT18" s="231"/>
      <c r="AU18" s="231"/>
      <c r="AV18" s="231"/>
      <c r="AW18" s="231"/>
      <c r="AX18" s="231"/>
      <c r="AY18" s="412">
        <f t="shared" si="7"/>
        <v>0</v>
      </c>
      <c r="AZ18" s="417">
        <v>0</v>
      </c>
      <c r="BA18" s="231">
        <v>977455.72400000307</v>
      </c>
      <c r="BB18" s="231">
        <v>0</v>
      </c>
      <c r="BC18" s="231">
        <v>838496.01640000404</v>
      </c>
      <c r="BD18" s="231">
        <v>0</v>
      </c>
      <c r="BE18" s="231">
        <v>929197.77020000399</v>
      </c>
      <c r="BF18" s="231">
        <v>0</v>
      </c>
      <c r="BG18" s="231">
        <v>953318.89240000304</v>
      </c>
      <c r="BH18" s="414">
        <f t="shared" si="8"/>
        <v>3698468.4030000139</v>
      </c>
      <c r="BI18" s="415">
        <f t="shared" si="9"/>
        <v>3698468.4030000139</v>
      </c>
      <c r="BJ18" s="300"/>
      <c r="BK18" s="231"/>
      <c r="BL18" s="231"/>
      <c r="BM18" s="231"/>
      <c r="BN18" s="231"/>
      <c r="BO18" s="231"/>
      <c r="BP18" s="231"/>
      <c r="BQ18" s="231"/>
      <c r="BR18" s="231"/>
      <c r="BS18" s="412">
        <f t="shared" si="10"/>
        <v>0</v>
      </c>
      <c r="BT18" s="417">
        <v>0</v>
      </c>
      <c r="BU18" s="231">
        <v>44912.900200000004</v>
      </c>
      <c r="BV18" s="231">
        <v>0</v>
      </c>
      <c r="BW18" s="231">
        <v>37196.556600000004</v>
      </c>
      <c r="BX18" s="231">
        <v>0</v>
      </c>
      <c r="BY18" s="231">
        <v>37236.236799999999</v>
      </c>
      <c r="BZ18" s="231">
        <v>0</v>
      </c>
      <c r="CA18" s="231">
        <v>36620.022600000004</v>
      </c>
      <c r="CB18" s="414">
        <f t="shared" si="11"/>
        <v>155965.71620000002</v>
      </c>
      <c r="CC18" s="415">
        <f t="shared" si="12"/>
        <v>155965.71620000002</v>
      </c>
      <c r="CD18" s="300"/>
      <c r="CE18" s="414">
        <f t="shared" si="14"/>
        <v>0</v>
      </c>
      <c r="CF18" s="414">
        <f t="shared" si="15"/>
        <v>0</v>
      </c>
      <c r="CG18" s="414">
        <f t="shared" si="16"/>
        <v>0</v>
      </c>
      <c r="CH18" s="414">
        <f t="shared" si="17"/>
        <v>0</v>
      </c>
      <c r="CI18" s="416">
        <f t="shared" si="18"/>
        <v>0</v>
      </c>
      <c r="CJ18" s="414">
        <f t="shared" si="19"/>
        <v>1218804.263600003</v>
      </c>
      <c r="CK18" s="414">
        <f t="shared" si="20"/>
        <v>1023276.2218000049</v>
      </c>
      <c r="CL18" s="414">
        <f t="shared" si="21"/>
        <v>1132719.2016000059</v>
      </c>
      <c r="CM18" s="414">
        <f t="shared" si="22"/>
        <v>1153498.4650000047</v>
      </c>
      <c r="CN18" s="416">
        <f t="shared" si="23"/>
        <v>4528298.1520000184</v>
      </c>
      <c r="CO18" s="414">
        <f t="shared" si="24"/>
        <v>1218804.263600003</v>
      </c>
      <c r="CP18" s="414">
        <f t="shared" si="25"/>
        <v>1023276.2218000049</v>
      </c>
      <c r="CQ18" s="414">
        <f t="shared" si="26"/>
        <v>1132719.2016000059</v>
      </c>
      <c r="CR18" s="414">
        <f t="shared" si="27"/>
        <v>1153498.4650000047</v>
      </c>
      <c r="CS18" s="416">
        <f t="shared" si="28"/>
        <v>4528298.1520000184</v>
      </c>
      <c r="CV18" s="319"/>
      <c r="CX18" s="319"/>
    </row>
    <row r="19" spans="1:131" ht="15.75" customHeight="1">
      <c r="A19" s="88" t="s">
        <v>1339</v>
      </c>
      <c r="B19" s="300"/>
      <c r="C19" s="231"/>
      <c r="D19" s="231"/>
      <c r="E19" s="231"/>
      <c r="F19" s="231"/>
      <c r="G19" s="231"/>
      <c r="H19" s="231"/>
      <c r="I19" s="231"/>
      <c r="J19" s="231"/>
      <c r="K19" s="412">
        <f t="shared" si="1"/>
        <v>0</v>
      </c>
      <c r="L19" s="417"/>
      <c r="M19" s="231">
        <v>662707</v>
      </c>
      <c r="N19" s="231">
        <v>0</v>
      </c>
      <c r="O19" s="231">
        <v>619343</v>
      </c>
      <c r="P19" s="231">
        <v>0</v>
      </c>
      <c r="Q19" s="231">
        <v>888559</v>
      </c>
      <c r="R19" s="231">
        <v>0</v>
      </c>
      <c r="S19" s="231">
        <v>988701</v>
      </c>
      <c r="T19" s="414">
        <f t="shared" si="2"/>
        <v>3159310</v>
      </c>
      <c r="U19" s="415">
        <f t="shared" si="3"/>
        <v>3159310</v>
      </c>
      <c r="V19" s="300"/>
      <c r="W19" s="231"/>
      <c r="X19" s="231"/>
      <c r="Y19" s="231"/>
      <c r="Z19" s="231"/>
      <c r="AA19" s="231"/>
      <c r="AB19" s="231"/>
      <c r="AC19" s="231"/>
      <c r="AD19" s="231"/>
      <c r="AE19" s="412">
        <f t="shared" si="4"/>
        <v>0</v>
      </c>
      <c r="AF19" s="417"/>
      <c r="AG19" s="231">
        <v>249483</v>
      </c>
      <c r="AH19" s="231">
        <v>0</v>
      </c>
      <c r="AI19" s="231">
        <v>172412</v>
      </c>
      <c r="AJ19" s="231">
        <v>0</v>
      </c>
      <c r="AK19" s="231">
        <v>187686</v>
      </c>
      <c r="AL19" s="231">
        <v>0</v>
      </c>
      <c r="AM19" s="231">
        <v>196721</v>
      </c>
      <c r="AN19" s="414">
        <f t="shared" si="5"/>
        <v>806302</v>
      </c>
      <c r="AO19" s="415">
        <f t="shared" si="6"/>
        <v>806302</v>
      </c>
      <c r="AP19" s="300"/>
      <c r="AQ19" s="231"/>
      <c r="AR19" s="231"/>
      <c r="AS19" s="231"/>
      <c r="AT19" s="231"/>
      <c r="AU19" s="231"/>
      <c r="AV19" s="231"/>
      <c r="AW19" s="231"/>
      <c r="AX19" s="231"/>
      <c r="AY19" s="412">
        <f t="shared" si="7"/>
        <v>0</v>
      </c>
      <c r="AZ19" s="417">
        <v>0</v>
      </c>
      <c r="BA19" s="231">
        <v>6110109</v>
      </c>
      <c r="BB19" s="231">
        <v>0</v>
      </c>
      <c r="BC19" s="231">
        <v>5857420</v>
      </c>
      <c r="BD19" s="231">
        <v>0</v>
      </c>
      <c r="BE19" s="231">
        <v>6372138</v>
      </c>
      <c r="BF19" s="231">
        <v>0</v>
      </c>
      <c r="BG19" s="231">
        <v>6531300</v>
      </c>
      <c r="BH19" s="414">
        <f t="shared" si="8"/>
        <v>24870967</v>
      </c>
      <c r="BI19" s="415">
        <f t="shared" si="9"/>
        <v>24870967</v>
      </c>
      <c r="BJ19" s="300"/>
      <c r="BK19" s="231"/>
      <c r="BL19" s="231"/>
      <c r="BM19" s="231"/>
      <c r="BN19" s="231"/>
      <c r="BO19" s="231"/>
      <c r="BP19" s="231"/>
      <c r="BQ19" s="231"/>
      <c r="BR19" s="231"/>
      <c r="BS19" s="412">
        <f t="shared" si="10"/>
        <v>0</v>
      </c>
      <c r="BT19" s="417">
        <v>0</v>
      </c>
      <c r="BU19" s="231">
        <v>173603</v>
      </c>
      <c r="BV19" s="231">
        <v>0</v>
      </c>
      <c r="BW19" s="231">
        <v>150475</v>
      </c>
      <c r="BX19" s="231">
        <v>0</v>
      </c>
      <c r="BY19" s="231">
        <v>162212</v>
      </c>
      <c r="BZ19" s="231">
        <v>0</v>
      </c>
      <c r="CA19" s="231">
        <v>153725</v>
      </c>
      <c r="CB19" s="414">
        <f t="shared" si="11"/>
        <v>640015</v>
      </c>
      <c r="CC19" s="415">
        <f t="shared" si="12"/>
        <v>640015</v>
      </c>
      <c r="CD19" s="300"/>
      <c r="CE19" s="414">
        <f t="shared" si="14"/>
        <v>0</v>
      </c>
      <c r="CF19" s="414">
        <f t="shared" si="15"/>
        <v>0</v>
      </c>
      <c r="CG19" s="414">
        <f t="shared" si="16"/>
        <v>0</v>
      </c>
      <c r="CH19" s="414">
        <f t="shared" si="17"/>
        <v>0</v>
      </c>
      <c r="CI19" s="416">
        <f t="shared" si="18"/>
        <v>0</v>
      </c>
      <c r="CJ19" s="414">
        <f t="shared" si="19"/>
        <v>7195902</v>
      </c>
      <c r="CK19" s="414">
        <f t="shared" si="20"/>
        <v>6799650</v>
      </c>
      <c r="CL19" s="414">
        <f t="shared" si="21"/>
        <v>7610595</v>
      </c>
      <c r="CM19" s="414">
        <f t="shared" si="22"/>
        <v>7870447</v>
      </c>
      <c r="CN19" s="416">
        <f t="shared" si="23"/>
        <v>29476594</v>
      </c>
      <c r="CO19" s="414">
        <f t="shared" si="24"/>
        <v>7195902</v>
      </c>
      <c r="CP19" s="414">
        <f t="shared" si="25"/>
        <v>6799650</v>
      </c>
      <c r="CQ19" s="414">
        <f t="shared" si="26"/>
        <v>7610595</v>
      </c>
      <c r="CR19" s="414">
        <f t="shared" si="27"/>
        <v>7870447</v>
      </c>
      <c r="CS19" s="416">
        <f t="shared" si="28"/>
        <v>29476594</v>
      </c>
    </row>
    <row r="20" spans="1:131" ht="15.75" customHeight="1">
      <c r="A20" s="135" t="s">
        <v>173</v>
      </c>
      <c r="B20" s="300">
        <v>2</v>
      </c>
      <c r="C20" s="232">
        <f t="shared" ref="C20:J20" si="29">SUM(C17:C19)</f>
        <v>0</v>
      </c>
      <c r="D20" s="232">
        <f t="shared" si="29"/>
        <v>0</v>
      </c>
      <c r="E20" s="232">
        <f t="shared" si="29"/>
        <v>0</v>
      </c>
      <c r="F20" s="232">
        <f t="shared" si="29"/>
        <v>0</v>
      </c>
      <c r="G20" s="232">
        <f t="shared" si="29"/>
        <v>0</v>
      </c>
      <c r="H20" s="232">
        <f t="shared" si="29"/>
        <v>0</v>
      </c>
      <c r="I20" s="232">
        <f t="shared" si="29"/>
        <v>0</v>
      </c>
      <c r="J20" s="232">
        <f t="shared" si="29"/>
        <v>0</v>
      </c>
      <c r="K20" s="412">
        <f t="shared" si="1"/>
        <v>0</v>
      </c>
      <c r="L20" s="418">
        <f t="shared" ref="L20:S20" si="30">SUM(L17:L19)</f>
        <v>0</v>
      </c>
      <c r="M20" s="232">
        <f t="shared" si="30"/>
        <v>5667307.4077999806</v>
      </c>
      <c r="N20" s="232">
        <f t="shared" si="30"/>
        <v>0</v>
      </c>
      <c r="O20" s="232">
        <f t="shared" si="30"/>
        <v>5125978.0364000015</v>
      </c>
      <c r="P20" s="232">
        <f t="shared" si="30"/>
        <v>0</v>
      </c>
      <c r="Q20" s="232">
        <f t="shared" si="30"/>
        <v>5853147.3209999725</v>
      </c>
      <c r="R20" s="232">
        <f t="shared" si="30"/>
        <v>0</v>
      </c>
      <c r="S20" s="232">
        <f t="shared" si="30"/>
        <v>5968024.3069999916</v>
      </c>
      <c r="T20" s="414">
        <f t="shared" si="2"/>
        <v>22614457.072199948</v>
      </c>
      <c r="U20" s="415">
        <f t="shared" si="3"/>
        <v>22614457.072199948</v>
      </c>
      <c r="V20" s="300">
        <v>2</v>
      </c>
      <c r="W20" s="232">
        <f t="shared" ref="W20:AD20" si="31">SUM(W17:W19)</f>
        <v>0</v>
      </c>
      <c r="X20" s="232">
        <f t="shared" si="31"/>
        <v>0</v>
      </c>
      <c r="Y20" s="232">
        <f t="shared" si="31"/>
        <v>0</v>
      </c>
      <c r="Z20" s="232">
        <f t="shared" si="31"/>
        <v>0</v>
      </c>
      <c r="AA20" s="232">
        <f t="shared" si="31"/>
        <v>0</v>
      </c>
      <c r="AB20" s="232">
        <f t="shared" si="31"/>
        <v>0</v>
      </c>
      <c r="AC20" s="232">
        <f t="shared" si="31"/>
        <v>0</v>
      </c>
      <c r="AD20" s="232">
        <f t="shared" si="31"/>
        <v>0</v>
      </c>
      <c r="AE20" s="412">
        <f t="shared" si="4"/>
        <v>0</v>
      </c>
      <c r="AF20" s="418">
        <f t="shared" ref="AF20:AM20" si="32">SUM(AF17:AF19)</f>
        <v>0</v>
      </c>
      <c r="AG20" s="232">
        <f t="shared" si="32"/>
        <v>1759318.8925999997</v>
      </c>
      <c r="AH20" s="232">
        <f t="shared" si="32"/>
        <v>0</v>
      </c>
      <c r="AI20" s="232">
        <f t="shared" si="32"/>
        <v>1397651.2767999999</v>
      </c>
      <c r="AJ20" s="232">
        <f t="shared" si="32"/>
        <v>0</v>
      </c>
      <c r="AK20" s="232">
        <f t="shared" si="32"/>
        <v>1498728.9219999998</v>
      </c>
      <c r="AL20" s="232">
        <f t="shared" si="32"/>
        <v>0</v>
      </c>
      <c r="AM20" s="232">
        <f t="shared" si="32"/>
        <v>1501879.0807999999</v>
      </c>
      <c r="AN20" s="414">
        <f t="shared" si="5"/>
        <v>6157578.172199999</v>
      </c>
      <c r="AO20" s="415">
        <f t="shared" si="6"/>
        <v>6157578.172199999</v>
      </c>
      <c r="AP20" s="300">
        <v>2</v>
      </c>
      <c r="AQ20" s="232">
        <f t="shared" ref="AQ20:AX20" si="33">SUM(AQ17:AQ19)</f>
        <v>0</v>
      </c>
      <c r="AR20" s="232">
        <f t="shared" si="33"/>
        <v>0</v>
      </c>
      <c r="AS20" s="232">
        <f t="shared" si="33"/>
        <v>0</v>
      </c>
      <c r="AT20" s="232">
        <f t="shared" si="33"/>
        <v>0</v>
      </c>
      <c r="AU20" s="232">
        <f t="shared" si="33"/>
        <v>0</v>
      </c>
      <c r="AV20" s="232">
        <f t="shared" si="33"/>
        <v>0</v>
      </c>
      <c r="AW20" s="232">
        <f t="shared" si="33"/>
        <v>0</v>
      </c>
      <c r="AX20" s="232">
        <f t="shared" si="33"/>
        <v>0</v>
      </c>
      <c r="AY20" s="412">
        <f t="shared" si="7"/>
        <v>0</v>
      </c>
      <c r="AZ20" s="418">
        <f t="shared" ref="AZ20:BG20" si="34">SUM(AZ17:AZ19)</f>
        <v>0</v>
      </c>
      <c r="BA20" s="232">
        <f t="shared" si="34"/>
        <v>43361611.602999695</v>
      </c>
      <c r="BB20" s="232">
        <f t="shared" si="34"/>
        <v>0</v>
      </c>
      <c r="BC20" s="232">
        <f t="shared" si="34"/>
        <v>36642097.809199303</v>
      </c>
      <c r="BD20" s="232">
        <f t="shared" si="34"/>
        <v>0</v>
      </c>
      <c r="BE20" s="232">
        <f t="shared" si="34"/>
        <v>41708563.205200002</v>
      </c>
      <c r="BF20" s="232">
        <f t="shared" si="34"/>
        <v>0</v>
      </c>
      <c r="BG20" s="232">
        <f t="shared" si="34"/>
        <v>42453006.910599902</v>
      </c>
      <c r="BH20" s="414">
        <f t="shared" si="8"/>
        <v>164165279.52799889</v>
      </c>
      <c r="BI20" s="415">
        <f t="shared" si="9"/>
        <v>164165279.52799889</v>
      </c>
      <c r="BJ20" s="300">
        <v>2</v>
      </c>
      <c r="BK20" s="232">
        <f t="shared" ref="BK20:BR20" si="35">SUM(BK17:BK19)</f>
        <v>0</v>
      </c>
      <c r="BL20" s="232">
        <f t="shared" si="35"/>
        <v>0</v>
      </c>
      <c r="BM20" s="232">
        <f t="shared" si="35"/>
        <v>0</v>
      </c>
      <c r="BN20" s="232">
        <f t="shared" si="35"/>
        <v>0</v>
      </c>
      <c r="BO20" s="232">
        <f t="shared" si="35"/>
        <v>0</v>
      </c>
      <c r="BP20" s="232">
        <f t="shared" si="35"/>
        <v>0</v>
      </c>
      <c r="BQ20" s="232">
        <f t="shared" si="35"/>
        <v>0</v>
      </c>
      <c r="BR20" s="232">
        <f t="shared" si="35"/>
        <v>0</v>
      </c>
      <c r="BS20" s="412">
        <f t="shared" si="10"/>
        <v>0</v>
      </c>
      <c r="BT20" s="418">
        <f t="shared" ref="BT20:CA20" si="36">SUM(BT17:BT19)</f>
        <v>0</v>
      </c>
      <c r="BU20" s="232">
        <f t="shared" si="36"/>
        <v>1559684.081</v>
      </c>
      <c r="BV20" s="232">
        <f t="shared" si="36"/>
        <v>0</v>
      </c>
      <c r="BW20" s="232">
        <f t="shared" si="36"/>
        <v>1341534.9246</v>
      </c>
      <c r="BX20" s="232">
        <f t="shared" si="36"/>
        <v>0</v>
      </c>
      <c r="BY20" s="232">
        <f t="shared" si="36"/>
        <v>1478985.9620000001</v>
      </c>
      <c r="BZ20" s="232">
        <f t="shared" si="36"/>
        <v>0</v>
      </c>
      <c r="CA20" s="232">
        <f t="shared" si="36"/>
        <v>1671354.9697999998</v>
      </c>
      <c r="CB20" s="414">
        <f t="shared" si="11"/>
        <v>6051559.9374000002</v>
      </c>
      <c r="CC20" s="415">
        <f t="shared" si="12"/>
        <v>6051559.9374000002</v>
      </c>
      <c r="CD20" s="300">
        <v>2</v>
      </c>
      <c r="CE20" s="414">
        <f t="shared" si="14"/>
        <v>0</v>
      </c>
      <c r="CF20" s="414">
        <f t="shared" si="15"/>
        <v>0</v>
      </c>
      <c r="CG20" s="414">
        <f t="shared" si="16"/>
        <v>0</v>
      </c>
      <c r="CH20" s="414">
        <f t="shared" si="17"/>
        <v>0</v>
      </c>
      <c r="CI20" s="416">
        <f t="shared" si="18"/>
        <v>0</v>
      </c>
      <c r="CJ20" s="414">
        <f t="shared" si="19"/>
        <v>52347921.984399676</v>
      </c>
      <c r="CK20" s="414">
        <f t="shared" si="20"/>
        <v>44507262.046999305</v>
      </c>
      <c r="CL20" s="414">
        <f t="shared" si="21"/>
        <v>50539425.41019997</v>
      </c>
      <c r="CM20" s="414">
        <f t="shared" si="22"/>
        <v>51594265.268199898</v>
      </c>
      <c r="CN20" s="416">
        <f t="shared" si="23"/>
        <v>198988874.70979884</v>
      </c>
      <c r="CO20" s="414">
        <f t="shared" si="24"/>
        <v>52347921.984399676</v>
      </c>
      <c r="CP20" s="414">
        <f t="shared" si="25"/>
        <v>44507262.046999305</v>
      </c>
      <c r="CQ20" s="414">
        <f t="shared" si="26"/>
        <v>50539425.41019997</v>
      </c>
      <c r="CR20" s="414">
        <f t="shared" si="27"/>
        <v>51594265.268199898</v>
      </c>
      <c r="CS20" s="416">
        <f t="shared" si="28"/>
        <v>198988874.70979884</v>
      </c>
      <c r="CT20" s="319"/>
      <c r="CU20" s="319"/>
      <c r="CV20" s="319"/>
      <c r="CW20" s="319"/>
      <c r="CX20" s="319"/>
    </row>
    <row r="21" spans="1:131" ht="15.75" customHeight="1">
      <c r="A21" s="88" t="s">
        <v>175</v>
      </c>
      <c r="B21" s="300">
        <v>3</v>
      </c>
      <c r="C21" s="231"/>
      <c r="D21" s="231"/>
      <c r="E21" s="231"/>
      <c r="F21" s="231"/>
      <c r="G21" s="231"/>
      <c r="H21" s="231"/>
      <c r="I21" s="231"/>
      <c r="J21" s="231"/>
      <c r="K21" s="412">
        <f t="shared" si="1"/>
        <v>0</v>
      </c>
      <c r="L21" s="417"/>
      <c r="M21" s="231"/>
      <c r="N21" s="231"/>
      <c r="O21" s="231"/>
      <c r="P21" s="231"/>
      <c r="Q21" s="231"/>
      <c r="R21" s="231"/>
      <c r="S21" s="231"/>
      <c r="T21" s="414">
        <f t="shared" si="2"/>
        <v>0</v>
      </c>
      <c r="U21" s="415">
        <f t="shared" si="3"/>
        <v>0</v>
      </c>
      <c r="V21" s="300">
        <v>3</v>
      </c>
      <c r="W21" s="231"/>
      <c r="X21" s="231"/>
      <c r="Y21" s="231"/>
      <c r="Z21" s="231"/>
      <c r="AA21" s="231"/>
      <c r="AB21" s="231"/>
      <c r="AC21" s="231"/>
      <c r="AD21" s="231"/>
      <c r="AE21" s="412">
        <f t="shared" si="4"/>
        <v>0</v>
      </c>
      <c r="AF21" s="417"/>
      <c r="AG21" s="231"/>
      <c r="AH21" s="231"/>
      <c r="AI21" s="231"/>
      <c r="AJ21" s="231"/>
      <c r="AK21" s="231"/>
      <c r="AL21" s="231"/>
      <c r="AM21" s="231"/>
      <c r="AN21" s="414">
        <f t="shared" si="5"/>
        <v>0</v>
      </c>
      <c r="AO21" s="415">
        <f t="shared" si="6"/>
        <v>0</v>
      </c>
      <c r="AP21" s="300">
        <v>3</v>
      </c>
      <c r="AQ21" s="231"/>
      <c r="AR21" s="231"/>
      <c r="AS21" s="231"/>
      <c r="AT21" s="231"/>
      <c r="AU21" s="231"/>
      <c r="AV21" s="231"/>
      <c r="AW21" s="231"/>
      <c r="AX21" s="231"/>
      <c r="AY21" s="412">
        <f t="shared" si="7"/>
        <v>0</v>
      </c>
      <c r="AZ21" s="417"/>
      <c r="BA21" s="231"/>
      <c r="BB21" s="231"/>
      <c r="BC21" s="231"/>
      <c r="BD21" s="231"/>
      <c r="BE21" s="231"/>
      <c r="BF21" s="231"/>
      <c r="BG21" s="231"/>
      <c r="BH21" s="414">
        <f t="shared" si="8"/>
        <v>0</v>
      </c>
      <c r="BI21" s="415">
        <f t="shared" si="9"/>
        <v>0</v>
      </c>
      <c r="BJ21" s="300">
        <v>3</v>
      </c>
      <c r="BK21" s="231"/>
      <c r="BL21" s="231"/>
      <c r="BM21" s="231"/>
      <c r="BN21" s="231"/>
      <c r="BO21" s="231"/>
      <c r="BP21" s="231"/>
      <c r="BQ21" s="231"/>
      <c r="BR21" s="231"/>
      <c r="BS21" s="412">
        <f t="shared" si="10"/>
        <v>0</v>
      </c>
      <c r="BT21" s="417"/>
      <c r="BU21" s="231"/>
      <c r="BV21" s="231"/>
      <c r="BW21" s="231"/>
      <c r="BX21" s="231"/>
      <c r="BY21" s="231"/>
      <c r="BZ21" s="231"/>
      <c r="CA21" s="231"/>
      <c r="CB21" s="414">
        <f t="shared" si="11"/>
        <v>0</v>
      </c>
      <c r="CC21" s="415">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28"/>
        <v>0</v>
      </c>
      <c r="CT21" s="319"/>
      <c r="CV21" s="319"/>
      <c r="CX21" s="319"/>
    </row>
    <row r="22" spans="1:131" ht="15.75" customHeight="1">
      <c r="A22" s="88" t="s">
        <v>177</v>
      </c>
      <c r="B22" s="300">
        <v>4</v>
      </c>
      <c r="C22" s="231">
        <v>0</v>
      </c>
      <c r="D22" s="231">
        <v>0</v>
      </c>
      <c r="E22" s="231">
        <v>0</v>
      </c>
      <c r="F22" s="231">
        <v>0</v>
      </c>
      <c r="G22" s="231">
        <v>0</v>
      </c>
      <c r="H22" s="231">
        <v>0</v>
      </c>
      <c r="I22" s="231">
        <v>0</v>
      </c>
      <c r="J22" s="231">
        <v>0</v>
      </c>
      <c r="K22" s="412">
        <f t="shared" si="1"/>
        <v>0</v>
      </c>
      <c r="L22" s="417">
        <v>0</v>
      </c>
      <c r="M22" s="231">
        <v>96164.989167421329</v>
      </c>
      <c r="N22" s="231">
        <v>0</v>
      </c>
      <c r="O22" s="231">
        <v>71811.659204606985</v>
      </c>
      <c r="P22" s="231">
        <v>0</v>
      </c>
      <c r="Q22" s="231">
        <v>82084.166488148272</v>
      </c>
      <c r="R22" s="231">
        <v>0</v>
      </c>
      <c r="S22" s="231">
        <v>80003.468446450177</v>
      </c>
      <c r="T22" s="414">
        <f t="shared" si="2"/>
        <v>330064.28330662678</v>
      </c>
      <c r="U22" s="415">
        <f t="shared" si="3"/>
        <v>330064.28330662678</v>
      </c>
      <c r="V22" s="300">
        <v>4</v>
      </c>
      <c r="W22" s="231">
        <v>0</v>
      </c>
      <c r="X22" s="231">
        <v>0</v>
      </c>
      <c r="Y22" s="231">
        <v>0</v>
      </c>
      <c r="Z22" s="231">
        <v>0</v>
      </c>
      <c r="AA22" s="231">
        <v>0</v>
      </c>
      <c r="AB22" s="231">
        <v>0</v>
      </c>
      <c r="AC22" s="231">
        <v>0</v>
      </c>
      <c r="AD22" s="231">
        <v>0</v>
      </c>
      <c r="AE22" s="412">
        <f t="shared" si="4"/>
        <v>0</v>
      </c>
      <c r="AF22" s="417">
        <v>0</v>
      </c>
      <c r="AG22" s="231">
        <v>33839.5988176268</v>
      </c>
      <c r="AH22" s="231">
        <v>0</v>
      </c>
      <c r="AI22" s="231">
        <v>25719.396121594225</v>
      </c>
      <c r="AJ22" s="231">
        <v>0</v>
      </c>
      <c r="AK22" s="231">
        <v>27836.902848877005</v>
      </c>
      <c r="AL22" s="231">
        <v>0</v>
      </c>
      <c r="AM22" s="231">
        <v>28096.845248535254</v>
      </c>
      <c r="AN22" s="414">
        <f t="shared" si="5"/>
        <v>115492.74303663327</v>
      </c>
      <c r="AO22" s="415">
        <f t="shared" si="6"/>
        <v>115492.74303663327</v>
      </c>
      <c r="AP22" s="300">
        <v>4</v>
      </c>
      <c r="AQ22" s="231">
        <v>0</v>
      </c>
      <c r="AR22" s="231">
        <v>0</v>
      </c>
      <c r="AS22" s="231">
        <v>0</v>
      </c>
      <c r="AT22" s="231">
        <v>0</v>
      </c>
      <c r="AU22" s="231">
        <v>0</v>
      </c>
      <c r="AV22" s="231">
        <v>0</v>
      </c>
      <c r="AW22" s="231">
        <v>0</v>
      </c>
      <c r="AX22" s="231">
        <v>0</v>
      </c>
      <c r="AY22" s="412">
        <f t="shared" si="7"/>
        <v>0</v>
      </c>
      <c r="AZ22" s="417">
        <v>0</v>
      </c>
      <c r="BA22" s="231">
        <v>646075.18499554961</v>
      </c>
      <c r="BB22" s="231">
        <v>0</v>
      </c>
      <c r="BC22" s="231">
        <v>554425.21652045264</v>
      </c>
      <c r="BD22" s="231">
        <v>0</v>
      </c>
      <c r="BE22" s="231">
        <v>614190.72784554923</v>
      </c>
      <c r="BF22" s="231">
        <v>0</v>
      </c>
      <c r="BG22" s="231">
        <v>630191.01513191906</v>
      </c>
      <c r="BH22" s="414">
        <f t="shared" si="8"/>
        <v>2444882.1444934704</v>
      </c>
      <c r="BI22" s="415">
        <f t="shared" si="9"/>
        <v>2444882.1444934704</v>
      </c>
      <c r="BJ22" s="300">
        <v>4</v>
      </c>
      <c r="BK22" s="231">
        <v>0</v>
      </c>
      <c r="BL22" s="231">
        <v>0</v>
      </c>
      <c r="BM22" s="231">
        <v>0</v>
      </c>
      <c r="BN22" s="231">
        <v>0</v>
      </c>
      <c r="BO22" s="231">
        <v>0</v>
      </c>
      <c r="BP22" s="231">
        <v>0</v>
      </c>
      <c r="BQ22" s="231">
        <v>0</v>
      </c>
      <c r="BR22" s="231">
        <v>0</v>
      </c>
      <c r="BS22" s="412">
        <f t="shared" si="10"/>
        <v>0</v>
      </c>
      <c r="BT22" s="417">
        <v>0</v>
      </c>
      <c r="BU22" s="231">
        <v>29741.732073805219</v>
      </c>
      <c r="BV22" s="231">
        <v>0</v>
      </c>
      <c r="BW22" s="231">
        <v>24624.567026685781</v>
      </c>
      <c r="BX22" s="231">
        <v>0</v>
      </c>
      <c r="BY22" s="231">
        <v>24629.674492926963</v>
      </c>
      <c r="BZ22" s="231">
        <v>0</v>
      </c>
      <c r="CA22" s="231">
        <v>24184.222912341997</v>
      </c>
      <c r="CB22" s="414">
        <f t="shared" si="11"/>
        <v>103180.19650575996</v>
      </c>
      <c r="CC22" s="415">
        <f t="shared" si="12"/>
        <v>103180.19650575996</v>
      </c>
      <c r="CD22" s="300">
        <v>4</v>
      </c>
      <c r="CE22" s="414">
        <f t="shared" si="14"/>
        <v>0</v>
      </c>
      <c r="CF22" s="414">
        <f t="shared" si="15"/>
        <v>0</v>
      </c>
      <c r="CG22" s="414">
        <f t="shared" si="16"/>
        <v>0</v>
      </c>
      <c r="CH22" s="414">
        <f t="shared" si="17"/>
        <v>0</v>
      </c>
      <c r="CI22" s="416">
        <f t="shared" si="18"/>
        <v>0</v>
      </c>
      <c r="CJ22" s="414">
        <f t="shared" si="19"/>
        <v>805821.50505440298</v>
      </c>
      <c r="CK22" s="414">
        <f t="shared" si="20"/>
        <v>676580.8388733397</v>
      </c>
      <c r="CL22" s="414">
        <f t="shared" si="21"/>
        <v>748741.47167550144</v>
      </c>
      <c r="CM22" s="414">
        <f t="shared" si="22"/>
        <v>762475.55173924658</v>
      </c>
      <c r="CN22" s="416">
        <f t="shared" si="23"/>
        <v>2993619.3673424902</v>
      </c>
      <c r="CO22" s="414">
        <f t="shared" si="24"/>
        <v>805821.50505440298</v>
      </c>
      <c r="CP22" s="414">
        <f t="shared" si="25"/>
        <v>676580.8388733397</v>
      </c>
      <c r="CQ22" s="414">
        <f t="shared" si="26"/>
        <v>748741.47167550144</v>
      </c>
      <c r="CR22" s="414">
        <f t="shared" si="27"/>
        <v>762475.55173924658</v>
      </c>
      <c r="CS22" s="416">
        <f t="shared" si="28"/>
        <v>2993619.3673424902</v>
      </c>
      <c r="CT22" s="319"/>
      <c r="CV22" s="319"/>
      <c r="CX22" s="319"/>
    </row>
    <row r="23" spans="1:131" ht="15.75" customHeight="1">
      <c r="A23" s="135" t="s">
        <v>179</v>
      </c>
      <c r="B23" s="300">
        <v>5</v>
      </c>
      <c r="C23" s="137">
        <f t="shared" ref="C23:J23" si="37">C16+C20+C21+C22</f>
        <v>1150310.16000003</v>
      </c>
      <c r="D23" s="137">
        <f t="shared" si="37"/>
        <v>2182936.6300002402</v>
      </c>
      <c r="E23" s="137">
        <f t="shared" si="37"/>
        <v>1179626.8000000301</v>
      </c>
      <c r="F23" s="137">
        <f t="shared" si="37"/>
        <v>2262790.2400002601</v>
      </c>
      <c r="G23" s="137">
        <f t="shared" si="37"/>
        <v>1198554.91000004</v>
      </c>
      <c r="H23" s="137">
        <f t="shared" si="37"/>
        <v>2366909.6300002802</v>
      </c>
      <c r="I23" s="137">
        <f t="shared" si="37"/>
        <v>1255821.25000004</v>
      </c>
      <c r="J23" s="137">
        <f t="shared" si="37"/>
        <v>2384815.89000028</v>
      </c>
      <c r="K23" s="412">
        <f t="shared" si="1"/>
        <v>13981765.510001201</v>
      </c>
      <c r="L23" s="217">
        <f t="shared" ref="L23:S23" si="38">L16+L20+L21+L22</f>
        <v>0</v>
      </c>
      <c r="M23" s="137">
        <f t="shared" si="38"/>
        <v>5763472.3969674017</v>
      </c>
      <c r="N23" s="137">
        <f t="shared" si="38"/>
        <v>0</v>
      </c>
      <c r="O23" s="137">
        <f t="shared" si="38"/>
        <v>5197789.6956046084</v>
      </c>
      <c r="P23" s="137">
        <f t="shared" si="38"/>
        <v>0</v>
      </c>
      <c r="Q23" s="137">
        <f t="shared" si="38"/>
        <v>5935231.4874881208</v>
      </c>
      <c r="R23" s="137">
        <f t="shared" si="38"/>
        <v>0</v>
      </c>
      <c r="S23" s="137">
        <f t="shared" si="38"/>
        <v>6048027.775446442</v>
      </c>
      <c r="T23" s="414">
        <f t="shared" si="2"/>
        <v>22944521.355506573</v>
      </c>
      <c r="U23" s="217">
        <f t="shared" si="3"/>
        <v>36926286.865507774</v>
      </c>
      <c r="V23" s="300">
        <v>5</v>
      </c>
      <c r="W23" s="137">
        <f t="shared" ref="W23:AD23" si="39">W16+W20+W21+W22</f>
        <v>175913.24</v>
      </c>
      <c r="X23" s="137">
        <f t="shared" si="39"/>
        <v>994432.38000001898</v>
      </c>
      <c r="Y23" s="137">
        <f t="shared" si="39"/>
        <v>182877.91</v>
      </c>
      <c r="Z23" s="137">
        <f t="shared" si="39"/>
        <v>947873.12000001804</v>
      </c>
      <c r="AA23" s="137">
        <f t="shared" si="39"/>
        <v>170453.61</v>
      </c>
      <c r="AB23" s="137">
        <f t="shared" si="39"/>
        <v>967860.44000001904</v>
      </c>
      <c r="AC23" s="137">
        <f t="shared" si="39"/>
        <v>182047.53</v>
      </c>
      <c r="AD23" s="137">
        <f t="shared" si="39"/>
        <v>988270.23000001896</v>
      </c>
      <c r="AE23" s="412">
        <f t="shared" si="4"/>
        <v>4609728.4600000745</v>
      </c>
      <c r="AF23" s="217">
        <f t="shared" ref="AF23:AM23" si="40">AF16+AF20+AF21+AF22</f>
        <v>0</v>
      </c>
      <c r="AG23" s="137">
        <f t="shared" si="40"/>
        <v>1793158.4914176264</v>
      </c>
      <c r="AH23" s="137">
        <f t="shared" si="40"/>
        <v>0</v>
      </c>
      <c r="AI23" s="137">
        <f t="shared" si="40"/>
        <v>1423370.672921594</v>
      </c>
      <c r="AJ23" s="137">
        <f t="shared" si="40"/>
        <v>0</v>
      </c>
      <c r="AK23" s="137">
        <f t="shared" si="40"/>
        <v>1526565.8248488768</v>
      </c>
      <c r="AL23" s="137">
        <f t="shared" si="40"/>
        <v>0</v>
      </c>
      <c r="AM23" s="137">
        <f t="shared" si="40"/>
        <v>1529975.9260485352</v>
      </c>
      <c r="AN23" s="414">
        <f t="shared" si="5"/>
        <v>6273070.9152366323</v>
      </c>
      <c r="AO23" s="217">
        <f t="shared" si="6"/>
        <v>10882799.375236707</v>
      </c>
      <c r="AP23" s="300">
        <v>5</v>
      </c>
      <c r="AQ23" s="137">
        <f t="shared" ref="AQ23:AX23" si="41">AQ16+AQ20+AQ21+AQ22</f>
        <v>19124981.1299982</v>
      </c>
      <c r="AR23" s="137">
        <f t="shared" si="41"/>
        <v>43153124.270006403</v>
      </c>
      <c r="AS23" s="137">
        <f t="shared" si="41"/>
        <v>20472747.439998001</v>
      </c>
      <c r="AT23" s="137">
        <f t="shared" si="41"/>
        <v>45622910.810009398</v>
      </c>
      <c r="AU23" s="137">
        <f t="shared" si="41"/>
        <v>21613298.970000602</v>
      </c>
      <c r="AV23" s="137">
        <f t="shared" si="41"/>
        <v>48014921.9600171</v>
      </c>
      <c r="AW23" s="137">
        <f t="shared" si="41"/>
        <v>23461859.680001199</v>
      </c>
      <c r="AX23" s="137">
        <f t="shared" si="41"/>
        <v>50143961.830019899</v>
      </c>
      <c r="AY23" s="412">
        <f t="shared" si="7"/>
        <v>271607806.09005076</v>
      </c>
      <c r="AZ23" s="217">
        <f t="shared" ref="AZ23:BG23" si="42">AZ16+AZ20+AZ21+AZ22</f>
        <v>0</v>
      </c>
      <c r="BA23" s="137">
        <f t="shared" si="42"/>
        <v>44007686.787995242</v>
      </c>
      <c r="BB23" s="137">
        <f t="shared" si="42"/>
        <v>0</v>
      </c>
      <c r="BC23" s="137">
        <f t="shared" si="42"/>
        <v>37196523.025719754</v>
      </c>
      <c r="BD23" s="137">
        <f t="shared" si="42"/>
        <v>0</v>
      </c>
      <c r="BE23" s="137">
        <f t="shared" si="42"/>
        <v>42322753.933045551</v>
      </c>
      <c r="BF23" s="137">
        <f t="shared" si="42"/>
        <v>0</v>
      </c>
      <c r="BG23" s="137">
        <f t="shared" si="42"/>
        <v>43083197.925731823</v>
      </c>
      <c r="BH23" s="414">
        <f t="shared" si="8"/>
        <v>166610161.67249238</v>
      </c>
      <c r="BI23" s="217">
        <f t="shared" si="9"/>
        <v>438217967.76254314</v>
      </c>
      <c r="BJ23" s="300">
        <v>5</v>
      </c>
      <c r="BK23" s="137">
        <f t="shared" ref="BK23:BR23" si="43">BK16+BK20+BK21+BK22</f>
        <v>399595.91</v>
      </c>
      <c r="BL23" s="137">
        <f t="shared" si="43"/>
        <v>4107613.0700000003</v>
      </c>
      <c r="BM23" s="137">
        <f t="shared" si="43"/>
        <v>390213.18000000005</v>
      </c>
      <c r="BN23" s="137">
        <f t="shared" si="43"/>
        <v>3937954.92</v>
      </c>
      <c r="BO23" s="137">
        <f t="shared" si="43"/>
        <v>359389.77</v>
      </c>
      <c r="BP23" s="137">
        <f t="shared" si="43"/>
        <v>3827095.8800000008</v>
      </c>
      <c r="BQ23" s="137">
        <f t="shared" si="43"/>
        <v>403400.36</v>
      </c>
      <c r="BR23" s="137">
        <f t="shared" si="43"/>
        <v>4077910.0500000007</v>
      </c>
      <c r="BS23" s="412">
        <f t="shared" si="10"/>
        <v>17503173.140000001</v>
      </c>
      <c r="BT23" s="217">
        <f t="shared" ref="BT23:CA23" si="44">BT16+BT20+BT21+BT22</f>
        <v>0</v>
      </c>
      <c r="BU23" s="137">
        <f t="shared" si="44"/>
        <v>1589425.8130738053</v>
      </c>
      <c r="BV23" s="137">
        <f t="shared" si="44"/>
        <v>0</v>
      </c>
      <c r="BW23" s="137">
        <f t="shared" si="44"/>
        <v>1366159.4916266857</v>
      </c>
      <c r="BX23" s="137">
        <f t="shared" si="44"/>
        <v>0</v>
      </c>
      <c r="BY23" s="137">
        <f t="shared" si="44"/>
        <v>1503615.6364929271</v>
      </c>
      <c r="BZ23" s="137">
        <f t="shared" si="44"/>
        <v>0</v>
      </c>
      <c r="CA23" s="137">
        <f t="shared" si="44"/>
        <v>1695539.1927123419</v>
      </c>
      <c r="CB23" s="414">
        <f t="shared" si="11"/>
        <v>6154740.1339057609</v>
      </c>
      <c r="CC23" s="217">
        <f t="shared" si="12"/>
        <v>23657913.273905762</v>
      </c>
      <c r="CD23" s="300">
        <v>5</v>
      </c>
      <c r="CE23" s="414">
        <f t="shared" si="14"/>
        <v>71288906.790004879</v>
      </c>
      <c r="CF23" s="414">
        <f t="shared" si="15"/>
        <v>74996994.420007721</v>
      </c>
      <c r="CG23" s="414">
        <f t="shared" si="16"/>
        <v>78518485.170018032</v>
      </c>
      <c r="CH23" s="414">
        <f t="shared" si="17"/>
        <v>82898086.820021436</v>
      </c>
      <c r="CI23" s="416">
        <f t="shared" si="18"/>
        <v>307702473.20005202</v>
      </c>
      <c r="CJ23" s="414">
        <f t="shared" si="19"/>
        <v>53153743.489454076</v>
      </c>
      <c r="CK23" s="414">
        <f t="shared" si="20"/>
        <v>45183842.885872647</v>
      </c>
      <c r="CL23" s="414">
        <f t="shared" si="21"/>
        <v>51288166.881875478</v>
      </c>
      <c r="CM23" s="414">
        <f t="shared" si="22"/>
        <v>52356740.819939144</v>
      </c>
      <c r="CN23" s="416">
        <f t="shared" si="23"/>
        <v>201982494.07714134</v>
      </c>
      <c r="CO23" s="414">
        <f t="shared" si="24"/>
        <v>124442650.27945895</v>
      </c>
      <c r="CP23" s="414">
        <f t="shared" si="25"/>
        <v>120180837.30588035</v>
      </c>
      <c r="CQ23" s="414">
        <f t="shared" si="26"/>
        <v>129806652.0518935</v>
      </c>
      <c r="CR23" s="414">
        <f t="shared" si="27"/>
        <v>135254827.63996059</v>
      </c>
      <c r="CS23" s="416">
        <f t="shared" si="28"/>
        <v>509684967.27719337</v>
      </c>
      <c r="CT23" s="319"/>
      <c r="CV23" s="319"/>
      <c r="CX23" s="319"/>
    </row>
    <row r="24" spans="1:131" ht="15.75" customHeight="1">
      <c r="A24" s="135" t="s">
        <v>1340</v>
      </c>
      <c r="B24" s="193"/>
      <c r="C24" s="178"/>
      <c r="D24" s="178"/>
      <c r="E24" s="178"/>
      <c r="F24" s="178"/>
      <c r="G24" s="178"/>
      <c r="H24" s="178"/>
      <c r="I24" s="178"/>
      <c r="J24" s="178"/>
      <c r="K24" s="381"/>
      <c r="L24" s="382"/>
      <c r="M24" s="178"/>
      <c r="N24" s="178"/>
      <c r="O24" s="178"/>
      <c r="P24" s="178"/>
      <c r="Q24" s="178"/>
      <c r="R24" s="178"/>
      <c r="S24" s="178"/>
      <c r="T24" s="178"/>
      <c r="U24" s="382"/>
      <c r="V24" s="193"/>
      <c r="W24" s="178"/>
      <c r="X24" s="178"/>
      <c r="Y24" s="178"/>
      <c r="Z24" s="178"/>
      <c r="AA24" s="178"/>
      <c r="AB24" s="178"/>
      <c r="AC24" s="178"/>
      <c r="AD24" s="178"/>
      <c r="AE24" s="381"/>
      <c r="AF24" s="382"/>
      <c r="AG24" s="178"/>
      <c r="AH24" s="178"/>
      <c r="AI24" s="178"/>
      <c r="AJ24" s="178"/>
      <c r="AK24" s="178"/>
      <c r="AL24" s="178"/>
      <c r="AM24" s="178"/>
      <c r="AN24" s="178"/>
      <c r="AO24" s="382"/>
      <c r="AP24" s="193"/>
      <c r="AQ24" s="178"/>
      <c r="AR24" s="178"/>
      <c r="AS24" s="178"/>
      <c r="AT24" s="178"/>
      <c r="AU24" s="178"/>
      <c r="AV24" s="178"/>
      <c r="AW24" s="178"/>
      <c r="AX24" s="178"/>
      <c r="AY24" s="381"/>
      <c r="AZ24" s="382"/>
      <c r="BA24" s="178"/>
      <c r="BB24" s="178"/>
      <c r="BC24" s="178"/>
      <c r="BD24" s="178"/>
      <c r="BE24" s="178"/>
      <c r="BF24" s="178"/>
      <c r="BG24" s="178"/>
      <c r="BH24" s="178"/>
      <c r="BI24" s="382"/>
      <c r="BJ24" s="193"/>
      <c r="BK24" s="178"/>
      <c r="BL24" s="178"/>
      <c r="BM24" s="178"/>
      <c r="BN24" s="178"/>
      <c r="BO24" s="178"/>
      <c r="BP24" s="178"/>
      <c r="BQ24" s="178"/>
      <c r="BR24" s="178"/>
      <c r="BS24" s="381"/>
      <c r="BT24" s="382"/>
      <c r="BU24" s="178"/>
      <c r="BV24" s="178"/>
      <c r="BW24" s="178"/>
      <c r="BX24" s="178"/>
      <c r="BY24" s="178"/>
      <c r="BZ24" s="178"/>
      <c r="CA24" s="178"/>
      <c r="CB24" s="178"/>
      <c r="CC24" s="382"/>
      <c r="CD24" s="193"/>
      <c r="CE24" s="178"/>
      <c r="CF24" s="178"/>
      <c r="CG24" s="178"/>
      <c r="CH24" s="178"/>
      <c r="CI24" s="419"/>
      <c r="CJ24" s="178"/>
      <c r="CK24" s="178"/>
      <c r="CL24" s="178"/>
      <c r="CM24" s="178"/>
      <c r="CN24" s="419"/>
      <c r="CO24" s="178"/>
      <c r="CP24" s="178"/>
      <c r="CQ24" s="178"/>
      <c r="CR24" s="178"/>
      <c r="CS24" s="419"/>
    </row>
    <row r="25" spans="1:131" ht="15.75" customHeight="1">
      <c r="A25" s="88" t="s">
        <v>181</v>
      </c>
      <c r="B25" s="300">
        <v>6</v>
      </c>
      <c r="C25" s="231"/>
      <c r="D25" s="231"/>
      <c r="E25" s="231"/>
      <c r="F25" s="231"/>
      <c r="G25" s="231"/>
      <c r="H25" s="231"/>
      <c r="I25" s="231"/>
      <c r="J25" s="231"/>
      <c r="K25" s="412">
        <f t="shared" ref="K25:K30" si="45">SUM(C25:J25)</f>
        <v>0</v>
      </c>
      <c r="L25" s="417"/>
      <c r="M25" s="231"/>
      <c r="N25" s="231"/>
      <c r="O25" s="231"/>
      <c r="P25" s="231"/>
      <c r="Q25" s="231"/>
      <c r="R25" s="231"/>
      <c r="S25" s="231"/>
      <c r="T25" s="414">
        <f t="shared" ref="T25:T30" si="46">SUM(L25:S25)</f>
        <v>0</v>
      </c>
      <c r="U25" s="415">
        <f t="shared" ref="U25:U30" si="47">SUM(K25,T25)</f>
        <v>0</v>
      </c>
      <c r="V25" s="300">
        <v>6</v>
      </c>
      <c r="W25" s="231"/>
      <c r="X25" s="231"/>
      <c r="Y25" s="231"/>
      <c r="Z25" s="231"/>
      <c r="AA25" s="231"/>
      <c r="AB25" s="231"/>
      <c r="AC25" s="231"/>
      <c r="AD25" s="231"/>
      <c r="AE25" s="412">
        <f t="shared" ref="AE25:AE30" si="48">SUM(W25:AD25)</f>
        <v>0</v>
      </c>
      <c r="AF25" s="417"/>
      <c r="AG25" s="231"/>
      <c r="AH25" s="231"/>
      <c r="AI25" s="231"/>
      <c r="AJ25" s="231"/>
      <c r="AK25" s="231"/>
      <c r="AL25" s="231"/>
      <c r="AM25" s="231"/>
      <c r="AN25" s="414">
        <f t="shared" ref="AN25:AN30" si="49">SUM(AF25:AM25)</f>
        <v>0</v>
      </c>
      <c r="AO25" s="415">
        <f t="shared" ref="AO25:AO30" si="50">SUM(AE25,AN25)</f>
        <v>0</v>
      </c>
      <c r="AP25" s="300">
        <v>6</v>
      </c>
      <c r="AQ25" s="231"/>
      <c r="AR25" s="231"/>
      <c r="AS25" s="231"/>
      <c r="AT25" s="231"/>
      <c r="AU25" s="231"/>
      <c r="AV25" s="231"/>
      <c r="AW25" s="231"/>
      <c r="AX25" s="231"/>
      <c r="AY25" s="412">
        <f t="shared" ref="AY25:AY30" si="51">SUM(AQ25:AX25)</f>
        <v>0</v>
      </c>
      <c r="AZ25" s="417"/>
      <c r="BA25" s="231"/>
      <c r="BB25" s="231"/>
      <c r="BC25" s="231"/>
      <c r="BD25" s="231"/>
      <c r="BE25" s="231"/>
      <c r="BF25" s="231"/>
      <c r="BG25" s="231"/>
      <c r="BH25" s="414">
        <f t="shared" ref="BH25:BH30" si="52">SUM(AZ25:BG25)</f>
        <v>0</v>
      </c>
      <c r="BI25" s="415">
        <f t="shared" ref="BI25:BI30" si="53">SUM(AY25,BH25)</f>
        <v>0</v>
      </c>
      <c r="BJ25" s="300">
        <v>6</v>
      </c>
      <c r="BK25" s="231">
        <v>30706.415863648988</v>
      </c>
      <c r="BL25" s="231">
        <v>315644.05935581261</v>
      </c>
      <c r="BM25" s="231">
        <v>31147.654334505278</v>
      </c>
      <c r="BN25" s="231">
        <v>314336.02174335666</v>
      </c>
      <c r="BO25" s="231">
        <v>29324.262819034178</v>
      </c>
      <c r="BP25" s="231">
        <v>312270.33929976058</v>
      </c>
      <c r="BQ25" s="231">
        <v>131436.43277080153</v>
      </c>
      <c r="BR25" s="231">
        <v>1328669.9846579239</v>
      </c>
      <c r="BS25" s="412">
        <f t="shared" ref="BS25:BS30" si="54">SUM(BK25:BR25)</f>
        <v>2493535.1708448436</v>
      </c>
      <c r="BT25" s="417"/>
      <c r="BU25" s="231"/>
      <c r="BV25" s="231"/>
      <c r="BW25" s="231"/>
      <c r="BX25" s="231"/>
      <c r="BY25" s="231"/>
      <c r="BZ25" s="231"/>
      <c r="CA25" s="231"/>
      <c r="CB25" s="414">
        <f t="shared" ref="CB25:CB30" si="55">SUM(BT25:CA25)</f>
        <v>0</v>
      </c>
      <c r="CC25" s="415">
        <f t="shared" ref="CC25:CC30" si="56">SUM(BS25,CB25)</f>
        <v>2493535.1708448436</v>
      </c>
      <c r="CD25" s="300">
        <v>6</v>
      </c>
      <c r="CE25" s="414">
        <f t="shared" ref="CE25:CE30" si="57">+C25+D25+W25+X25+AQ25+AR25+BK25+BL25</f>
        <v>346350.4752194616</v>
      </c>
      <c r="CF25" s="414">
        <f t="shared" ref="CF25:CF30" si="58">+E25+F25+Y25+Z25+AS25+AT25+BM25+BN25</f>
        <v>345483.67607786192</v>
      </c>
      <c r="CG25" s="414">
        <f t="shared" ref="CG25:CG30" si="59">+G25+H25+AA25+AB25+AU25+AV25+BO25+BP25</f>
        <v>341594.60211879475</v>
      </c>
      <c r="CH25" s="414">
        <f t="shared" ref="CH25:CH30" si="60">+I25+J25+AC25+AD25+AW25+AX25+BQ25+BR25</f>
        <v>1460106.4174287254</v>
      </c>
      <c r="CI25" s="416">
        <f t="shared" ref="CI25:CI30" si="61">SUM(K25,AE25,AY25,BS25)</f>
        <v>2493535.1708448436</v>
      </c>
      <c r="CJ25" s="414">
        <f t="shared" ref="CJ25:CJ30" si="62">L25+M25+AF25+AG25+AZ25+BA25+BT25+BU25</f>
        <v>0</v>
      </c>
      <c r="CK25" s="414">
        <f t="shared" ref="CK25:CK30" si="63">N25+O25+AH25+AI25+BB25+BC25+BV25+BW25</f>
        <v>0</v>
      </c>
      <c r="CL25" s="414">
        <f t="shared" ref="CL25:CL30" si="64">P25+Q25+AJ25+AK25+BD25+BE25+BX25+BY25</f>
        <v>0</v>
      </c>
      <c r="CM25" s="414">
        <f t="shared" ref="CM25:CM30" si="65">+R25+S25+AL25+AM25+BF25+BG25+BZ25+CA25</f>
        <v>0</v>
      </c>
      <c r="CN25" s="416">
        <f t="shared" ref="CN25:CN30" si="66">SUM(T25,AN25,BH25,CB25)</f>
        <v>0</v>
      </c>
      <c r="CO25" s="414">
        <f t="shared" ref="CO25:CO30" si="67">+C25+D25+L25+M25+W25+X25+AF25+AG25+AQ25+AR25+AZ25+BA25+BK25+BL25+BT25+BU25</f>
        <v>346350.4752194616</v>
      </c>
      <c r="CP25" s="414">
        <f t="shared" ref="CP25:CP30" si="68">+E25+F25+N25+O25+Y25+Z25+AH25+AI25+AS25+AT25+BB25+BC25+BM25+BN25+BV25+BW25</f>
        <v>345483.67607786192</v>
      </c>
      <c r="CQ25" s="414">
        <f t="shared" ref="CQ25:CQ30" si="69">+G25+H25+P25+Q25+AA25+AB25+AJ25+AK25+AU25+AV25+BD25+BE25+BO25+BP25+BX25+BY25</f>
        <v>341594.60211879475</v>
      </c>
      <c r="CR25" s="414">
        <f t="shared" ref="CR25:CR30" si="70">+I25+J25+R25+S25+AC25+AD25+AL25+AM25+AW25+AX25+BF25+BG25+BQ25+BR25+BZ25+CA25</f>
        <v>1460106.4174287254</v>
      </c>
      <c r="CS25" s="416">
        <f t="shared" ref="CS25:CS30" si="71">SUM(CC25,BI25,AO25,U25)</f>
        <v>2493535.1708448436</v>
      </c>
      <c r="CT25" s="319"/>
      <c r="CU25" s="319"/>
      <c r="CV25" s="319"/>
      <c r="CW25" s="319"/>
      <c r="CX25" s="319"/>
    </row>
    <row r="26" spans="1:131" ht="15.75" customHeight="1">
      <c r="A26" s="88" t="s">
        <v>183</v>
      </c>
      <c r="B26" s="300">
        <v>7</v>
      </c>
      <c r="C26" s="231"/>
      <c r="D26" s="231"/>
      <c r="E26" s="231"/>
      <c r="F26" s="231"/>
      <c r="G26" s="231"/>
      <c r="H26" s="231"/>
      <c r="I26" s="231"/>
      <c r="J26" s="231"/>
      <c r="K26" s="412">
        <f t="shared" si="45"/>
        <v>0</v>
      </c>
      <c r="L26" s="417"/>
      <c r="M26" s="231"/>
      <c r="N26" s="231"/>
      <c r="O26" s="231"/>
      <c r="P26" s="231"/>
      <c r="Q26" s="231"/>
      <c r="R26" s="231"/>
      <c r="S26" s="231"/>
      <c r="T26" s="414">
        <f t="shared" si="46"/>
        <v>0</v>
      </c>
      <c r="U26" s="415">
        <f t="shared" si="47"/>
        <v>0</v>
      </c>
      <c r="V26" s="300">
        <v>7</v>
      </c>
      <c r="W26" s="231"/>
      <c r="X26" s="231"/>
      <c r="Y26" s="231"/>
      <c r="Z26" s="231"/>
      <c r="AA26" s="231"/>
      <c r="AB26" s="231"/>
      <c r="AC26" s="231"/>
      <c r="AD26" s="231"/>
      <c r="AE26" s="412">
        <f t="shared" si="48"/>
        <v>0</v>
      </c>
      <c r="AF26" s="417"/>
      <c r="AG26" s="231"/>
      <c r="AH26" s="231"/>
      <c r="AI26" s="231"/>
      <c r="AJ26" s="231"/>
      <c r="AK26" s="231"/>
      <c r="AL26" s="231"/>
      <c r="AM26" s="231"/>
      <c r="AN26" s="414">
        <f t="shared" si="49"/>
        <v>0</v>
      </c>
      <c r="AO26" s="415">
        <f t="shared" si="50"/>
        <v>0</v>
      </c>
      <c r="AP26" s="300">
        <v>7</v>
      </c>
      <c r="AQ26" s="231"/>
      <c r="AR26" s="231"/>
      <c r="AS26" s="231"/>
      <c r="AT26" s="231"/>
      <c r="AU26" s="231"/>
      <c r="AV26" s="231"/>
      <c r="AW26" s="231"/>
      <c r="AX26" s="231"/>
      <c r="AY26" s="412">
        <f t="shared" si="51"/>
        <v>0</v>
      </c>
      <c r="AZ26" s="417"/>
      <c r="BA26" s="231"/>
      <c r="BB26" s="231"/>
      <c r="BC26" s="231"/>
      <c r="BD26" s="231"/>
      <c r="BE26" s="231"/>
      <c r="BF26" s="231"/>
      <c r="BG26" s="231"/>
      <c r="BH26" s="414">
        <f t="shared" si="52"/>
        <v>0</v>
      </c>
      <c r="BI26" s="415">
        <f t="shared" si="53"/>
        <v>0</v>
      </c>
      <c r="BJ26" s="300">
        <v>7</v>
      </c>
      <c r="BK26" s="231"/>
      <c r="BL26" s="231"/>
      <c r="BM26" s="231"/>
      <c r="BN26" s="231"/>
      <c r="BO26" s="231"/>
      <c r="BP26" s="231"/>
      <c r="BQ26" s="231"/>
      <c r="BR26" s="231"/>
      <c r="BS26" s="412">
        <f t="shared" si="54"/>
        <v>0</v>
      </c>
      <c r="BT26" s="417"/>
      <c r="BU26" s="231"/>
      <c r="BV26" s="231"/>
      <c r="BW26" s="231"/>
      <c r="BX26" s="231"/>
      <c r="BY26" s="231"/>
      <c r="BZ26" s="231"/>
      <c r="CA26" s="231"/>
      <c r="CB26" s="414">
        <f t="shared" si="55"/>
        <v>0</v>
      </c>
      <c r="CC26" s="415">
        <f t="shared" si="56"/>
        <v>0</v>
      </c>
      <c r="CD26" s="300">
        <v>7</v>
      </c>
      <c r="CE26" s="414">
        <f t="shared" si="57"/>
        <v>0</v>
      </c>
      <c r="CF26" s="414">
        <f t="shared" si="58"/>
        <v>0</v>
      </c>
      <c r="CG26" s="414">
        <f t="shared" si="59"/>
        <v>0</v>
      </c>
      <c r="CH26" s="414">
        <f t="shared" si="60"/>
        <v>0</v>
      </c>
      <c r="CI26" s="416">
        <f t="shared" si="61"/>
        <v>0</v>
      </c>
      <c r="CJ26" s="414">
        <f t="shared" si="62"/>
        <v>0</v>
      </c>
      <c r="CK26" s="414">
        <f t="shared" si="63"/>
        <v>0</v>
      </c>
      <c r="CL26" s="414">
        <f t="shared" si="64"/>
        <v>0</v>
      </c>
      <c r="CM26" s="414">
        <f t="shared" si="65"/>
        <v>0</v>
      </c>
      <c r="CN26" s="416">
        <f t="shared" si="66"/>
        <v>0</v>
      </c>
      <c r="CO26" s="414">
        <f t="shared" si="67"/>
        <v>0</v>
      </c>
      <c r="CP26" s="414">
        <f t="shared" si="68"/>
        <v>0</v>
      </c>
      <c r="CQ26" s="414">
        <f t="shared" si="69"/>
        <v>0</v>
      </c>
      <c r="CR26" s="414">
        <f t="shared" si="70"/>
        <v>0</v>
      </c>
      <c r="CS26" s="416">
        <f t="shared" si="71"/>
        <v>0</v>
      </c>
      <c r="CT26" s="319"/>
      <c r="CV26" s="319"/>
      <c r="CX26" s="319"/>
    </row>
    <row r="27" spans="1:131" ht="15.75" customHeight="1">
      <c r="A27" s="88" t="s">
        <v>185</v>
      </c>
      <c r="B27" s="300">
        <v>8</v>
      </c>
      <c r="C27" s="231"/>
      <c r="D27" s="231"/>
      <c r="E27" s="231"/>
      <c r="F27" s="231"/>
      <c r="G27" s="231"/>
      <c r="H27" s="231"/>
      <c r="I27" s="231"/>
      <c r="J27" s="231"/>
      <c r="K27" s="412">
        <f t="shared" si="45"/>
        <v>0</v>
      </c>
      <c r="L27" s="417"/>
      <c r="M27" s="231"/>
      <c r="N27" s="231"/>
      <c r="O27" s="231"/>
      <c r="P27" s="231"/>
      <c r="Q27" s="231"/>
      <c r="R27" s="231"/>
      <c r="S27" s="231"/>
      <c r="T27" s="414">
        <f t="shared" si="46"/>
        <v>0</v>
      </c>
      <c r="U27" s="415">
        <f t="shared" si="47"/>
        <v>0</v>
      </c>
      <c r="V27" s="300">
        <v>8</v>
      </c>
      <c r="W27" s="231"/>
      <c r="X27" s="231"/>
      <c r="Y27" s="231"/>
      <c r="Z27" s="231"/>
      <c r="AA27" s="231"/>
      <c r="AB27" s="231"/>
      <c r="AC27" s="231"/>
      <c r="AD27" s="231"/>
      <c r="AE27" s="412">
        <f t="shared" si="48"/>
        <v>0</v>
      </c>
      <c r="AF27" s="417"/>
      <c r="AG27" s="231"/>
      <c r="AH27" s="231"/>
      <c r="AI27" s="231"/>
      <c r="AJ27" s="231"/>
      <c r="AK27" s="231"/>
      <c r="AL27" s="231"/>
      <c r="AM27" s="231"/>
      <c r="AN27" s="414">
        <f t="shared" si="49"/>
        <v>0</v>
      </c>
      <c r="AO27" s="415">
        <f t="shared" si="50"/>
        <v>0</v>
      </c>
      <c r="AP27" s="300">
        <v>8</v>
      </c>
      <c r="AQ27" s="231"/>
      <c r="AR27" s="231"/>
      <c r="AS27" s="231"/>
      <c r="AT27" s="231"/>
      <c r="AU27" s="231"/>
      <c r="AV27" s="231"/>
      <c r="AW27" s="231"/>
      <c r="AX27" s="231"/>
      <c r="AY27" s="412">
        <f t="shared" si="51"/>
        <v>0</v>
      </c>
      <c r="AZ27" s="417"/>
      <c r="BA27" s="231"/>
      <c r="BB27" s="231"/>
      <c r="BC27" s="231"/>
      <c r="BD27" s="231"/>
      <c r="BE27" s="231"/>
      <c r="BF27" s="231"/>
      <c r="BG27" s="231"/>
      <c r="BH27" s="414">
        <f t="shared" si="52"/>
        <v>0</v>
      </c>
      <c r="BI27" s="415">
        <f t="shared" si="53"/>
        <v>0</v>
      </c>
      <c r="BJ27" s="300">
        <v>8</v>
      </c>
      <c r="BK27" s="231"/>
      <c r="BL27" s="231"/>
      <c r="BM27" s="231"/>
      <c r="BN27" s="231"/>
      <c r="BO27" s="231"/>
      <c r="BP27" s="231"/>
      <c r="BQ27" s="231"/>
      <c r="BR27" s="231"/>
      <c r="BS27" s="412">
        <f t="shared" si="54"/>
        <v>0</v>
      </c>
      <c r="BT27" s="417"/>
      <c r="BU27" s="231"/>
      <c r="BV27" s="231"/>
      <c r="BW27" s="231"/>
      <c r="BX27" s="231"/>
      <c r="BY27" s="231"/>
      <c r="BZ27" s="231"/>
      <c r="CA27" s="231"/>
      <c r="CB27" s="414">
        <f t="shared" si="55"/>
        <v>0</v>
      </c>
      <c r="CC27" s="415">
        <f t="shared" si="56"/>
        <v>0</v>
      </c>
      <c r="CD27" s="300">
        <v>8</v>
      </c>
      <c r="CE27" s="414">
        <f t="shared" si="57"/>
        <v>0</v>
      </c>
      <c r="CF27" s="414">
        <f t="shared" si="58"/>
        <v>0</v>
      </c>
      <c r="CG27" s="414">
        <f t="shared" si="59"/>
        <v>0</v>
      </c>
      <c r="CH27" s="414">
        <f t="shared" si="60"/>
        <v>0</v>
      </c>
      <c r="CI27" s="416">
        <f t="shared" si="61"/>
        <v>0</v>
      </c>
      <c r="CJ27" s="414">
        <f t="shared" si="62"/>
        <v>0</v>
      </c>
      <c r="CK27" s="414">
        <f t="shared" si="63"/>
        <v>0</v>
      </c>
      <c r="CL27" s="414">
        <f t="shared" si="64"/>
        <v>0</v>
      </c>
      <c r="CM27" s="414">
        <f t="shared" si="65"/>
        <v>0</v>
      </c>
      <c r="CN27" s="416">
        <f t="shared" si="66"/>
        <v>0</v>
      </c>
      <c r="CO27" s="414">
        <f t="shared" si="67"/>
        <v>0</v>
      </c>
      <c r="CP27" s="414">
        <f t="shared" si="68"/>
        <v>0</v>
      </c>
      <c r="CQ27" s="414">
        <f t="shared" si="69"/>
        <v>0</v>
      </c>
      <c r="CR27" s="414">
        <f t="shared" si="70"/>
        <v>0</v>
      </c>
      <c r="CS27" s="416">
        <f t="shared" si="71"/>
        <v>0</v>
      </c>
      <c r="CT27" s="319"/>
      <c r="CV27" s="319"/>
      <c r="CX27" s="319"/>
    </row>
    <row r="28" spans="1:131" ht="15.75" customHeight="1">
      <c r="A28" s="88" t="s">
        <v>187</v>
      </c>
      <c r="B28" s="300">
        <v>9</v>
      </c>
      <c r="C28" s="231"/>
      <c r="D28" s="231"/>
      <c r="E28" s="231"/>
      <c r="F28" s="231"/>
      <c r="G28" s="231"/>
      <c r="H28" s="231"/>
      <c r="I28" s="231"/>
      <c r="J28" s="231"/>
      <c r="K28" s="412">
        <f t="shared" si="45"/>
        <v>0</v>
      </c>
      <c r="L28" s="417"/>
      <c r="M28" s="231"/>
      <c r="N28" s="231"/>
      <c r="O28" s="231"/>
      <c r="P28" s="231"/>
      <c r="Q28" s="231"/>
      <c r="R28" s="231"/>
      <c r="S28" s="231"/>
      <c r="T28" s="414">
        <f t="shared" si="46"/>
        <v>0</v>
      </c>
      <c r="U28" s="415">
        <f t="shared" si="47"/>
        <v>0</v>
      </c>
      <c r="V28" s="300">
        <v>9</v>
      </c>
      <c r="W28" s="231"/>
      <c r="X28" s="231"/>
      <c r="Y28" s="231"/>
      <c r="Z28" s="231"/>
      <c r="AA28" s="231"/>
      <c r="AB28" s="231"/>
      <c r="AC28" s="231"/>
      <c r="AD28" s="231"/>
      <c r="AE28" s="412">
        <f t="shared" si="48"/>
        <v>0</v>
      </c>
      <c r="AF28" s="417"/>
      <c r="AG28" s="231"/>
      <c r="AH28" s="231"/>
      <c r="AI28" s="231"/>
      <c r="AJ28" s="231"/>
      <c r="AK28" s="231"/>
      <c r="AL28" s="231"/>
      <c r="AM28" s="231"/>
      <c r="AN28" s="414">
        <f t="shared" si="49"/>
        <v>0</v>
      </c>
      <c r="AO28" s="415">
        <f t="shared" si="50"/>
        <v>0</v>
      </c>
      <c r="AP28" s="300">
        <v>9</v>
      </c>
      <c r="AQ28" s="231"/>
      <c r="AR28" s="231"/>
      <c r="AS28" s="231"/>
      <c r="AT28" s="231"/>
      <c r="AU28" s="231"/>
      <c r="AV28" s="231"/>
      <c r="AW28" s="231"/>
      <c r="AX28" s="231"/>
      <c r="AY28" s="412">
        <f t="shared" si="51"/>
        <v>0</v>
      </c>
      <c r="AZ28" s="417"/>
      <c r="BA28" s="231"/>
      <c r="BB28" s="231"/>
      <c r="BC28" s="231"/>
      <c r="BD28" s="231"/>
      <c r="BE28" s="231"/>
      <c r="BF28" s="231"/>
      <c r="BG28" s="231"/>
      <c r="BH28" s="414">
        <f t="shared" si="52"/>
        <v>0</v>
      </c>
      <c r="BI28" s="415">
        <f t="shared" si="53"/>
        <v>0</v>
      </c>
      <c r="BJ28" s="300">
        <v>9</v>
      </c>
      <c r="BK28" s="231"/>
      <c r="BL28" s="231"/>
      <c r="BM28" s="231"/>
      <c r="BN28" s="231"/>
      <c r="BO28" s="231"/>
      <c r="BP28" s="231"/>
      <c r="BQ28" s="231"/>
      <c r="BR28" s="231"/>
      <c r="BS28" s="412">
        <f t="shared" si="54"/>
        <v>0</v>
      </c>
      <c r="BT28" s="417"/>
      <c r="BU28" s="231"/>
      <c r="BV28" s="231"/>
      <c r="BW28" s="231"/>
      <c r="BX28" s="231"/>
      <c r="BY28" s="231"/>
      <c r="BZ28" s="231"/>
      <c r="CA28" s="231"/>
      <c r="CB28" s="414">
        <f t="shared" si="55"/>
        <v>0</v>
      </c>
      <c r="CC28" s="415">
        <f t="shared" si="56"/>
        <v>0</v>
      </c>
      <c r="CD28" s="300">
        <v>9</v>
      </c>
      <c r="CE28" s="414">
        <f t="shared" si="57"/>
        <v>0</v>
      </c>
      <c r="CF28" s="414">
        <f t="shared" si="58"/>
        <v>0</v>
      </c>
      <c r="CG28" s="414">
        <f t="shared" si="59"/>
        <v>0</v>
      </c>
      <c r="CH28" s="414">
        <f t="shared" si="60"/>
        <v>0</v>
      </c>
      <c r="CI28" s="416">
        <f t="shared" si="61"/>
        <v>0</v>
      </c>
      <c r="CJ28" s="414">
        <f t="shared" si="62"/>
        <v>0</v>
      </c>
      <c r="CK28" s="414">
        <f t="shared" si="63"/>
        <v>0</v>
      </c>
      <c r="CL28" s="414">
        <f t="shared" si="64"/>
        <v>0</v>
      </c>
      <c r="CM28" s="414">
        <f t="shared" si="65"/>
        <v>0</v>
      </c>
      <c r="CN28" s="416">
        <f t="shared" si="66"/>
        <v>0</v>
      </c>
      <c r="CO28" s="414">
        <f t="shared" si="67"/>
        <v>0</v>
      </c>
      <c r="CP28" s="414">
        <f t="shared" si="68"/>
        <v>0</v>
      </c>
      <c r="CQ28" s="414">
        <f t="shared" si="69"/>
        <v>0</v>
      </c>
      <c r="CR28" s="414">
        <f t="shared" si="70"/>
        <v>0</v>
      </c>
      <c r="CS28" s="416">
        <f t="shared" si="71"/>
        <v>0</v>
      </c>
      <c r="CT28" s="319"/>
      <c r="CV28" s="319"/>
      <c r="CX28" s="319"/>
    </row>
    <row r="29" spans="1:131" ht="15.75" customHeight="1">
      <c r="A29" s="88" t="s">
        <v>189</v>
      </c>
      <c r="B29" s="300">
        <v>10</v>
      </c>
      <c r="C29" s="231">
        <v>0</v>
      </c>
      <c r="D29" s="231">
        <v>0</v>
      </c>
      <c r="E29" s="231">
        <v>0</v>
      </c>
      <c r="F29" s="231">
        <v>0</v>
      </c>
      <c r="G29" s="231">
        <v>0</v>
      </c>
      <c r="H29" s="231">
        <v>0</v>
      </c>
      <c r="I29" s="231">
        <v>0</v>
      </c>
      <c r="J29" s="231">
        <v>0</v>
      </c>
      <c r="K29" s="412">
        <f t="shared" si="45"/>
        <v>0</v>
      </c>
      <c r="L29" s="417">
        <v>0</v>
      </c>
      <c r="M29" s="231">
        <v>160074.32578716066</v>
      </c>
      <c r="N29" s="231">
        <v>0</v>
      </c>
      <c r="O29" s="231">
        <v>142953.7724442723</v>
      </c>
      <c r="P29" s="231">
        <v>0</v>
      </c>
      <c r="Q29" s="231">
        <v>157720.44038482319</v>
      </c>
      <c r="R29" s="231">
        <v>0</v>
      </c>
      <c r="S29" s="231">
        <v>158001.01848073927</v>
      </c>
      <c r="T29" s="414">
        <f t="shared" si="46"/>
        <v>618749.55709699541</v>
      </c>
      <c r="U29" s="415">
        <f t="shared" si="47"/>
        <v>618749.55709699541</v>
      </c>
      <c r="V29" s="300">
        <v>10</v>
      </c>
      <c r="W29" s="231">
        <v>0</v>
      </c>
      <c r="X29" s="231">
        <v>0</v>
      </c>
      <c r="Y29" s="231">
        <v>0</v>
      </c>
      <c r="Z29" s="231">
        <v>0</v>
      </c>
      <c r="AA29" s="231">
        <v>0</v>
      </c>
      <c r="AB29" s="231">
        <v>0</v>
      </c>
      <c r="AC29" s="231">
        <v>0</v>
      </c>
      <c r="AD29" s="231">
        <v>0</v>
      </c>
      <c r="AE29" s="412">
        <f t="shared" si="48"/>
        <v>0</v>
      </c>
      <c r="AF29" s="417">
        <v>0</v>
      </c>
      <c r="AG29" s="231">
        <v>48682.277506138358</v>
      </c>
      <c r="AH29" s="231">
        <v>0</v>
      </c>
      <c r="AI29" s="231">
        <v>39365.386404060657</v>
      </c>
      <c r="AJ29" s="231">
        <v>0</v>
      </c>
      <c r="AK29" s="231">
        <v>42147.675651078491</v>
      </c>
      <c r="AL29" s="231">
        <v>0</v>
      </c>
      <c r="AM29" s="231">
        <v>41989.543803669862</v>
      </c>
      <c r="AN29" s="414">
        <f t="shared" si="49"/>
        <v>172184.88336494737</v>
      </c>
      <c r="AO29" s="415">
        <f t="shared" si="50"/>
        <v>172184.88336494737</v>
      </c>
      <c r="AP29" s="300">
        <v>10</v>
      </c>
      <c r="AQ29" s="231">
        <v>0</v>
      </c>
      <c r="AR29" s="231">
        <v>0</v>
      </c>
      <c r="AS29" s="231">
        <v>0</v>
      </c>
      <c r="AT29" s="231">
        <v>0</v>
      </c>
      <c r="AU29" s="231">
        <v>0</v>
      </c>
      <c r="AV29" s="231">
        <v>0</v>
      </c>
      <c r="AW29" s="231">
        <v>0</v>
      </c>
      <c r="AX29" s="231">
        <v>0</v>
      </c>
      <c r="AY29" s="412">
        <f t="shared" si="51"/>
        <v>0</v>
      </c>
      <c r="AZ29" s="417">
        <v>0</v>
      </c>
      <c r="BA29" s="231">
        <v>1185879.822858993</v>
      </c>
      <c r="BB29" s="231">
        <v>0</v>
      </c>
      <c r="BC29" s="231">
        <v>981666.93302291853</v>
      </c>
      <c r="BD29" s="231">
        <v>0</v>
      </c>
      <c r="BE29" s="231">
        <v>1125021.7545464551</v>
      </c>
      <c r="BF29" s="231">
        <v>0</v>
      </c>
      <c r="BG29" s="231">
        <v>1144125.8161103278</v>
      </c>
      <c r="BH29" s="414">
        <f t="shared" si="52"/>
        <v>4436694.326538695</v>
      </c>
      <c r="BI29" s="415">
        <f t="shared" si="53"/>
        <v>4436694.326538695</v>
      </c>
      <c r="BJ29" s="300">
        <v>10</v>
      </c>
      <c r="BK29" s="231">
        <v>0</v>
      </c>
      <c r="BL29" s="231">
        <v>0</v>
      </c>
      <c r="BM29" s="231">
        <v>0</v>
      </c>
      <c r="BN29" s="231">
        <v>0</v>
      </c>
      <c r="BO29" s="231">
        <v>0</v>
      </c>
      <c r="BP29" s="231">
        <v>0</v>
      </c>
      <c r="BQ29" s="231">
        <v>0</v>
      </c>
      <c r="BR29" s="231">
        <v>0</v>
      </c>
      <c r="BS29" s="412">
        <f t="shared" si="54"/>
        <v>0</v>
      </c>
      <c r="BT29" s="417">
        <v>0</v>
      </c>
      <c r="BU29" s="231">
        <v>44585.156922629452</v>
      </c>
      <c r="BV29" s="231">
        <v>0</v>
      </c>
      <c r="BW29" s="231">
        <v>38236.799747517485</v>
      </c>
      <c r="BX29" s="231">
        <v>0</v>
      </c>
      <c r="BY29" s="231">
        <v>42063.323801701852</v>
      </c>
      <c r="BZ29" s="231">
        <v>0</v>
      </c>
      <c r="CA29" s="231">
        <v>48140.443343034669</v>
      </c>
      <c r="CB29" s="414">
        <f t="shared" si="55"/>
        <v>173025.72381488344</v>
      </c>
      <c r="CC29" s="415">
        <f t="shared" si="56"/>
        <v>173025.72381488344</v>
      </c>
      <c r="CD29" s="300">
        <v>10</v>
      </c>
      <c r="CE29" s="414">
        <f t="shared" si="57"/>
        <v>0</v>
      </c>
      <c r="CF29" s="414">
        <f t="shared" si="58"/>
        <v>0</v>
      </c>
      <c r="CG29" s="414">
        <f t="shared" si="59"/>
        <v>0</v>
      </c>
      <c r="CH29" s="414">
        <f t="shared" si="60"/>
        <v>0</v>
      </c>
      <c r="CI29" s="416">
        <f t="shared" si="61"/>
        <v>0</v>
      </c>
      <c r="CJ29" s="414">
        <f t="shared" si="62"/>
        <v>1439221.5830749213</v>
      </c>
      <c r="CK29" s="414">
        <f t="shared" si="63"/>
        <v>1202222.8916187689</v>
      </c>
      <c r="CL29" s="414">
        <f t="shared" si="64"/>
        <v>1366953.1943840587</v>
      </c>
      <c r="CM29" s="414">
        <f t="shared" si="65"/>
        <v>1392256.8217377716</v>
      </c>
      <c r="CN29" s="416">
        <f t="shared" si="66"/>
        <v>5400654.4908155212</v>
      </c>
      <c r="CO29" s="414">
        <f t="shared" si="67"/>
        <v>1439221.5830749213</v>
      </c>
      <c r="CP29" s="414">
        <f t="shared" si="68"/>
        <v>1202222.8916187689</v>
      </c>
      <c r="CQ29" s="414">
        <f t="shared" si="69"/>
        <v>1366953.1943840587</v>
      </c>
      <c r="CR29" s="414">
        <f t="shared" si="70"/>
        <v>1392256.8217377716</v>
      </c>
      <c r="CS29" s="416">
        <f t="shared" si="71"/>
        <v>5400654.4908155212</v>
      </c>
      <c r="CT29" s="319"/>
      <c r="CV29" s="319"/>
      <c r="CX29" s="319"/>
    </row>
    <row r="30" spans="1:131" ht="15.75" customHeight="1">
      <c r="A30" s="135" t="s">
        <v>191</v>
      </c>
      <c r="B30" s="300">
        <v>11</v>
      </c>
      <c r="C30" s="137">
        <f t="shared" ref="C30:J30" si="72">SUM(C25:C29)</f>
        <v>0</v>
      </c>
      <c r="D30" s="137">
        <f t="shared" si="72"/>
        <v>0</v>
      </c>
      <c r="E30" s="137">
        <f t="shared" si="72"/>
        <v>0</v>
      </c>
      <c r="F30" s="137">
        <f t="shared" si="72"/>
        <v>0</v>
      </c>
      <c r="G30" s="137">
        <f t="shared" si="72"/>
        <v>0</v>
      </c>
      <c r="H30" s="137">
        <f t="shared" si="72"/>
        <v>0</v>
      </c>
      <c r="I30" s="137">
        <f t="shared" si="72"/>
        <v>0</v>
      </c>
      <c r="J30" s="137">
        <f t="shared" si="72"/>
        <v>0</v>
      </c>
      <c r="K30" s="412">
        <f t="shared" si="45"/>
        <v>0</v>
      </c>
      <c r="L30" s="217">
        <f t="shared" ref="L30:S30" si="73">SUM(L25:L29)</f>
        <v>0</v>
      </c>
      <c r="M30" s="137">
        <f t="shared" si="73"/>
        <v>160074.32578716066</v>
      </c>
      <c r="N30" s="137">
        <f t="shared" si="73"/>
        <v>0</v>
      </c>
      <c r="O30" s="137">
        <f t="shared" si="73"/>
        <v>142953.7724442723</v>
      </c>
      <c r="P30" s="137">
        <f t="shared" si="73"/>
        <v>0</v>
      </c>
      <c r="Q30" s="137">
        <f t="shared" si="73"/>
        <v>157720.44038482319</v>
      </c>
      <c r="R30" s="137">
        <f t="shared" si="73"/>
        <v>0</v>
      </c>
      <c r="S30" s="137">
        <f t="shared" si="73"/>
        <v>158001.01848073927</v>
      </c>
      <c r="T30" s="414">
        <f t="shared" si="46"/>
        <v>618749.55709699541</v>
      </c>
      <c r="U30" s="415">
        <f t="shared" si="47"/>
        <v>618749.55709699541</v>
      </c>
      <c r="V30" s="300">
        <v>11</v>
      </c>
      <c r="W30" s="137">
        <f t="shared" ref="W30:AD30" si="74">SUM(W25:W29)</f>
        <v>0</v>
      </c>
      <c r="X30" s="137">
        <f t="shared" si="74"/>
        <v>0</v>
      </c>
      <c r="Y30" s="137">
        <f t="shared" si="74"/>
        <v>0</v>
      </c>
      <c r="Z30" s="137">
        <f t="shared" si="74"/>
        <v>0</v>
      </c>
      <c r="AA30" s="137">
        <f t="shared" si="74"/>
        <v>0</v>
      </c>
      <c r="AB30" s="137">
        <f t="shared" si="74"/>
        <v>0</v>
      </c>
      <c r="AC30" s="137">
        <f t="shared" si="74"/>
        <v>0</v>
      </c>
      <c r="AD30" s="137">
        <f t="shared" si="74"/>
        <v>0</v>
      </c>
      <c r="AE30" s="412">
        <f t="shared" si="48"/>
        <v>0</v>
      </c>
      <c r="AF30" s="217">
        <f t="shared" ref="AF30:AM30" si="75">SUM(AF25:AF29)</f>
        <v>0</v>
      </c>
      <c r="AG30" s="137">
        <f t="shared" si="75"/>
        <v>48682.277506138358</v>
      </c>
      <c r="AH30" s="137">
        <f t="shared" si="75"/>
        <v>0</v>
      </c>
      <c r="AI30" s="137">
        <f t="shared" si="75"/>
        <v>39365.386404060657</v>
      </c>
      <c r="AJ30" s="137">
        <f t="shared" si="75"/>
        <v>0</v>
      </c>
      <c r="AK30" s="137">
        <f t="shared" si="75"/>
        <v>42147.675651078491</v>
      </c>
      <c r="AL30" s="137">
        <f t="shared" si="75"/>
        <v>0</v>
      </c>
      <c r="AM30" s="137">
        <f t="shared" si="75"/>
        <v>41989.543803669862</v>
      </c>
      <c r="AN30" s="414">
        <f t="shared" si="49"/>
        <v>172184.88336494737</v>
      </c>
      <c r="AO30" s="415">
        <f t="shared" si="50"/>
        <v>172184.88336494737</v>
      </c>
      <c r="AP30" s="300">
        <v>11</v>
      </c>
      <c r="AQ30" s="137">
        <f t="shared" ref="AQ30:AX30" si="76">SUM(AQ25:AQ29)</f>
        <v>0</v>
      </c>
      <c r="AR30" s="137">
        <f t="shared" si="76"/>
        <v>0</v>
      </c>
      <c r="AS30" s="137">
        <f t="shared" si="76"/>
        <v>0</v>
      </c>
      <c r="AT30" s="137">
        <f t="shared" si="76"/>
        <v>0</v>
      </c>
      <c r="AU30" s="137">
        <f t="shared" si="76"/>
        <v>0</v>
      </c>
      <c r="AV30" s="137">
        <f t="shared" si="76"/>
        <v>0</v>
      </c>
      <c r="AW30" s="137">
        <f t="shared" si="76"/>
        <v>0</v>
      </c>
      <c r="AX30" s="137">
        <f t="shared" si="76"/>
        <v>0</v>
      </c>
      <c r="AY30" s="412">
        <f t="shared" si="51"/>
        <v>0</v>
      </c>
      <c r="AZ30" s="217">
        <f t="shared" ref="AZ30:BG30" si="77">SUM(AZ25:AZ29)</f>
        <v>0</v>
      </c>
      <c r="BA30" s="137">
        <f t="shared" si="77"/>
        <v>1185879.822858993</v>
      </c>
      <c r="BB30" s="137">
        <f t="shared" si="77"/>
        <v>0</v>
      </c>
      <c r="BC30" s="137">
        <f t="shared" si="77"/>
        <v>981666.93302291853</v>
      </c>
      <c r="BD30" s="137">
        <f t="shared" si="77"/>
        <v>0</v>
      </c>
      <c r="BE30" s="137">
        <f t="shared" si="77"/>
        <v>1125021.7545464551</v>
      </c>
      <c r="BF30" s="137">
        <f t="shared" si="77"/>
        <v>0</v>
      </c>
      <c r="BG30" s="137">
        <f t="shared" si="77"/>
        <v>1144125.8161103278</v>
      </c>
      <c r="BH30" s="414">
        <f t="shared" si="52"/>
        <v>4436694.326538695</v>
      </c>
      <c r="BI30" s="415">
        <f t="shared" si="53"/>
        <v>4436694.326538695</v>
      </c>
      <c r="BJ30" s="300">
        <v>11</v>
      </c>
      <c r="BK30" s="137">
        <f t="shared" ref="BK30:BR30" si="78">SUM(BK25:BK29)</f>
        <v>30706.415863648988</v>
      </c>
      <c r="BL30" s="137">
        <f t="shared" si="78"/>
        <v>315644.05935581261</v>
      </c>
      <c r="BM30" s="137">
        <f t="shared" si="78"/>
        <v>31147.654334505278</v>
      </c>
      <c r="BN30" s="137">
        <f t="shared" si="78"/>
        <v>314336.02174335666</v>
      </c>
      <c r="BO30" s="137">
        <f t="shared" si="78"/>
        <v>29324.262819034178</v>
      </c>
      <c r="BP30" s="137">
        <f t="shared" si="78"/>
        <v>312270.33929976058</v>
      </c>
      <c r="BQ30" s="137">
        <f t="shared" si="78"/>
        <v>131436.43277080153</v>
      </c>
      <c r="BR30" s="137">
        <f t="shared" si="78"/>
        <v>1328669.9846579239</v>
      </c>
      <c r="BS30" s="412">
        <f t="shared" si="54"/>
        <v>2493535.1708448436</v>
      </c>
      <c r="BT30" s="217">
        <f t="shared" ref="BT30:CA30" si="79">SUM(BT25:BT29)</f>
        <v>0</v>
      </c>
      <c r="BU30" s="137">
        <f t="shared" si="79"/>
        <v>44585.156922629452</v>
      </c>
      <c r="BV30" s="137">
        <f t="shared" si="79"/>
        <v>0</v>
      </c>
      <c r="BW30" s="137">
        <f t="shared" si="79"/>
        <v>38236.799747517485</v>
      </c>
      <c r="BX30" s="137">
        <f t="shared" si="79"/>
        <v>0</v>
      </c>
      <c r="BY30" s="137">
        <f t="shared" si="79"/>
        <v>42063.323801701852</v>
      </c>
      <c r="BZ30" s="137">
        <f t="shared" si="79"/>
        <v>0</v>
      </c>
      <c r="CA30" s="137">
        <f t="shared" si="79"/>
        <v>48140.443343034669</v>
      </c>
      <c r="CB30" s="414">
        <f t="shared" si="55"/>
        <v>173025.72381488344</v>
      </c>
      <c r="CC30" s="415">
        <f t="shared" si="56"/>
        <v>2666560.8946597269</v>
      </c>
      <c r="CD30" s="300">
        <v>11</v>
      </c>
      <c r="CE30" s="414">
        <f t="shared" si="57"/>
        <v>346350.4752194616</v>
      </c>
      <c r="CF30" s="414">
        <f t="shared" si="58"/>
        <v>345483.67607786192</v>
      </c>
      <c r="CG30" s="414">
        <f t="shared" si="59"/>
        <v>341594.60211879475</v>
      </c>
      <c r="CH30" s="414">
        <f t="shared" si="60"/>
        <v>1460106.4174287254</v>
      </c>
      <c r="CI30" s="416">
        <f t="shared" si="61"/>
        <v>2493535.1708448436</v>
      </c>
      <c r="CJ30" s="414">
        <f t="shared" si="62"/>
        <v>1439221.5830749213</v>
      </c>
      <c r="CK30" s="414">
        <f t="shared" si="63"/>
        <v>1202222.8916187689</v>
      </c>
      <c r="CL30" s="414">
        <f t="shared" si="64"/>
        <v>1366953.1943840587</v>
      </c>
      <c r="CM30" s="414">
        <f t="shared" si="65"/>
        <v>1392256.8217377716</v>
      </c>
      <c r="CN30" s="416">
        <f t="shared" si="66"/>
        <v>5400654.4908155212</v>
      </c>
      <c r="CO30" s="414">
        <f t="shared" si="67"/>
        <v>1785572.0582943829</v>
      </c>
      <c r="CP30" s="414">
        <f t="shared" si="68"/>
        <v>1547706.567696631</v>
      </c>
      <c r="CQ30" s="414">
        <f t="shared" si="69"/>
        <v>1708547.7965028535</v>
      </c>
      <c r="CR30" s="414">
        <f t="shared" si="70"/>
        <v>2852363.2391664968</v>
      </c>
      <c r="CS30" s="416">
        <f t="shared" si="71"/>
        <v>7894189.6616603648</v>
      </c>
    </row>
    <row r="31" spans="1:131"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row>
    <row r="32" spans="1:131" s="14" customFormat="1" ht="15.75" customHeight="1">
      <c r="A32" s="16" t="s">
        <v>193</v>
      </c>
      <c r="B32" s="300">
        <v>12</v>
      </c>
      <c r="C32" s="216">
        <f t="shared" ref="C32:U32" si="80">C23+C30</f>
        <v>1150310.16000003</v>
      </c>
      <c r="D32" s="216">
        <f t="shared" si="80"/>
        <v>2182936.6300002402</v>
      </c>
      <c r="E32" s="216">
        <f t="shared" si="80"/>
        <v>1179626.8000000301</v>
      </c>
      <c r="F32" s="216">
        <f t="shared" si="80"/>
        <v>2262790.2400002601</v>
      </c>
      <c r="G32" s="216">
        <f t="shared" si="80"/>
        <v>1198554.91000004</v>
      </c>
      <c r="H32" s="216">
        <f t="shared" si="80"/>
        <v>2366909.6300002802</v>
      </c>
      <c r="I32" s="216">
        <f t="shared" si="80"/>
        <v>1255821.25000004</v>
      </c>
      <c r="J32" s="216">
        <f t="shared" si="80"/>
        <v>2384815.89000028</v>
      </c>
      <c r="K32" s="221">
        <f t="shared" si="80"/>
        <v>13981765.510001201</v>
      </c>
      <c r="L32" s="218">
        <f t="shared" si="80"/>
        <v>0</v>
      </c>
      <c r="M32" s="216">
        <f t="shared" si="80"/>
        <v>5923546.7227545623</v>
      </c>
      <c r="N32" s="216">
        <f t="shared" si="80"/>
        <v>0</v>
      </c>
      <c r="O32" s="216">
        <f t="shared" si="80"/>
        <v>5340743.4680488808</v>
      </c>
      <c r="P32" s="216">
        <f t="shared" si="80"/>
        <v>0</v>
      </c>
      <c r="Q32" s="216">
        <f t="shared" si="80"/>
        <v>6092951.9278729437</v>
      </c>
      <c r="R32" s="216">
        <f t="shared" si="80"/>
        <v>0</v>
      </c>
      <c r="S32" s="216">
        <f t="shared" si="80"/>
        <v>6206028.7939271815</v>
      </c>
      <c r="T32" s="219">
        <f t="shared" si="80"/>
        <v>23563270.912603568</v>
      </c>
      <c r="U32" s="218">
        <f t="shared" si="80"/>
        <v>37545036.422604769</v>
      </c>
      <c r="V32" s="300">
        <v>12</v>
      </c>
      <c r="W32" s="216">
        <f t="shared" ref="W32:AO32" si="81">W23+W30</f>
        <v>175913.24</v>
      </c>
      <c r="X32" s="216">
        <f t="shared" si="81"/>
        <v>994432.38000001898</v>
      </c>
      <c r="Y32" s="216">
        <f t="shared" si="81"/>
        <v>182877.91</v>
      </c>
      <c r="Z32" s="216">
        <f t="shared" si="81"/>
        <v>947873.12000001804</v>
      </c>
      <c r="AA32" s="216">
        <f t="shared" si="81"/>
        <v>170453.61</v>
      </c>
      <c r="AB32" s="216">
        <f t="shared" si="81"/>
        <v>967860.44000001904</v>
      </c>
      <c r="AC32" s="216">
        <f t="shared" si="81"/>
        <v>182047.53</v>
      </c>
      <c r="AD32" s="216">
        <f t="shared" si="81"/>
        <v>988270.23000001896</v>
      </c>
      <c r="AE32" s="221">
        <f t="shared" si="81"/>
        <v>4609728.4600000745</v>
      </c>
      <c r="AF32" s="218">
        <f t="shared" si="81"/>
        <v>0</v>
      </c>
      <c r="AG32" s="216">
        <f t="shared" si="81"/>
        <v>1841840.7689237648</v>
      </c>
      <c r="AH32" s="216">
        <f t="shared" si="81"/>
        <v>0</v>
      </c>
      <c r="AI32" s="216">
        <f t="shared" si="81"/>
        <v>1462736.0593256548</v>
      </c>
      <c r="AJ32" s="216">
        <f t="shared" si="81"/>
        <v>0</v>
      </c>
      <c r="AK32" s="216">
        <f t="shared" si="81"/>
        <v>1568713.5004999554</v>
      </c>
      <c r="AL32" s="216">
        <f t="shared" si="81"/>
        <v>0</v>
      </c>
      <c r="AM32" s="216">
        <f t="shared" si="81"/>
        <v>1571965.4698522049</v>
      </c>
      <c r="AN32" s="219">
        <f t="shared" si="81"/>
        <v>6445255.7986015799</v>
      </c>
      <c r="AO32" s="218">
        <f t="shared" si="81"/>
        <v>11054984.258601654</v>
      </c>
      <c r="AP32" s="300">
        <v>12</v>
      </c>
      <c r="AQ32" s="216">
        <f t="shared" ref="AQ32:BI32" si="82">AQ23+AQ30</f>
        <v>19124981.1299982</v>
      </c>
      <c r="AR32" s="216">
        <f t="shared" si="82"/>
        <v>43153124.270006403</v>
      </c>
      <c r="AS32" s="216">
        <f t="shared" si="82"/>
        <v>20472747.439998001</v>
      </c>
      <c r="AT32" s="216">
        <f t="shared" si="82"/>
        <v>45622910.810009398</v>
      </c>
      <c r="AU32" s="216">
        <f t="shared" si="82"/>
        <v>21613298.970000602</v>
      </c>
      <c r="AV32" s="216">
        <f t="shared" si="82"/>
        <v>48014921.9600171</v>
      </c>
      <c r="AW32" s="216">
        <f t="shared" si="82"/>
        <v>23461859.680001199</v>
      </c>
      <c r="AX32" s="216">
        <f t="shared" si="82"/>
        <v>50143961.830019899</v>
      </c>
      <c r="AY32" s="221">
        <f t="shared" si="82"/>
        <v>271607806.09005076</v>
      </c>
      <c r="AZ32" s="218">
        <f t="shared" si="82"/>
        <v>0</v>
      </c>
      <c r="BA32" s="216">
        <f t="shared" si="82"/>
        <v>45193566.610854238</v>
      </c>
      <c r="BB32" s="216">
        <f t="shared" si="82"/>
        <v>0</v>
      </c>
      <c r="BC32" s="216">
        <f t="shared" si="82"/>
        <v>38178189.958742671</v>
      </c>
      <c r="BD32" s="216">
        <f t="shared" si="82"/>
        <v>0</v>
      </c>
      <c r="BE32" s="216">
        <f t="shared" si="82"/>
        <v>43447775.687592007</v>
      </c>
      <c r="BF32" s="216">
        <f t="shared" si="82"/>
        <v>0</v>
      </c>
      <c r="BG32" s="216">
        <f t="shared" si="82"/>
        <v>44227323.741842151</v>
      </c>
      <c r="BH32" s="219">
        <f t="shared" si="82"/>
        <v>171046855.99903107</v>
      </c>
      <c r="BI32" s="218">
        <f t="shared" si="82"/>
        <v>442654662.08908182</v>
      </c>
      <c r="BJ32" s="300">
        <v>12</v>
      </c>
      <c r="BK32" s="216">
        <f t="shared" ref="BK32:CC32" si="83">BK23+BK30</f>
        <v>430302.32586364896</v>
      </c>
      <c r="BL32" s="216">
        <f t="shared" si="83"/>
        <v>4423257.1293558124</v>
      </c>
      <c r="BM32" s="216">
        <f t="shared" si="83"/>
        <v>421360.83433450531</v>
      </c>
      <c r="BN32" s="216">
        <f t="shared" si="83"/>
        <v>4252290.9417433562</v>
      </c>
      <c r="BO32" s="216">
        <f t="shared" si="83"/>
        <v>388714.03281903418</v>
      </c>
      <c r="BP32" s="216">
        <f t="shared" si="83"/>
        <v>4139366.2192997616</v>
      </c>
      <c r="BQ32" s="216">
        <f t="shared" si="83"/>
        <v>534836.79277080158</v>
      </c>
      <c r="BR32" s="216">
        <f t="shared" si="83"/>
        <v>5406580.0346579244</v>
      </c>
      <c r="BS32" s="221">
        <f t="shared" si="83"/>
        <v>19996708.310844846</v>
      </c>
      <c r="BT32" s="218">
        <f t="shared" si="83"/>
        <v>0</v>
      </c>
      <c r="BU32" s="216">
        <f t="shared" si="83"/>
        <v>1634010.9699964346</v>
      </c>
      <c r="BV32" s="216">
        <f t="shared" si="83"/>
        <v>0</v>
      </c>
      <c r="BW32" s="216">
        <f t="shared" si="83"/>
        <v>1404396.2913742033</v>
      </c>
      <c r="BX32" s="216">
        <f t="shared" si="83"/>
        <v>0</v>
      </c>
      <c r="BY32" s="216">
        <f t="shared" si="83"/>
        <v>1545678.960294629</v>
      </c>
      <c r="BZ32" s="216">
        <f t="shared" si="83"/>
        <v>0</v>
      </c>
      <c r="CA32" s="216">
        <f t="shared" si="83"/>
        <v>1743679.6360553766</v>
      </c>
      <c r="CB32" s="219">
        <f t="shared" si="83"/>
        <v>6327765.8577206442</v>
      </c>
      <c r="CC32" s="218">
        <f t="shared" si="83"/>
        <v>26324474.168565489</v>
      </c>
      <c r="CD32" s="300">
        <v>12</v>
      </c>
      <c r="CE32" s="219">
        <f t="shared" ref="CE32:CH32" si="84">CE23+CE30</f>
        <v>71635257.265224338</v>
      </c>
      <c r="CF32" s="219">
        <f t="shared" si="84"/>
        <v>75342478.096085578</v>
      </c>
      <c r="CG32" s="219">
        <f t="shared" si="84"/>
        <v>78860079.772136822</v>
      </c>
      <c r="CH32" s="219">
        <f t="shared" si="84"/>
        <v>84358193.237450168</v>
      </c>
      <c r="CI32" s="216">
        <f>SUM(BS32,AY32,AE32,K32)</f>
        <v>310196008.37089688</v>
      </c>
      <c r="CJ32" s="219">
        <f t="shared" ref="CJ32:CM32" si="85">CJ23+CJ30</f>
        <v>54592965.072528996</v>
      </c>
      <c r="CK32" s="219">
        <f t="shared" si="85"/>
        <v>46386065.777491413</v>
      </c>
      <c r="CL32" s="219">
        <f t="shared" si="85"/>
        <v>52655120.076259539</v>
      </c>
      <c r="CM32" s="219">
        <f t="shared" si="85"/>
        <v>53748997.641676918</v>
      </c>
      <c r="CN32" s="216">
        <f>SUM(BX32,BD32,AJ32,P32)</f>
        <v>0</v>
      </c>
      <c r="CO32" s="219">
        <f t="shared" ref="CO32:CR32" si="86">CO23+CO30</f>
        <v>126228222.33775334</v>
      </c>
      <c r="CP32" s="219">
        <f t="shared" si="86"/>
        <v>121728543.87357698</v>
      </c>
      <c r="CQ32" s="219">
        <f t="shared" si="86"/>
        <v>131515199.84839636</v>
      </c>
      <c r="CR32" s="219">
        <f t="shared" si="86"/>
        <v>138107190.87912709</v>
      </c>
      <c r="CS32" s="216">
        <f>SUM(CC32,BI32,AO32,U32)</f>
        <v>517579156.93885374</v>
      </c>
      <c r="CT32" s="317"/>
      <c r="CU32" s="317"/>
      <c r="CV32" s="317"/>
      <c r="CW32" s="317"/>
      <c r="CX32" s="317"/>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8"/>
      <c r="DX32" s="318"/>
      <c r="DY32" s="318"/>
      <c r="DZ32" s="318"/>
      <c r="EA32" s="318"/>
    </row>
    <row r="33" spans="1:102" ht="15.75" customHeight="1">
      <c r="B33" s="193"/>
      <c r="C33" s="178"/>
      <c r="D33" s="178"/>
      <c r="E33" s="178"/>
      <c r="F33" s="178"/>
      <c r="G33" s="178"/>
      <c r="H33" s="178"/>
      <c r="I33" s="178"/>
      <c r="J33" s="178"/>
      <c r="K33" s="381"/>
      <c r="L33" s="382"/>
      <c r="M33" s="178"/>
      <c r="N33" s="178"/>
      <c r="O33" s="178"/>
      <c r="P33" s="178"/>
      <c r="Q33" s="178"/>
      <c r="R33" s="178"/>
      <c r="S33" s="178"/>
      <c r="T33" s="178"/>
      <c r="U33" s="382"/>
      <c r="V33" s="193"/>
      <c r="W33" s="178"/>
      <c r="X33" s="178"/>
      <c r="Y33" s="178"/>
      <c r="Z33" s="178"/>
      <c r="AA33" s="178"/>
      <c r="AB33" s="178"/>
      <c r="AC33" s="178"/>
      <c r="AD33" s="178"/>
      <c r="AE33" s="381"/>
      <c r="AF33" s="382"/>
      <c r="AG33" s="178"/>
      <c r="AH33" s="178"/>
      <c r="AI33" s="178"/>
      <c r="AJ33" s="178"/>
      <c r="AK33" s="178"/>
      <c r="AL33" s="178"/>
      <c r="AM33" s="178"/>
      <c r="AN33" s="178"/>
      <c r="AO33" s="382"/>
      <c r="AP33" s="193"/>
      <c r="AQ33" s="178"/>
      <c r="AR33" s="178"/>
      <c r="AS33" s="178"/>
      <c r="AT33" s="178"/>
      <c r="AU33" s="178"/>
      <c r="AV33" s="178"/>
      <c r="AW33" s="178"/>
      <c r="AX33" s="178"/>
      <c r="AY33" s="381"/>
      <c r="AZ33" s="382"/>
      <c r="BA33" s="178"/>
      <c r="BB33" s="178"/>
      <c r="BC33" s="178"/>
      <c r="BD33" s="178"/>
      <c r="BE33" s="178"/>
      <c r="BF33" s="178"/>
      <c r="BG33" s="178"/>
      <c r="BH33" s="178"/>
      <c r="BI33" s="382"/>
      <c r="BJ33" s="193"/>
      <c r="BK33" s="178"/>
      <c r="BL33" s="178"/>
      <c r="BM33" s="178"/>
      <c r="BN33" s="178"/>
      <c r="BO33" s="178"/>
      <c r="BP33" s="178"/>
      <c r="BQ33" s="178"/>
      <c r="BR33" s="178"/>
      <c r="BS33" s="381"/>
      <c r="BT33" s="382"/>
      <c r="BU33" s="178"/>
      <c r="BV33" s="178"/>
      <c r="BW33" s="178"/>
      <c r="BX33" s="178"/>
      <c r="BY33" s="178"/>
      <c r="BZ33" s="178"/>
      <c r="CA33" s="178"/>
      <c r="CB33" s="178"/>
      <c r="CC33" s="382"/>
      <c r="CD33" s="193"/>
      <c r="CE33" s="178"/>
      <c r="CF33" s="178"/>
      <c r="CG33" s="178"/>
      <c r="CH33" s="178"/>
      <c r="CI33" s="419"/>
      <c r="CJ33" s="178"/>
      <c r="CK33" s="178"/>
      <c r="CL33" s="178"/>
      <c r="CM33" s="178"/>
      <c r="CN33" s="419"/>
      <c r="CO33" s="178"/>
      <c r="CP33" s="178"/>
      <c r="CQ33" s="178"/>
      <c r="CR33" s="178"/>
      <c r="CS33" s="419"/>
      <c r="CT33" s="319"/>
      <c r="CU33" s="319"/>
      <c r="CV33" s="319"/>
      <c r="CW33" s="319"/>
      <c r="CX33" s="319"/>
    </row>
    <row r="34" spans="1:102"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2"/>
      <c r="V34" s="193"/>
      <c r="W34" s="178"/>
      <c r="X34" s="178"/>
      <c r="Y34" s="178"/>
      <c r="Z34" s="178"/>
      <c r="AA34" s="178"/>
      <c r="AB34" s="178"/>
      <c r="AC34" s="178"/>
      <c r="AD34" s="178"/>
      <c r="AE34" s="381"/>
      <c r="AF34" s="382"/>
      <c r="AG34" s="178"/>
      <c r="AH34" s="178"/>
      <c r="AI34" s="178"/>
      <c r="AJ34" s="178"/>
      <c r="AK34" s="178"/>
      <c r="AL34" s="178"/>
      <c r="AM34" s="178"/>
      <c r="AN34" s="178"/>
      <c r="AO34" s="382"/>
      <c r="AP34" s="193"/>
      <c r="AQ34" s="178"/>
      <c r="AR34" s="178"/>
      <c r="AS34" s="178"/>
      <c r="AT34" s="178"/>
      <c r="AU34" s="178"/>
      <c r="AV34" s="178"/>
      <c r="AW34" s="178"/>
      <c r="AX34" s="178"/>
      <c r="AY34" s="381"/>
      <c r="AZ34" s="382"/>
      <c r="BA34" s="178"/>
      <c r="BB34" s="178"/>
      <c r="BC34" s="178"/>
      <c r="BD34" s="178"/>
      <c r="BE34" s="178"/>
      <c r="BF34" s="178"/>
      <c r="BG34" s="178"/>
      <c r="BH34" s="178"/>
      <c r="BI34" s="382"/>
      <c r="BJ34" s="193"/>
      <c r="BK34" s="178"/>
      <c r="BL34" s="178"/>
      <c r="BM34" s="178"/>
      <c r="BN34" s="178"/>
      <c r="BO34" s="178"/>
      <c r="BP34" s="178"/>
      <c r="BQ34" s="178"/>
      <c r="BR34" s="178"/>
      <c r="BS34" s="381"/>
      <c r="BT34" s="382"/>
      <c r="BU34" s="178"/>
      <c r="BV34" s="178"/>
      <c r="BW34" s="178"/>
      <c r="BX34" s="178"/>
      <c r="BY34" s="178"/>
      <c r="BZ34" s="178"/>
      <c r="CA34" s="178"/>
      <c r="CB34" s="178"/>
      <c r="CC34" s="382"/>
      <c r="CD34" s="193"/>
      <c r="CE34" s="178"/>
      <c r="CF34" s="178"/>
      <c r="CG34" s="178"/>
      <c r="CH34" s="178"/>
      <c r="CI34" s="419"/>
      <c r="CJ34" s="178"/>
      <c r="CK34" s="178"/>
      <c r="CL34" s="178"/>
      <c r="CM34" s="178"/>
      <c r="CN34" s="419"/>
      <c r="CO34" s="178"/>
      <c r="CP34" s="178"/>
      <c r="CQ34" s="178"/>
      <c r="CR34" s="178"/>
      <c r="CS34" s="419"/>
      <c r="CT34" s="319"/>
      <c r="CV34" s="319"/>
      <c r="CX34" s="319"/>
    </row>
    <row r="35" spans="1:102" ht="15.75" customHeight="1">
      <c r="A35" s="88" t="s">
        <v>197</v>
      </c>
      <c r="B35" s="300">
        <v>13</v>
      </c>
      <c r="C35" s="231">
        <v>56838.564825024878</v>
      </c>
      <c r="D35" s="231">
        <v>66608.567462607345</v>
      </c>
      <c r="E35" s="231">
        <v>265798.48496773781</v>
      </c>
      <c r="F35" s="231">
        <v>116485.62250650616</v>
      </c>
      <c r="G35" s="231">
        <v>324982.15243069927</v>
      </c>
      <c r="H35" s="231">
        <v>78029.727531780227</v>
      </c>
      <c r="I35" s="231">
        <v>188892.7670022418</v>
      </c>
      <c r="J35" s="231">
        <v>26074.532419166149</v>
      </c>
      <c r="K35" s="412">
        <f t="shared" ref="K35:K64" si="87">SUM(C35:J35)</f>
        <v>1123710.4191457634</v>
      </c>
      <c r="L35" s="417">
        <v>0</v>
      </c>
      <c r="M35" s="231">
        <v>784918.43893690431</v>
      </c>
      <c r="N35" s="231">
        <v>0</v>
      </c>
      <c r="O35" s="231">
        <v>2335668.8656139863</v>
      </c>
      <c r="P35" s="231">
        <v>0</v>
      </c>
      <c r="Q35" s="231">
        <v>1873535.1681386172</v>
      </c>
      <c r="R35" s="231">
        <v>0</v>
      </c>
      <c r="S35" s="231">
        <v>1608638.2012007029</v>
      </c>
      <c r="T35" s="414">
        <f t="shared" ref="T35:T64" si="88">SUM(L35:S35)</f>
        <v>6602760.6738902107</v>
      </c>
      <c r="U35" s="415">
        <f t="shared" ref="U35:U64" si="89">SUM(T35,K35)</f>
        <v>7726471.0930359736</v>
      </c>
      <c r="V35" s="300">
        <v>13</v>
      </c>
      <c r="W35" s="231">
        <v>0</v>
      </c>
      <c r="X35" s="231">
        <v>12292.636748903053</v>
      </c>
      <c r="Y35" s="231">
        <v>0</v>
      </c>
      <c r="Z35" s="231">
        <v>9843.8370584574477</v>
      </c>
      <c r="AA35" s="231">
        <v>6749.1095850437396</v>
      </c>
      <c r="AB35" s="231">
        <v>8323.2184519989496</v>
      </c>
      <c r="AC35" s="231">
        <v>60902.425352318802</v>
      </c>
      <c r="AD35" s="231">
        <v>3418.5613953350189</v>
      </c>
      <c r="AE35" s="412">
        <f t="shared" ref="AE35:AE64" si="90">SUM(W35:AD35)</f>
        <v>101529.78859205703</v>
      </c>
      <c r="AF35" s="417">
        <v>0</v>
      </c>
      <c r="AG35" s="231">
        <v>251982.26940737374</v>
      </c>
      <c r="AH35" s="231">
        <v>0</v>
      </c>
      <c r="AI35" s="231">
        <v>180210.01373413368</v>
      </c>
      <c r="AJ35" s="231">
        <v>0</v>
      </c>
      <c r="AK35" s="231">
        <v>281994.4278060316</v>
      </c>
      <c r="AL35" s="231">
        <v>0</v>
      </c>
      <c r="AM35" s="231">
        <v>256620.43112811144</v>
      </c>
      <c r="AN35" s="414">
        <f t="shared" ref="AN35:AN64" si="91">SUM(AF35:AM35)</f>
        <v>970807.14207565039</v>
      </c>
      <c r="AO35" s="415">
        <f t="shared" ref="AO35:AO64" si="92">SUM(AN35,AE35)</f>
        <v>1072336.9306677075</v>
      </c>
      <c r="AP35" s="300">
        <v>13</v>
      </c>
      <c r="AQ35" s="231">
        <v>1707233.2748380373</v>
      </c>
      <c r="AR35" s="231">
        <v>516157.70339866111</v>
      </c>
      <c r="AS35" s="231">
        <v>771077.9889039828</v>
      </c>
      <c r="AT35" s="231">
        <v>477901.80603075179</v>
      </c>
      <c r="AU35" s="231">
        <v>975421.51555874455</v>
      </c>
      <c r="AV35" s="231">
        <v>398631.05590723082</v>
      </c>
      <c r="AW35" s="231">
        <v>1668593.1873161988</v>
      </c>
      <c r="AX35" s="231">
        <v>348705.89340579807</v>
      </c>
      <c r="AY35" s="412">
        <f t="shared" ref="AY35:AY64" si="93">SUM(AQ35:AX35)</f>
        <v>6863722.4253594046</v>
      </c>
      <c r="AZ35" s="417">
        <v>0</v>
      </c>
      <c r="BA35" s="231">
        <v>7692909.1008615093</v>
      </c>
      <c r="BB35" s="231">
        <v>0</v>
      </c>
      <c r="BC35" s="231">
        <v>6487516.8244520808</v>
      </c>
      <c r="BD35" s="231">
        <v>0</v>
      </c>
      <c r="BE35" s="231">
        <v>7289242.895040568</v>
      </c>
      <c r="BF35" s="231">
        <v>0</v>
      </c>
      <c r="BG35" s="231">
        <v>8030539.6711387392</v>
      </c>
      <c r="BH35" s="414">
        <f t="shared" ref="BH35:BH64" si="94">SUM(AZ35:BG35)</f>
        <v>29500208.491492897</v>
      </c>
      <c r="BI35" s="415">
        <f t="shared" ref="BI35:BI64" si="95">SUM(BH35,AY35)</f>
        <v>36363930.916852303</v>
      </c>
      <c r="BJ35" s="300">
        <v>13</v>
      </c>
      <c r="BK35" s="231">
        <v>74800.604495104781</v>
      </c>
      <c r="BL35" s="231">
        <v>42878.030758229776</v>
      </c>
      <c r="BM35" s="231">
        <v>48701.81234233328</v>
      </c>
      <c r="BN35" s="231">
        <v>25091.369438460631</v>
      </c>
      <c r="BO35" s="231">
        <v>8366.0733160922682</v>
      </c>
      <c r="BP35" s="231">
        <v>20913.163553545903</v>
      </c>
      <c r="BQ35" s="231">
        <v>63210.739809196442</v>
      </c>
      <c r="BR35" s="231">
        <v>14730.501453642577</v>
      </c>
      <c r="BS35" s="412">
        <f t="shared" ref="BS35:BS64" si="96">SUM(BK35:BR35)</f>
        <v>298692.29516660562</v>
      </c>
      <c r="BT35" s="417">
        <v>0</v>
      </c>
      <c r="BU35" s="231">
        <v>555601.66898094967</v>
      </c>
      <c r="BV35" s="231">
        <v>0</v>
      </c>
      <c r="BW35" s="231">
        <v>574229.57693740807</v>
      </c>
      <c r="BX35" s="231">
        <v>0</v>
      </c>
      <c r="BY35" s="231">
        <v>594465.39924228273</v>
      </c>
      <c r="BZ35" s="231">
        <v>0</v>
      </c>
      <c r="CA35" s="231">
        <v>733390.4032144472</v>
      </c>
      <c r="CB35" s="414">
        <f t="shared" ref="CB35:CB64" si="97">SUM(BT35:CA35)</f>
        <v>2457687.0483750878</v>
      </c>
      <c r="CC35" s="415">
        <f t="shared" ref="CC35:CC64" si="98">SUM(CB35,BS35)</f>
        <v>2756379.3435416934</v>
      </c>
      <c r="CD35" s="300">
        <v>13</v>
      </c>
      <c r="CE35" s="414">
        <f t="shared" ref="CE35:CE64" si="99">+C35+D35+W35+X35+AQ35+AR35+BK35+BL35</f>
        <v>2476809.3825265681</v>
      </c>
      <c r="CF35" s="414">
        <f t="shared" ref="CF35:CF64" si="100">+E35+F35+Y35+Z35+AS35+AT35+BM35+BN35</f>
        <v>1714900.9212482299</v>
      </c>
      <c r="CG35" s="414">
        <f t="shared" ref="CG35:CG64" si="101">+G35+H35+AA35+AB35+AU35+AV35+BO35+BP35</f>
        <v>1821416.0163351358</v>
      </c>
      <c r="CH35" s="414">
        <f t="shared" ref="CH35:CH64" si="102">+I35+J35+AC35+AD35+AW35+AX35+BQ35+BR35</f>
        <v>2374528.6081538978</v>
      </c>
      <c r="CI35" s="416">
        <f t="shared" ref="CI35:CI64" si="103">SUM(K35,AE35,AY35,BS35)</f>
        <v>8387654.92826383</v>
      </c>
      <c r="CJ35" s="414">
        <f t="shared" ref="CJ35:CJ64" si="104">L35+M35+AF35+AG35+AZ35+BA35+BT35+BU35</f>
        <v>9285411.4781867377</v>
      </c>
      <c r="CK35" s="414">
        <f t="shared" ref="CK35:CK64" si="105">N35+O35+AH35+AI35+BB35+BC35+BV35+BW35</f>
        <v>9577625.2807376087</v>
      </c>
      <c r="CL35" s="414">
        <f t="shared" ref="CL35:CL64" si="106">P35+Q35+AJ35+AK35+BD35+BE35+BX35+BY35</f>
        <v>10039237.890227498</v>
      </c>
      <c r="CM35" s="414">
        <f t="shared" ref="CM35:CM64" si="107">+R35+S35+AL35+AM35+BF35+BG35+BZ35+CA35</f>
        <v>10629188.706682</v>
      </c>
      <c r="CN35" s="416">
        <f t="shared" ref="CN35:CN64" si="108">SUM(T35,AN35,BH35,CB35)</f>
        <v>39531463.355833843</v>
      </c>
      <c r="CO35" s="414">
        <f t="shared" ref="CO35:CO64" si="109">+C35+D35+L35+M35+W35+X35+AF35+AG35+AQ35+AR35+AZ35+BA35+BK35+BL35+BT35+BU35</f>
        <v>11762220.860713307</v>
      </c>
      <c r="CP35" s="414">
        <f t="shared" ref="CP35:CP64" si="110">+E35+F35+N35+O35+Y35+Z35+AH35+AI35+AS35+AT35+BB35+BC35+BM35+BN35+BV35+BW35</f>
        <v>11292526.201985836</v>
      </c>
      <c r="CQ35" s="414">
        <f t="shared" ref="CQ35:CQ64" si="111">+G35+H35+P35+Q35+AA35+AB35+AJ35+AK35+AU35+AV35+BD35+BE35+BO35+BP35+BX35+BY35</f>
        <v>11860653.906562634</v>
      </c>
      <c r="CR35" s="414">
        <f t="shared" ref="CR35:CR64" si="112">+I35+J35+R35+S35+AC35+AD35+AL35+AM35+AW35+AX35+BF35+BG35+BQ35+BR35+BZ35+CA35</f>
        <v>13003717.314835899</v>
      </c>
      <c r="CS35" s="416">
        <f t="shared" ref="CS35:CS64" si="113">SUM(CC35,BI35,AO35,U35)</f>
        <v>47919118.284097679</v>
      </c>
      <c r="CT35" s="319"/>
      <c r="CV35" s="319"/>
      <c r="CX35" s="319"/>
    </row>
    <row r="36" spans="1:102" ht="15.75" customHeight="1">
      <c r="A36" s="88" t="s">
        <v>199</v>
      </c>
      <c r="B36" s="300">
        <v>14</v>
      </c>
      <c r="C36" s="231">
        <v>0</v>
      </c>
      <c r="D36" s="231">
        <v>5463.3941106235789</v>
      </c>
      <c r="E36" s="231">
        <v>30143.215447551003</v>
      </c>
      <c r="F36" s="231">
        <v>4910.6449081568926</v>
      </c>
      <c r="G36" s="231">
        <v>9760.5825400010654</v>
      </c>
      <c r="H36" s="231">
        <v>0</v>
      </c>
      <c r="I36" s="231">
        <v>0</v>
      </c>
      <c r="J36" s="231">
        <v>0</v>
      </c>
      <c r="K36" s="412">
        <f t="shared" si="87"/>
        <v>50277.837006332542</v>
      </c>
      <c r="L36" s="417">
        <v>0</v>
      </c>
      <c r="M36" s="231">
        <v>79675.162863366102</v>
      </c>
      <c r="N36" s="231">
        <v>0</v>
      </c>
      <c r="O36" s="231">
        <v>83657.088686264644</v>
      </c>
      <c r="P36" s="231">
        <v>0</v>
      </c>
      <c r="Q36" s="231">
        <v>56195.134630808672</v>
      </c>
      <c r="R36" s="231">
        <v>0</v>
      </c>
      <c r="S36" s="231">
        <v>42318.691408791958</v>
      </c>
      <c r="T36" s="414">
        <f t="shared" si="88"/>
        <v>261846.07758923137</v>
      </c>
      <c r="U36" s="415">
        <f t="shared" si="89"/>
        <v>312123.9145955639</v>
      </c>
      <c r="V36" s="300">
        <v>14</v>
      </c>
      <c r="W36" s="231">
        <v>0</v>
      </c>
      <c r="X36" s="231">
        <v>3000.0602557603083</v>
      </c>
      <c r="Y36" s="231">
        <v>0</v>
      </c>
      <c r="Z36" s="231">
        <v>3273.7632721045952</v>
      </c>
      <c r="AA36" s="231">
        <v>0</v>
      </c>
      <c r="AB36" s="231">
        <v>0</v>
      </c>
      <c r="AC36" s="231">
        <v>11780.505008382614</v>
      </c>
      <c r="AD36" s="231">
        <v>0</v>
      </c>
      <c r="AE36" s="412">
        <f t="shared" si="90"/>
        <v>18054.328536247518</v>
      </c>
      <c r="AF36" s="417">
        <v>0</v>
      </c>
      <c r="AG36" s="231">
        <v>110284.96478551957</v>
      </c>
      <c r="AH36" s="231">
        <v>0</v>
      </c>
      <c r="AI36" s="231">
        <v>56759.47079471199</v>
      </c>
      <c r="AJ36" s="231">
        <v>0</v>
      </c>
      <c r="AK36" s="231">
        <v>0</v>
      </c>
      <c r="AL36" s="231">
        <v>0</v>
      </c>
      <c r="AM36" s="231">
        <v>39903.453550339393</v>
      </c>
      <c r="AN36" s="414">
        <f t="shared" si="91"/>
        <v>206947.88913057093</v>
      </c>
      <c r="AO36" s="415">
        <f t="shared" si="92"/>
        <v>225002.21766681844</v>
      </c>
      <c r="AP36" s="300">
        <v>14</v>
      </c>
      <c r="AQ36" s="231">
        <v>0</v>
      </c>
      <c r="AR36" s="231">
        <v>12560.999949351572</v>
      </c>
      <c r="AS36" s="231">
        <v>0</v>
      </c>
      <c r="AT36" s="231">
        <v>14695.947400266294</v>
      </c>
      <c r="AU36" s="231">
        <v>10794.647226627932</v>
      </c>
      <c r="AV36" s="231">
        <v>8261.1786203987012</v>
      </c>
      <c r="AW36" s="231">
        <v>0</v>
      </c>
      <c r="AX36" s="231">
        <v>5127.8420930025286</v>
      </c>
      <c r="AY36" s="412">
        <f t="shared" si="93"/>
        <v>51440.61528964703</v>
      </c>
      <c r="AZ36" s="417">
        <v>0</v>
      </c>
      <c r="BA36" s="231">
        <v>160100.30745827881</v>
      </c>
      <c r="BB36" s="231">
        <v>0</v>
      </c>
      <c r="BC36" s="231">
        <v>213218.43081943411</v>
      </c>
      <c r="BD36" s="231">
        <v>0</v>
      </c>
      <c r="BE36" s="231">
        <v>218118.49697251001</v>
      </c>
      <c r="BF36" s="231">
        <v>0</v>
      </c>
      <c r="BG36" s="231">
        <v>250650.77621337058</v>
      </c>
      <c r="BH36" s="414">
        <f t="shared" si="94"/>
        <v>842088.01146359358</v>
      </c>
      <c r="BI36" s="415">
        <f t="shared" si="95"/>
        <v>893528.62675324059</v>
      </c>
      <c r="BJ36" s="300">
        <v>14</v>
      </c>
      <c r="BK36" s="231">
        <v>0</v>
      </c>
      <c r="BL36" s="231">
        <v>1365.8485276558947</v>
      </c>
      <c r="BM36" s="231">
        <v>0</v>
      </c>
      <c r="BN36" s="231">
        <v>1636.8816360522976</v>
      </c>
      <c r="BO36" s="231">
        <v>0</v>
      </c>
      <c r="BP36" s="231">
        <v>0</v>
      </c>
      <c r="BQ36" s="231">
        <v>12589.030388393881</v>
      </c>
      <c r="BR36" s="231">
        <v>0</v>
      </c>
      <c r="BS36" s="412">
        <f t="shared" si="96"/>
        <v>15591.760552102074</v>
      </c>
      <c r="BT36" s="417">
        <v>0</v>
      </c>
      <c r="BU36" s="231">
        <v>12072.805846764257</v>
      </c>
      <c r="BV36" s="231">
        <v>0</v>
      </c>
      <c r="BW36" s="231">
        <v>13610.215425437806</v>
      </c>
      <c r="BX36" s="231">
        <v>0</v>
      </c>
      <c r="BY36" s="231">
        <v>4801.0713636606542</v>
      </c>
      <c r="BZ36" s="231">
        <v>0</v>
      </c>
      <c r="CA36" s="231">
        <v>0</v>
      </c>
      <c r="CB36" s="414">
        <f t="shared" si="97"/>
        <v>30484.092635862718</v>
      </c>
      <c r="CC36" s="415">
        <f t="shared" si="98"/>
        <v>46075.853187964793</v>
      </c>
      <c r="CD36" s="300">
        <v>14</v>
      </c>
      <c r="CE36" s="414">
        <f t="shared" si="99"/>
        <v>22390.30284339135</v>
      </c>
      <c r="CF36" s="414">
        <f t="shared" si="100"/>
        <v>54660.452664131088</v>
      </c>
      <c r="CG36" s="414">
        <f t="shared" si="101"/>
        <v>28816.408387027695</v>
      </c>
      <c r="CH36" s="414">
        <f t="shared" si="102"/>
        <v>29497.377489779021</v>
      </c>
      <c r="CI36" s="416">
        <f t="shared" si="103"/>
        <v>135364.54138432915</v>
      </c>
      <c r="CJ36" s="414">
        <f t="shared" si="104"/>
        <v>362133.24095392867</v>
      </c>
      <c r="CK36" s="414">
        <f t="shared" si="105"/>
        <v>367245.20572584856</v>
      </c>
      <c r="CL36" s="414">
        <f t="shared" si="106"/>
        <v>279114.70296697936</v>
      </c>
      <c r="CM36" s="414">
        <f t="shared" si="107"/>
        <v>332872.92117250193</v>
      </c>
      <c r="CN36" s="416">
        <f t="shared" si="108"/>
        <v>1341366.0708192587</v>
      </c>
      <c r="CO36" s="414">
        <f t="shared" si="109"/>
        <v>384523.54379732005</v>
      </c>
      <c r="CP36" s="414">
        <f t="shared" si="110"/>
        <v>421905.65838997962</v>
      </c>
      <c r="CQ36" s="414">
        <f t="shared" si="111"/>
        <v>307931.11135400709</v>
      </c>
      <c r="CR36" s="414">
        <f t="shared" si="112"/>
        <v>362370.29866228101</v>
      </c>
      <c r="CS36" s="416">
        <f t="shared" si="113"/>
        <v>1476730.6122035878</v>
      </c>
      <c r="CT36" s="319"/>
      <c r="CV36" s="319"/>
      <c r="CX36" s="319"/>
    </row>
    <row r="37" spans="1:102" ht="15.75" customHeight="1">
      <c r="A37" s="88" t="s">
        <v>200</v>
      </c>
      <c r="B37" s="300">
        <v>15</v>
      </c>
      <c r="C37" s="231">
        <v>158388.08106734292</v>
      </c>
      <c r="D37" s="231">
        <v>215883.08431047897</v>
      </c>
      <c r="E37" s="231">
        <v>341732.92256860476</v>
      </c>
      <c r="F37" s="231">
        <v>181435.84211597504</v>
      </c>
      <c r="G37" s="231">
        <v>269451.5423917069</v>
      </c>
      <c r="H37" s="231">
        <v>250609.41379752237</v>
      </c>
      <c r="I37" s="231">
        <v>267605.14312983054</v>
      </c>
      <c r="J37" s="231">
        <v>55349.336844569334</v>
      </c>
      <c r="K37" s="412">
        <f t="shared" si="87"/>
        <v>1740455.3662260307</v>
      </c>
      <c r="L37" s="417">
        <v>0</v>
      </c>
      <c r="M37" s="231">
        <v>754958.0812715916</v>
      </c>
      <c r="N37" s="231">
        <v>0</v>
      </c>
      <c r="O37" s="231">
        <v>1462924.5811048229</v>
      </c>
      <c r="P37" s="231">
        <v>0</v>
      </c>
      <c r="Q37" s="231">
        <v>1311999.0355249285</v>
      </c>
      <c r="R37" s="231">
        <v>0</v>
      </c>
      <c r="S37" s="231">
        <v>1213061.5798467954</v>
      </c>
      <c r="T37" s="414">
        <f t="shared" si="88"/>
        <v>4742943.2777481386</v>
      </c>
      <c r="U37" s="415">
        <f t="shared" si="89"/>
        <v>6483398.6439741692</v>
      </c>
      <c r="V37" s="300">
        <v>15</v>
      </c>
      <c r="W37" s="231">
        <v>11336.823159007081</v>
      </c>
      <c r="X37" s="231">
        <v>61441.524430986523</v>
      </c>
      <c r="Y37" s="231">
        <v>2336.8090140564245</v>
      </c>
      <c r="Z37" s="231">
        <v>20807.674268700539</v>
      </c>
      <c r="AA37" s="231">
        <v>16123.309916653241</v>
      </c>
      <c r="AB37" s="231">
        <v>42642.908167341957</v>
      </c>
      <c r="AC37" s="231">
        <v>27909.045159125391</v>
      </c>
      <c r="AD37" s="231">
        <v>12115.825662895622</v>
      </c>
      <c r="AE37" s="412">
        <f t="shared" si="90"/>
        <v>194713.91977876678</v>
      </c>
      <c r="AF37" s="417">
        <v>0</v>
      </c>
      <c r="AG37" s="231">
        <v>228717.79965584521</v>
      </c>
      <c r="AH37" s="231">
        <v>0</v>
      </c>
      <c r="AI37" s="231">
        <v>259844.39178586387</v>
      </c>
      <c r="AJ37" s="231">
        <v>0</v>
      </c>
      <c r="AK37" s="231">
        <v>256815.73592699025</v>
      </c>
      <c r="AL37" s="231">
        <v>0</v>
      </c>
      <c r="AM37" s="231">
        <v>325144.05299820058</v>
      </c>
      <c r="AN37" s="414">
        <f t="shared" si="91"/>
        <v>1070521.9803668999</v>
      </c>
      <c r="AO37" s="415">
        <f t="shared" si="92"/>
        <v>1265235.9001456667</v>
      </c>
      <c r="AP37" s="300">
        <v>15</v>
      </c>
      <c r="AQ37" s="231">
        <v>1127851.053920876</v>
      </c>
      <c r="AR37" s="231">
        <v>1156899.1173201643</v>
      </c>
      <c r="AS37" s="231">
        <v>1373651.1495698844</v>
      </c>
      <c r="AT37" s="231">
        <v>998664.58539831114</v>
      </c>
      <c r="AU37" s="231">
        <v>1301136.1186644787</v>
      </c>
      <c r="AV37" s="231">
        <v>1048703.0091905294</v>
      </c>
      <c r="AW37" s="231">
        <v>1462397.702775134</v>
      </c>
      <c r="AX37" s="231">
        <v>895063.88424202683</v>
      </c>
      <c r="AY37" s="412">
        <f t="shared" si="93"/>
        <v>9364366.6210814044</v>
      </c>
      <c r="AZ37" s="417">
        <v>0</v>
      </c>
      <c r="BA37" s="231">
        <v>5060869.3365787948</v>
      </c>
      <c r="BB37" s="231">
        <v>0</v>
      </c>
      <c r="BC37" s="231">
        <v>5659416.8804752296</v>
      </c>
      <c r="BD37" s="231">
        <v>0</v>
      </c>
      <c r="BE37" s="231">
        <v>6067498.6388601931</v>
      </c>
      <c r="BF37" s="231">
        <v>0</v>
      </c>
      <c r="BG37" s="231">
        <v>6900492.0385616124</v>
      </c>
      <c r="BH37" s="414">
        <f t="shared" si="94"/>
        <v>23688276.894475829</v>
      </c>
      <c r="BI37" s="415">
        <f t="shared" si="95"/>
        <v>33052643.515557233</v>
      </c>
      <c r="BJ37" s="300">
        <v>15</v>
      </c>
      <c r="BK37" s="231">
        <v>33479.07028592415</v>
      </c>
      <c r="BL37" s="231">
        <v>22135.858480578059</v>
      </c>
      <c r="BM37" s="231">
        <v>5775.1932315809127</v>
      </c>
      <c r="BN37" s="231">
        <v>130644.98967536604</v>
      </c>
      <c r="BO37" s="231">
        <v>39478.188324177543</v>
      </c>
      <c r="BP37" s="231">
        <v>120701.60044426056</v>
      </c>
      <c r="BQ37" s="231">
        <v>35177.562328816428</v>
      </c>
      <c r="BR37" s="231">
        <v>110231.14561889865</v>
      </c>
      <c r="BS37" s="412">
        <f t="shared" si="96"/>
        <v>497623.60838960239</v>
      </c>
      <c r="BT37" s="417">
        <v>0</v>
      </c>
      <c r="BU37" s="231">
        <v>107508.25648035906</v>
      </c>
      <c r="BV37" s="231">
        <v>0</v>
      </c>
      <c r="BW37" s="231">
        <v>135978.72341104943</v>
      </c>
      <c r="BX37" s="231">
        <v>0</v>
      </c>
      <c r="BY37" s="231">
        <v>171586.43745120289</v>
      </c>
      <c r="BZ37" s="231">
        <v>0</v>
      </c>
      <c r="CA37" s="231">
        <v>144630.10365655686</v>
      </c>
      <c r="CB37" s="414">
        <f t="shared" si="97"/>
        <v>559703.52099916828</v>
      </c>
      <c r="CC37" s="415">
        <f t="shared" si="98"/>
        <v>1057327.1293887706</v>
      </c>
      <c r="CD37" s="300">
        <v>15</v>
      </c>
      <c r="CE37" s="414">
        <f t="shared" si="99"/>
        <v>2787414.6129753585</v>
      </c>
      <c r="CF37" s="414">
        <f t="shared" si="100"/>
        <v>3055049.1658424791</v>
      </c>
      <c r="CG37" s="414">
        <f t="shared" si="101"/>
        <v>3088846.0908966702</v>
      </c>
      <c r="CH37" s="414">
        <f t="shared" si="102"/>
        <v>2865849.6457612971</v>
      </c>
      <c r="CI37" s="416">
        <f t="shared" si="103"/>
        <v>11797159.515475804</v>
      </c>
      <c r="CJ37" s="414">
        <f t="shared" si="104"/>
        <v>6152053.4739865912</v>
      </c>
      <c r="CK37" s="414">
        <f t="shared" si="105"/>
        <v>7518164.5767769665</v>
      </c>
      <c r="CL37" s="414">
        <f t="shared" si="106"/>
        <v>7807899.8477633148</v>
      </c>
      <c r="CM37" s="414">
        <f t="shared" si="107"/>
        <v>8583327.7750631645</v>
      </c>
      <c r="CN37" s="416">
        <f t="shared" si="108"/>
        <v>30061445.673590034</v>
      </c>
      <c r="CO37" s="414">
        <f t="shared" si="109"/>
        <v>8939468.0869619474</v>
      </c>
      <c r="CP37" s="414">
        <f t="shared" si="110"/>
        <v>10573213.742619446</v>
      </c>
      <c r="CQ37" s="414">
        <f t="shared" si="111"/>
        <v>10896745.938659986</v>
      </c>
      <c r="CR37" s="414">
        <f t="shared" si="112"/>
        <v>11449177.420824463</v>
      </c>
      <c r="CS37" s="416">
        <f t="shared" si="113"/>
        <v>41858605.189065836</v>
      </c>
    </row>
    <row r="38" spans="1:102" ht="15.75" customHeight="1">
      <c r="A38" s="88" t="s">
        <v>201</v>
      </c>
      <c r="B38" s="300">
        <v>16</v>
      </c>
      <c r="C38" s="231">
        <v>6842.2101884504009</v>
      </c>
      <c r="D38" s="231">
        <v>14005.825363646914</v>
      </c>
      <c r="E38" s="231">
        <v>11286.760256531928</v>
      </c>
      <c r="F38" s="231">
        <v>17522.968362619627</v>
      </c>
      <c r="G38" s="231">
        <v>7460.7959496003186</v>
      </c>
      <c r="H38" s="231">
        <v>45684.904962422464</v>
      </c>
      <c r="I38" s="231">
        <v>3095.7461400439156</v>
      </c>
      <c r="J38" s="231">
        <v>12555.556974731226</v>
      </c>
      <c r="K38" s="412">
        <f t="shared" si="87"/>
        <v>118454.76819804679</v>
      </c>
      <c r="L38" s="417">
        <v>0</v>
      </c>
      <c r="M38" s="231">
        <v>27449.163194821154</v>
      </c>
      <c r="N38" s="231">
        <v>0</v>
      </c>
      <c r="O38" s="231">
        <v>72339.988150198769</v>
      </c>
      <c r="P38" s="231">
        <v>0</v>
      </c>
      <c r="Q38" s="231">
        <v>59741.840065442921</v>
      </c>
      <c r="R38" s="231">
        <v>0</v>
      </c>
      <c r="S38" s="231">
        <v>66689.027846969664</v>
      </c>
      <c r="T38" s="414">
        <f t="shared" si="88"/>
        <v>226220.01925743252</v>
      </c>
      <c r="U38" s="415">
        <f t="shared" si="89"/>
        <v>344674.78745547932</v>
      </c>
      <c r="V38" s="300">
        <v>16</v>
      </c>
      <c r="W38" s="231">
        <v>14788.664851880663</v>
      </c>
      <c r="X38" s="231">
        <v>26186.941181080019</v>
      </c>
      <c r="Y38" s="231">
        <v>7862.8692618266577</v>
      </c>
      <c r="Z38" s="231">
        <v>5381.6295151773829</v>
      </c>
      <c r="AA38" s="231">
        <v>4390.7455687880592</v>
      </c>
      <c r="AB38" s="231">
        <v>15789.764829854646</v>
      </c>
      <c r="AC38" s="231">
        <v>6083.2797300369702</v>
      </c>
      <c r="AD38" s="231">
        <v>8442.2756164244947</v>
      </c>
      <c r="AE38" s="412">
        <f t="shared" si="90"/>
        <v>88926.170555068893</v>
      </c>
      <c r="AF38" s="417">
        <v>0</v>
      </c>
      <c r="AG38" s="231">
        <v>61948.202717547341</v>
      </c>
      <c r="AH38" s="231">
        <v>0</v>
      </c>
      <c r="AI38" s="231">
        <v>65062.310335723269</v>
      </c>
      <c r="AJ38" s="231">
        <v>0</v>
      </c>
      <c r="AK38" s="231">
        <v>58639.496739841765</v>
      </c>
      <c r="AL38" s="231">
        <v>0</v>
      </c>
      <c r="AM38" s="231">
        <v>97638.266593331267</v>
      </c>
      <c r="AN38" s="414">
        <f t="shared" si="91"/>
        <v>283288.27638644364</v>
      </c>
      <c r="AO38" s="415">
        <f t="shared" si="92"/>
        <v>372214.44694151252</v>
      </c>
      <c r="AP38" s="300">
        <v>16</v>
      </c>
      <c r="AQ38" s="231">
        <v>22046.607689324384</v>
      </c>
      <c r="AR38" s="231">
        <v>100051.8793534271</v>
      </c>
      <c r="AS38" s="231">
        <v>22599.688553434324</v>
      </c>
      <c r="AT38" s="231">
        <v>75982.049593062562</v>
      </c>
      <c r="AU38" s="231">
        <v>29425.214730578773</v>
      </c>
      <c r="AV38" s="231">
        <v>88526.5066243771</v>
      </c>
      <c r="AW38" s="231">
        <v>35846.391716514649</v>
      </c>
      <c r="AX38" s="231">
        <v>88517.47842085881</v>
      </c>
      <c r="AY38" s="412">
        <f t="shared" si="93"/>
        <v>462995.81668157771</v>
      </c>
      <c r="AZ38" s="417">
        <v>0</v>
      </c>
      <c r="BA38" s="231">
        <v>258028.67302150826</v>
      </c>
      <c r="BB38" s="231">
        <v>0</v>
      </c>
      <c r="BC38" s="231">
        <v>276710.46663824207</v>
      </c>
      <c r="BD38" s="231">
        <v>0</v>
      </c>
      <c r="BE38" s="231">
        <v>285748.86140669475</v>
      </c>
      <c r="BF38" s="231">
        <v>0</v>
      </c>
      <c r="BG38" s="231">
        <v>338303.20070166962</v>
      </c>
      <c r="BH38" s="414">
        <f t="shared" si="94"/>
        <v>1158791.2017681147</v>
      </c>
      <c r="BI38" s="415">
        <f t="shared" si="95"/>
        <v>1621787.0184496925</v>
      </c>
      <c r="BJ38" s="300">
        <v>16</v>
      </c>
      <c r="BK38" s="231">
        <v>1945.432932206651</v>
      </c>
      <c r="BL38" s="231">
        <v>11792.579976365807</v>
      </c>
      <c r="BM38" s="231">
        <v>1824.6315585110165</v>
      </c>
      <c r="BN38" s="231">
        <v>26462.127419798599</v>
      </c>
      <c r="BO38" s="231">
        <v>3144.8464441057722</v>
      </c>
      <c r="BP38" s="231">
        <v>21928.954432072496</v>
      </c>
      <c r="BQ38" s="231">
        <v>2721.9980904344488</v>
      </c>
      <c r="BR38" s="231">
        <v>18776.930246427182</v>
      </c>
      <c r="BS38" s="412">
        <f t="shared" si="96"/>
        <v>88597.501099921967</v>
      </c>
      <c r="BT38" s="417">
        <v>0</v>
      </c>
      <c r="BU38" s="231">
        <v>24550.134128591726</v>
      </c>
      <c r="BV38" s="231">
        <v>0</v>
      </c>
      <c r="BW38" s="231">
        <v>36012.773136137228</v>
      </c>
      <c r="BX38" s="231">
        <v>0</v>
      </c>
      <c r="BY38" s="231">
        <v>36047.858133280002</v>
      </c>
      <c r="BZ38" s="231">
        <v>0</v>
      </c>
      <c r="CA38" s="231">
        <v>39851.188574937849</v>
      </c>
      <c r="CB38" s="414">
        <f t="shared" si="97"/>
        <v>136461.95397294679</v>
      </c>
      <c r="CC38" s="415">
        <f t="shared" si="98"/>
        <v>225059.45507286876</v>
      </c>
      <c r="CD38" s="300">
        <v>16</v>
      </c>
      <c r="CE38" s="414">
        <f t="shared" si="99"/>
        <v>197660.14153638194</v>
      </c>
      <c r="CF38" s="414">
        <f t="shared" si="100"/>
        <v>168922.7245209621</v>
      </c>
      <c r="CG38" s="414">
        <f t="shared" si="101"/>
        <v>216351.73354179962</v>
      </c>
      <c r="CH38" s="414">
        <f t="shared" si="102"/>
        <v>176039.65693547169</v>
      </c>
      <c r="CI38" s="416">
        <f t="shared" si="103"/>
        <v>758974.25653461542</v>
      </c>
      <c r="CJ38" s="414">
        <f t="shared" si="104"/>
        <v>371976.17306246853</v>
      </c>
      <c r="CK38" s="414">
        <f t="shared" si="105"/>
        <v>450125.53826030134</v>
      </c>
      <c r="CL38" s="414">
        <f t="shared" si="106"/>
        <v>440178.05634525948</v>
      </c>
      <c r="CM38" s="414">
        <f t="shared" si="107"/>
        <v>542481.68371690845</v>
      </c>
      <c r="CN38" s="416">
        <f t="shared" si="108"/>
        <v>1804761.4513849379</v>
      </c>
      <c r="CO38" s="414">
        <f t="shared" si="109"/>
        <v>569636.31459885044</v>
      </c>
      <c r="CP38" s="414">
        <f t="shared" si="110"/>
        <v>619048.26278126356</v>
      </c>
      <c r="CQ38" s="414">
        <f t="shared" si="111"/>
        <v>656529.7898870589</v>
      </c>
      <c r="CR38" s="414">
        <f t="shared" si="112"/>
        <v>718521.34065238014</v>
      </c>
      <c r="CS38" s="416">
        <f t="shared" si="113"/>
        <v>2563735.7079195529</v>
      </c>
    </row>
    <row r="39" spans="1:102" ht="15.75" customHeight="1">
      <c r="A39" s="88" t="s">
        <v>202</v>
      </c>
      <c r="B39" s="300">
        <v>17</v>
      </c>
      <c r="C39" s="231">
        <v>159345.22645968897</v>
      </c>
      <c r="D39" s="231">
        <v>253237.00879076071</v>
      </c>
      <c r="E39" s="231">
        <v>256620.27298829364</v>
      </c>
      <c r="F39" s="231">
        <v>176505.03708472708</v>
      </c>
      <c r="G39" s="231">
        <v>268731.4429886287</v>
      </c>
      <c r="H39" s="231">
        <v>268563.26321014587</v>
      </c>
      <c r="I39" s="231">
        <v>214898.97008763594</v>
      </c>
      <c r="J39" s="231">
        <v>87558.050367489675</v>
      </c>
      <c r="K39" s="412">
        <f t="shared" si="87"/>
        <v>1685459.2719773706</v>
      </c>
      <c r="L39" s="417">
        <v>0</v>
      </c>
      <c r="M39" s="231">
        <v>520824.63227884175</v>
      </c>
      <c r="N39" s="231">
        <v>0</v>
      </c>
      <c r="O39" s="231">
        <v>1066513.2044536485</v>
      </c>
      <c r="P39" s="231">
        <v>0</v>
      </c>
      <c r="Q39" s="231">
        <v>889958.05321979208</v>
      </c>
      <c r="R39" s="231">
        <v>0</v>
      </c>
      <c r="S39" s="231">
        <v>921118.07337698212</v>
      </c>
      <c r="T39" s="414">
        <f t="shared" si="88"/>
        <v>3398413.9633292644</v>
      </c>
      <c r="U39" s="415">
        <f t="shared" si="89"/>
        <v>5083873.2353066355</v>
      </c>
      <c r="V39" s="300">
        <v>17</v>
      </c>
      <c r="W39" s="231">
        <v>15592.693016687133</v>
      </c>
      <c r="X39" s="231">
        <v>63440.189406983583</v>
      </c>
      <c r="Y39" s="231">
        <v>8049.7967315025571</v>
      </c>
      <c r="Z39" s="231">
        <v>23830.589442044908</v>
      </c>
      <c r="AA39" s="231">
        <v>15509.947776068859</v>
      </c>
      <c r="AB39" s="231">
        <v>35439.575494083954</v>
      </c>
      <c r="AC39" s="231">
        <v>22579.168601306646</v>
      </c>
      <c r="AD39" s="231">
        <v>12507.253037368226</v>
      </c>
      <c r="AE39" s="412">
        <f t="shared" si="90"/>
        <v>196949.2135060459</v>
      </c>
      <c r="AF39" s="417">
        <v>0</v>
      </c>
      <c r="AG39" s="231">
        <v>174914.47382336867</v>
      </c>
      <c r="AH39" s="231">
        <v>0</v>
      </c>
      <c r="AI39" s="231">
        <v>194380.71065388439</v>
      </c>
      <c r="AJ39" s="231">
        <v>0</v>
      </c>
      <c r="AK39" s="231">
        <v>166011.75635062036</v>
      </c>
      <c r="AL39" s="231">
        <v>0</v>
      </c>
      <c r="AM39" s="231">
        <v>214384.45499759485</v>
      </c>
      <c r="AN39" s="414">
        <f t="shared" si="91"/>
        <v>749691.39582546824</v>
      </c>
      <c r="AO39" s="415">
        <f t="shared" si="92"/>
        <v>946640.6093315141</v>
      </c>
      <c r="AP39" s="300">
        <v>17</v>
      </c>
      <c r="AQ39" s="231">
        <v>985768.83106185589</v>
      </c>
      <c r="AR39" s="231">
        <v>1166581.551443276</v>
      </c>
      <c r="AS39" s="231">
        <v>906574.65763494244</v>
      </c>
      <c r="AT39" s="231">
        <v>828213.45273942081</v>
      </c>
      <c r="AU39" s="231">
        <v>993217.62303008698</v>
      </c>
      <c r="AV39" s="231">
        <v>1035354.4327669961</v>
      </c>
      <c r="AW39" s="231">
        <v>1163352.3940243125</v>
      </c>
      <c r="AX39" s="231">
        <v>958397.21676302445</v>
      </c>
      <c r="AY39" s="412">
        <f t="shared" si="93"/>
        <v>8037460.159463915</v>
      </c>
      <c r="AZ39" s="417">
        <v>0</v>
      </c>
      <c r="BA39" s="231">
        <v>3041820.2602205658</v>
      </c>
      <c r="BB39" s="231">
        <v>0</v>
      </c>
      <c r="BC39" s="231">
        <v>3291079.6140594259</v>
      </c>
      <c r="BD39" s="231">
        <v>0</v>
      </c>
      <c r="BE39" s="231">
        <v>3591278.3062660592</v>
      </c>
      <c r="BF39" s="231">
        <v>0</v>
      </c>
      <c r="BG39" s="231">
        <v>4230552.6531982562</v>
      </c>
      <c r="BH39" s="414">
        <f t="shared" si="94"/>
        <v>14154730.833744306</v>
      </c>
      <c r="BI39" s="415">
        <f t="shared" si="95"/>
        <v>22192190.993208222</v>
      </c>
      <c r="BJ39" s="300">
        <v>17</v>
      </c>
      <c r="BK39" s="231">
        <v>28738.073862119865</v>
      </c>
      <c r="BL39" s="231">
        <v>65727.635216478273</v>
      </c>
      <c r="BM39" s="231">
        <v>26032.536259542761</v>
      </c>
      <c r="BN39" s="231">
        <v>29827.162890972311</v>
      </c>
      <c r="BO39" s="231">
        <v>12306.007582444377</v>
      </c>
      <c r="BP39" s="231">
        <v>41502.63266587854</v>
      </c>
      <c r="BQ39" s="231">
        <v>26646.952929278395</v>
      </c>
      <c r="BR39" s="231">
        <v>24872.47448441125</v>
      </c>
      <c r="BS39" s="412">
        <f t="shared" si="96"/>
        <v>255653.47589112577</v>
      </c>
      <c r="BT39" s="417">
        <v>0</v>
      </c>
      <c r="BU39" s="231">
        <v>178507.25451107626</v>
      </c>
      <c r="BV39" s="231">
        <v>0</v>
      </c>
      <c r="BW39" s="231">
        <v>206768.20683177991</v>
      </c>
      <c r="BX39" s="231">
        <v>0</v>
      </c>
      <c r="BY39" s="231">
        <v>221723.90050087898</v>
      </c>
      <c r="BZ39" s="231">
        <v>0</v>
      </c>
      <c r="CA39" s="231">
        <v>266008.49454440159</v>
      </c>
      <c r="CB39" s="414">
        <f t="shared" si="97"/>
        <v>873007.85638813674</v>
      </c>
      <c r="CC39" s="415">
        <f t="shared" si="98"/>
        <v>1128661.3322792626</v>
      </c>
      <c r="CD39" s="300">
        <v>17</v>
      </c>
      <c r="CE39" s="414">
        <f t="shared" si="99"/>
        <v>2738431.2092578504</v>
      </c>
      <c r="CF39" s="414">
        <f t="shared" si="100"/>
        <v>2255653.505771446</v>
      </c>
      <c r="CG39" s="414">
        <f t="shared" si="101"/>
        <v>2670624.925514333</v>
      </c>
      <c r="CH39" s="414">
        <f t="shared" si="102"/>
        <v>2510812.4802948269</v>
      </c>
      <c r="CI39" s="416">
        <f t="shared" si="103"/>
        <v>10175522.120838458</v>
      </c>
      <c r="CJ39" s="414">
        <f t="shared" si="104"/>
        <v>3916066.6208338523</v>
      </c>
      <c r="CK39" s="414">
        <f t="shared" si="105"/>
        <v>4758741.7359987395</v>
      </c>
      <c r="CL39" s="414">
        <f t="shared" si="106"/>
        <v>4868972.01633735</v>
      </c>
      <c r="CM39" s="414">
        <f t="shared" si="107"/>
        <v>5632063.6761172349</v>
      </c>
      <c r="CN39" s="416">
        <f t="shared" si="108"/>
        <v>19175844.049287178</v>
      </c>
      <c r="CO39" s="414">
        <f t="shared" si="109"/>
        <v>6654497.8300917018</v>
      </c>
      <c r="CP39" s="414">
        <f t="shared" si="110"/>
        <v>7014395.2417701865</v>
      </c>
      <c r="CQ39" s="414">
        <f t="shared" si="111"/>
        <v>7539596.9418516839</v>
      </c>
      <c r="CR39" s="414">
        <f t="shared" si="112"/>
        <v>8142876.1564120622</v>
      </c>
      <c r="CS39" s="416">
        <f t="shared" si="113"/>
        <v>29351366.170125633</v>
      </c>
    </row>
    <row r="40" spans="1:102" ht="15.75" customHeight="1">
      <c r="A40" s="88" t="s">
        <v>203</v>
      </c>
      <c r="B40" s="300">
        <v>18</v>
      </c>
      <c r="C40" s="231">
        <v>12435.259773678734</v>
      </c>
      <c r="D40" s="231">
        <v>46914.34346915481</v>
      </c>
      <c r="E40" s="231">
        <v>17166.876397394357</v>
      </c>
      <c r="F40" s="231">
        <v>60905.075866374718</v>
      </c>
      <c r="G40" s="231">
        <v>17766.211318811402</v>
      </c>
      <c r="H40" s="231">
        <v>64217.998657847311</v>
      </c>
      <c r="I40" s="231">
        <v>15721.947099491852</v>
      </c>
      <c r="J40" s="231">
        <v>56619.441327686669</v>
      </c>
      <c r="K40" s="412">
        <f t="shared" si="87"/>
        <v>291747.15391043987</v>
      </c>
      <c r="L40" s="417">
        <v>0</v>
      </c>
      <c r="M40" s="231">
        <v>0</v>
      </c>
      <c r="N40" s="231">
        <v>0</v>
      </c>
      <c r="O40" s="231">
        <v>0</v>
      </c>
      <c r="P40" s="231">
        <v>0</v>
      </c>
      <c r="Q40" s="231">
        <v>0</v>
      </c>
      <c r="R40" s="231">
        <v>0</v>
      </c>
      <c r="S40" s="231">
        <v>0</v>
      </c>
      <c r="T40" s="414">
        <f t="shared" si="88"/>
        <v>0</v>
      </c>
      <c r="U40" s="415">
        <f t="shared" si="89"/>
        <v>291747.15391043987</v>
      </c>
      <c r="V40" s="300">
        <v>18</v>
      </c>
      <c r="W40" s="231">
        <v>662.86711866009728</v>
      </c>
      <c r="X40" s="231">
        <v>6325.5409327212119</v>
      </c>
      <c r="Y40" s="231">
        <v>1136.8905235694115</v>
      </c>
      <c r="Z40" s="231">
        <v>11412.124126440127</v>
      </c>
      <c r="AA40" s="231">
        <v>1057.845947140735</v>
      </c>
      <c r="AB40" s="231">
        <v>8697.2291404467305</v>
      </c>
      <c r="AC40" s="231">
        <v>1417.8441493017247</v>
      </c>
      <c r="AD40" s="231">
        <v>9901.8567974676698</v>
      </c>
      <c r="AE40" s="412">
        <f t="shared" si="90"/>
        <v>40612.198735747705</v>
      </c>
      <c r="AF40" s="417">
        <v>0</v>
      </c>
      <c r="AG40" s="231">
        <v>0</v>
      </c>
      <c r="AH40" s="231">
        <v>0</v>
      </c>
      <c r="AI40" s="231">
        <v>0</v>
      </c>
      <c r="AJ40" s="231">
        <v>0</v>
      </c>
      <c r="AK40" s="231">
        <v>0</v>
      </c>
      <c r="AL40" s="231">
        <v>0</v>
      </c>
      <c r="AM40" s="231">
        <v>0</v>
      </c>
      <c r="AN40" s="414">
        <f t="shared" si="91"/>
        <v>0</v>
      </c>
      <c r="AO40" s="415">
        <f t="shared" si="92"/>
        <v>40612.198735747705</v>
      </c>
      <c r="AP40" s="300">
        <v>18</v>
      </c>
      <c r="AQ40" s="231">
        <v>49251.676795986619</v>
      </c>
      <c r="AR40" s="231">
        <v>142546.86169722548</v>
      </c>
      <c r="AS40" s="231">
        <v>58468.248569997755</v>
      </c>
      <c r="AT40" s="231">
        <v>163957.89802825893</v>
      </c>
      <c r="AU40" s="231">
        <v>66094.015132203145</v>
      </c>
      <c r="AV40" s="231">
        <v>183403.77406519884</v>
      </c>
      <c r="AW40" s="231">
        <v>78603.357115444058</v>
      </c>
      <c r="AX40" s="231">
        <v>199211.97317005668</v>
      </c>
      <c r="AY40" s="412">
        <f t="shared" si="93"/>
        <v>941537.80457437155</v>
      </c>
      <c r="AZ40" s="417">
        <v>0</v>
      </c>
      <c r="BA40" s="231">
        <v>0</v>
      </c>
      <c r="BB40" s="231">
        <v>0</v>
      </c>
      <c r="BC40" s="231">
        <v>0</v>
      </c>
      <c r="BD40" s="231">
        <v>0</v>
      </c>
      <c r="BE40" s="231">
        <v>0</v>
      </c>
      <c r="BF40" s="231">
        <v>0</v>
      </c>
      <c r="BG40" s="231">
        <v>0</v>
      </c>
      <c r="BH40" s="414">
        <f t="shared" si="94"/>
        <v>0</v>
      </c>
      <c r="BI40" s="415">
        <f t="shared" si="95"/>
        <v>941537.80457437155</v>
      </c>
      <c r="BJ40" s="300">
        <v>18</v>
      </c>
      <c r="BK40" s="231">
        <v>499.68627110378884</v>
      </c>
      <c r="BL40" s="231">
        <v>5049.2736435433944</v>
      </c>
      <c r="BM40" s="231">
        <v>359.12099864492961</v>
      </c>
      <c r="BN40" s="231">
        <v>5862.5437350636275</v>
      </c>
      <c r="BO40" s="231">
        <v>431.22137519272337</v>
      </c>
      <c r="BP40" s="231">
        <v>6399.9533004110062</v>
      </c>
      <c r="BQ40" s="231">
        <v>611.07832294982131</v>
      </c>
      <c r="BR40" s="231">
        <v>5831.495980208987</v>
      </c>
      <c r="BS40" s="412">
        <f t="shared" si="96"/>
        <v>25044.373627118279</v>
      </c>
      <c r="BT40" s="417">
        <v>0</v>
      </c>
      <c r="BU40" s="231">
        <v>0</v>
      </c>
      <c r="BV40" s="231">
        <v>0</v>
      </c>
      <c r="BW40" s="231">
        <v>0</v>
      </c>
      <c r="BX40" s="231">
        <v>0</v>
      </c>
      <c r="BY40" s="231">
        <v>0</v>
      </c>
      <c r="BZ40" s="231">
        <v>0</v>
      </c>
      <c r="CA40" s="231">
        <v>0</v>
      </c>
      <c r="CB40" s="414">
        <f t="shared" si="97"/>
        <v>0</v>
      </c>
      <c r="CC40" s="415">
        <f t="shared" si="98"/>
        <v>25044.373627118279</v>
      </c>
      <c r="CD40" s="300">
        <v>18</v>
      </c>
      <c r="CE40" s="414">
        <f t="shared" si="99"/>
        <v>263685.50970207417</v>
      </c>
      <c r="CF40" s="414">
        <f t="shared" si="100"/>
        <v>319268.77824574389</v>
      </c>
      <c r="CG40" s="414">
        <f t="shared" si="101"/>
        <v>348068.24893725192</v>
      </c>
      <c r="CH40" s="414">
        <f t="shared" si="102"/>
        <v>367918.99396260746</v>
      </c>
      <c r="CI40" s="416">
        <f t="shared" si="103"/>
        <v>1298941.5308476775</v>
      </c>
      <c r="CJ40" s="414">
        <f t="shared" si="104"/>
        <v>0</v>
      </c>
      <c r="CK40" s="414">
        <f t="shared" si="105"/>
        <v>0</v>
      </c>
      <c r="CL40" s="414">
        <f t="shared" si="106"/>
        <v>0</v>
      </c>
      <c r="CM40" s="414">
        <f t="shared" si="107"/>
        <v>0</v>
      </c>
      <c r="CN40" s="416">
        <f t="shared" si="108"/>
        <v>0</v>
      </c>
      <c r="CO40" s="414">
        <f t="shared" si="109"/>
        <v>263685.50970207417</v>
      </c>
      <c r="CP40" s="414">
        <f t="shared" si="110"/>
        <v>319268.77824574389</v>
      </c>
      <c r="CQ40" s="414">
        <f t="shared" si="111"/>
        <v>348068.24893725192</v>
      </c>
      <c r="CR40" s="414">
        <f t="shared" si="112"/>
        <v>367918.99396260746</v>
      </c>
      <c r="CS40" s="416">
        <f t="shared" si="113"/>
        <v>1298941.5308476775</v>
      </c>
    </row>
    <row r="41" spans="1:102" ht="15.75" customHeight="1">
      <c r="A41" s="88" t="s">
        <v>204</v>
      </c>
      <c r="B41" s="300">
        <v>19</v>
      </c>
      <c r="C41" s="231">
        <v>270209.91000000003</v>
      </c>
      <c r="D41" s="231">
        <v>802626.55</v>
      </c>
      <c r="E41" s="231">
        <v>300751</v>
      </c>
      <c r="F41" s="231">
        <v>1035272.1221160757</v>
      </c>
      <c r="G41" s="231">
        <v>224288.62999999998</v>
      </c>
      <c r="H41" s="231">
        <v>933800.08458271762</v>
      </c>
      <c r="I41" s="231">
        <v>273650</v>
      </c>
      <c r="J41" s="231">
        <v>1077725.9500000002</v>
      </c>
      <c r="K41" s="412">
        <f t="shared" si="87"/>
        <v>4918324.246698793</v>
      </c>
      <c r="L41" s="417">
        <v>0</v>
      </c>
      <c r="M41" s="231">
        <v>0</v>
      </c>
      <c r="N41" s="231">
        <v>0</v>
      </c>
      <c r="O41" s="231">
        <v>135.80199835369081</v>
      </c>
      <c r="P41" s="231">
        <v>0</v>
      </c>
      <c r="Q41" s="231">
        <v>55.776331921033652</v>
      </c>
      <c r="R41" s="231">
        <v>0</v>
      </c>
      <c r="S41" s="231">
        <v>127.62475322404987</v>
      </c>
      <c r="T41" s="414">
        <f t="shared" si="88"/>
        <v>319.20308349877433</v>
      </c>
      <c r="U41" s="415">
        <f t="shared" si="89"/>
        <v>4918643.4497822914</v>
      </c>
      <c r="V41" s="300">
        <v>19</v>
      </c>
      <c r="W41" s="231">
        <v>23618</v>
      </c>
      <c r="X41" s="231">
        <v>151764.96348449428</v>
      </c>
      <c r="Y41" s="231">
        <v>6322</v>
      </c>
      <c r="Z41" s="231">
        <v>175962</v>
      </c>
      <c r="AA41" s="231">
        <v>3037</v>
      </c>
      <c r="AB41" s="231">
        <v>135416.90512795819</v>
      </c>
      <c r="AC41" s="231">
        <v>1589</v>
      </c>
      <c r="AD41" s="231">
        <v>138657</v>
      </c>
      <c r="AE41" s="412">
        <f t="shared" si="90"/>
        <v>636366.86861245241</v>
      </c>
      <c r="AF41" s="417">
        <v>0</v>
      </c>
      <c r="AG41" s="231">
        <v>216.7917506923994</v>
      </c>
      <c r="AH41" s="231">
        <v>0</v>
      </c>
      <c r="AI41" s="231">
        <v>99.691057997128411</v>
      </c>
      <c r="AJ41" s="231">
        <v>0</v>
      </c>
      <c r="AK41" s="231">
        <v>1521.520101767577</v>
      </c>
      <c r="AL41" s="231">
        <v>0</v>
      </c>
      <c r="AM41" s="231">
        <v>298.8683586352555</v>
      </c>
      <c r="AN41" s="414">
        <f t="shared" si="91"/>
        <v>2136.8712690923603</v>
      </c>
      <c r="AO41" s="415">
        <f t="shared" si="92"/>
        <v>638503.73988154472</v>
      </c>
      <c r="AP41" s="300">
        <v>19</v>
      </c>
      <c r="AQ41" s="231">
        <v>509443.36877040297</v>
      </c>
      <c r="AR41" s="231">
        <v>1587107.7770873457</v>
      </c>
      <c r="AS41" s="231">
        <v>663372.5915564996</v>
      </c>
      <c r="AT41" s="231">
        <v>1718379.614950039</v>
      </c>
      <c r="AU41" s="231">
        <v>660264.09463532013</v>
      </c>
      <c r="AV41" s="231">
        <v>1684526.5946543559</v>
      </c>
      <c r="AW41" s="231">
        <v>756029.82</v>
      </c>
      <c r="AX41" s="231">
        <v>1984541.6068676496</v>
      </c>
      <c r="AY41" s="412">
        <f t="shared" si="93"/>
        <v>9563665.4685216136</v>
      </c>
      <c r="AZ41" s="417">
        <v>0</v>
      </c>
      <c r="BA41" s="231">
        <v>520.43634720153591</v>
      </c>
      <c r="BB41" s="231">
        <v>0</v>
      </c>
      <c r="BC41" s="231">
        <v>113.88680800959158</v>
      </c>
      <c r="BD41" s="231">
        <v>0</v>
      </c>
      <c r="BE41" s="231">
        <v>1602.8138275201657</v>
      </c>
      <c r="BF41" s="231">
        <v>0</v>
      </c>
      <c r="BG41" s="231">
        <v>1376.8111789476677</v>
      </c>
      <c r="BH41" s="414">
        <f t="shared" si="94"/>
        <v>3613.9481616789608</v>
      </c>
      <c r="BI41" s="415">
        <f t="shared" si="95"/>
        <v>9567279.416683292</v>
      </c>
      <c r="BJ41" s="300">
        <v>19</v>
      </c>
      <c r="BK41" s="231">
        <v>53</v>
      </c>
      <c r="BL41" s="231">
        <v>9174.6</v>
      </c>
      <c r="BM41" s="231">
        <v>53</v>
      </c>
      <c r="BN41" s="231">
        <v>4464.2</v>
      </c>
      <c r="BO41" s="231">
        <v>115</v>
      </c>
      <c r="BP41" s="231">
        <v>7368</v>
      </c>
      <c r="BQ41" s="231">
        <v>248</v>
      </c>
      <c r="BR41" s="231">
        <v>12295.2</v>
      </c>
      <c r="BS41" s="412">
        <f t="shared" si="96"/>
        <v>33771</v>
      </c>
      <c r="BT41" s="417">
        <v>0</v>
      </c>
      <c r="BU41" s="231">
        <v>0</v>
      </c>
      <c r="BV41" s="231">
        <v>0</v>
      </c>
      <c r="BW41" s="231">
        <v>0</v>
      </c>
      <c r="BX41" s="231">
        <v>0</v>
      </c>
      <c r="BY41" s="231">
        <v>0</v>
      </c>
      <c r="BZ41" s="231">
        <v>0</v>
      </c>
      <c r="CA41" s="231">
        <v>0</v>
      </c>
      <c r="CB41" s="414">
        <f t="shared" si="97"/>
        <v>0</v>
      </c>
      <c r="CC41" s="415">
        <f t="shared" si="98"/>
        <v>33771</v>
      </c>
      <c r="CD41" s="300">
        <v>19</v>
      </c>
      <c r="CE41" s="414">
        <f t="shared" si="99"/>
        <v>3353998.1693422431</v>
      </c>
      <c r="CF41" s="414">
        <f t="shared" si="100"/>
        <v>3904576.5286226147</v>
      </c>
      <c r="CG41" s="414">
        <f t="shared" si="101"/>
        <v>3648816.3090003515</v>
      </c>
      <c r="CH41" s="414">
        <f t="shared" si="102"/>
        <v>4244736.5768676503</v>
      </c>
      <c r="CI41" s="416">
        <f t="shared" si="103"/>
        <v>15152127.58383286</v>
      </c>
      <c r="CJ41" s="414">
        <f t="shared" si="104"/>
        <v>737.22809789393534</v>
      </c>
      <c r="CK41" s="414">
        <f t="shared" si="105"/>
        <v>349.37986436041081</v>
      </c>
      <c r="CL41" s="414">
        <f t="shared" si="106"/>
        <v>3180.1102612087761</v>
      </c>
      <c r="CM41" s="414">
        <f t="shared" si="107"/>
        <v>1803.3042908069731</v>
      </c>
      <c r="CN41" s="416">
        <f t="shared" si="108"/>
        <v>6070.0225142700956</v>
      </c>
      <c r="CO41" s="414">
        <f t="shared" si="109"/>
        <v>3354735.3974401369</v>
      </c>
      <c r="CP41" s="414">
        <f t="shared" si="110"/>
        <v>3904925.9084869754</v>
      </c>
      <c r="CQ41" s="414">
        <f t="shared" si="111"/>
        <v>3651996.4192615608</v>
      </c>
      <c r="CR41" s="414">
        <f t="shared" si="112"/>
        <v>4246539.8811584571</v>
      </c>
      <c r="CS41" s="416">
        <f t="shared" si="113"/>
        <v>15158197.606347129</v>
      </c>
    </row>
    <row r="42" spans="1:102" ht="15.75" customHeight="1">
      <c r="A42" s="88" t="s">
        <v>205</v>
      </c>
      <c r="B42" s="300">
        <v>20</v>
      </c>
      <c r="C42" s="231">
        <v>17334.069781030361</v>
      </c>
      <c r="D42" s="231">
        <v>26916.338340925926</v>
      </c>
      <c r="E42" s="231">
        <v>11354.050936043417</v>
      </c>
      <c r="F42" s="231">
        <v>13901.307563382006</v>
      </c>
      <c r="G42" s="231">
        <v>14222.023954752656</v>
      </c>
      <c r="H42" s="231">
        <v>24216.744090285538</v>
      </c>
      <c r="I42" s="231">
        <v>8690.3517353273874</v>
      </c>
      <c r="J42" s="231">
        <v>16624.640020880135</v>
      </c>
      <c r="K42" s="412">
        <f t="shared" si="87"/>
        <v>133259.52642262744</v>
      </c>
      <c r="L42" s="417">
        <v>0</v>
      </c>
      <c r="M42" s="231">
        <v>18309.412788529153</v>
      </c>
      <c r="N42" s="231">
        <v>0</v>
      </c>
      <c r="O42" s="231">
        <v>30476.931893635799</v>
      </c>
      <c r="P42" s="231">
        <v>0</v>
      </c>
      <c r="Q42" s="231">
        <v>29206.396143439375</v>
      </c>
      <c r="R42" s="231">
        <v>0</v>
      </c>
      <c r="S42" s="231">
        <v>27505.364054228208</v>
      </c>
      <c r="T42" s="414">
        <f t="shared" si="88"/>
        <v>105498.10487983254</v>
      </c>
      <c r="U42" s="415">
        <f t="shared" si="89"/>
        <v>238757.63130245998</v>
      </c>
      <c r="V42" s="300">
        <v>20</v>
      </c>
      <c r="W42" s="231">
        <v>0</v>
      </c>
      <c r="X42" s="231">
        <v>4119.5653843776199</v>
      </c>
      <c r="Y42" s="231">
        <v>68.203401502179062</v>
      </c>
      <c r="Z42" s="231">
        <v>249.49406064216248</v>
      </c>
      <c r="AA42" s="231">
        <v>206.52946550996751</v>
      </c>
      <c r="AB42" s="231">
        <v>1605.928578234515</v>
      </c>
      <c r="AC42" s="231">
        <v>779.38800929490026</v>
      </c>
      <c r="AD42" s="231">
        <v>18.307736884330922</v>
      </c>
      <c r="AE42" s="412">
        <f t="shared" si="90"/>
        <v>7047.4166364456751</v>
      </c>
      <c r="AF42" s="417">
        <v>0</v>
      </c>
      <c r="AG42" s="231">
        <v>7514.7432713342341</v>
      </c>
      <c r="AH42" s="231">
        <v>0</v>
      </c>
      <c r="AI42" s="231">
        <v>11995.879947149031</v>
      </c>
      <c r="AJ42" s="231">
        <v>0</v>
      </c>
      <c r="AK42" s="231">
        <v>6415.5520186299527</v>
      </c>
      <c r="AL42" s="231">
        <v>0</v>
      </c>
      <c r="AM42" s="231">
        <v>6759.0543585089454</v>
      </c>
      <c r="AN42" s="414">
        <f t="shared" si="91"/>
        <v>32685.229595622164</v>
      </c>
      <c r="AO42" s="415">
        <f t="shared" si="92"/>
        <v>39732.64623206784</v>
      </c>
      <c r="AP42" s="300">
        <v>20</v>
      </c>
      <c r="AQ42" s="231">
        <v>102874.96008662284</v>
      </c>
      <c r="AR42" s="231">
        <v>110944.77170028913</v>
      </c>
      <c r="AS42" s="231">
        <v>44799.203678466612</v>
      </c>
      <c r="AT42" s="231">
        <v>65638.121123002275</v>
      </c>
      <c r="AU42" s="231">
        <v>47046.278355909017</v>
      </c>
      <c r="AV42" s="231">
        <v>76840.310166317504</v>
      </c>
      <c r="AW42" s="231">
        <v>55473.490112891392</v>
      </c>
      <c r="AX42" s="231">
        <v>81547.624537777374</v>
      </c>
      <c r="AY42" s="412">
        <f t="shared" si="93"/>
        <v>585164.75976127619</v>
      </c>
      <c r="AZ42" s="417">
        <v>0</v>
      </c>
      <c r="BA42" s="231">
        <v>95623.822002858855</v>
      </c>
      <c r="BB42" s="231">
        <v>0</v>
      </c>
      <c r="BC42" s="231">
        <v>109439.26750039039</v>
      </c>
      <c r="BD42" s="231">
        <v>0</v>
      </c>
      <c r="BE42" s="231">
        <v>121997.72979763734</v>
      </c>
      <c r="BF42" s="231">
        <v>0</v>
      </c>
      <c r="BG42" s="231">
        <v>144352.1265980672</v>
      </c>
      <c r="BH42" s="414">
        <f t="shared" si="94"/>
        <v>471412.94589895383</v>
      </c>
      <c r="BI42" s="415">
        <f t="shared" si="95"/>
        <v>1056577.70566023</v>
      </c>
      <c r="BJ42" s="300">
        <v>20</v>
      </c>
      <c r="BK42" s="231">
        <v>0</v>
      </c>
      <c r="BL42" s="231">
        <v>2288.487218929256</v>
      </c>
      <c r="BM42" s="231">
        <v>0</v>
      </c>
      <c r="BN42" s="231">
        <v>9932.892646977718</v>
      </c>
      <c r="BO42" s="231">
        <v>0</v>
      </c>
      <c r="BP42" s="231">
        <v>797.80105247950837</v>
      </c>
      <c r="BQ42" s="231">
        <v>0</v>
      </c>
      <c r="BR42" s="231">
        <v>5334.3801773040186</v>
      </c>
      <c r="BS42" s="412">
        <f t="shared" si="96"/>
        <v>18353.5610956905</v>
      </c>
      <c r="BT42" s="417">
        <v>0</v>
      </c>
      <c r="BU42" s="231">
        <v>1540.2765578493097</v>
      </c>
      <c r="BV42" s="231">
        <v>0</v>
      </c>
      <c r="BW42" s="231">
        <v>193.28676570642062</v>
      </c>
      <c r="BX42" s="231">
        <v>0</v>
      </c>
      <c r="BY42" s="231">
        <v>591.79325092072236</v>
      </c>
      <c r="BZ42" s="231">
        <v>0</v>
      </c>
      <c r="CA42" s="231">
        <v>1438.9289573811452</v>
      </c>
      <c r="CB42" s="414">
        <f t="shared" si="97"/>
        <v>3764.285531857598</v>
      </c>
      <c r="CC42" s="415">
        <f t="shared" si="98"/>
        <v>22117.846627548097</v>
      </c>
      <c r="CD42" s="300">
        <v>20</v>
      </c>
      <c r="CE42" s="414">
        <f t="shared" si="99"/>
        <v>264478.19251217513</v>
      </c>
      <c r="CF42" s="414">
        <f t="shared" si="100"/>
        <v>145943.27341001635</v>
      </c>
      <c r="CG42" s="414">
        <f t="shared" si="101"/>
        <v>164935.61566348872</v>
      </c>
      <c r="CH42" s="414">
        <f t="shared" si="102"/>
        <v>168468.18233035953</v>
      </c>
      <c r="CI42" s="416">
        <f t="shared" si="103"/>
        <v>743825.26391603972</v>
      </c>
      <c r="CJ42" s="414">
        <f t="shared" si="104"/>
        <v>122988.25462057156</v>
      </c>
      <c r="CK42" s="414">
        <f t="shared" si="105"/>
        <v>152105.36610688164</v>
      </c>
      <c r="CL42" s="414">
        <f t="shared" si="106"/>
        <v>158211.47121062738</v>
      </c>
      <c r="CM42" s="414">
        <f t="shared" si="107"/>
        <v>180055.47396818551</v>
      </c>
      <c r="CN42" s="416">
        <f t="shared" si="108"/>
        <v>613360.5659062661</v>
      </c>
      <c r="CO42" s="414">
        <f t="shared" si="109"/>
        <v>387466.44713274669</v>
      </c>
      <c r="CP42" s="414">
        <f t="shared" si="110"/>
        <v>298048.63951689808</v>
      </c>
      <c r="CQ42" s="414">
        <f t="shared" si="111"/>
        <v>323147.08687411604</v>
      </c>
      <c r="CR42" s="414">
        <f t="shared" si="112"/>
        <v>348523.65629854507</v>
      </c>
      <c r="CS42" s="416">
        <f t="shared" si="113"/>
        <v>1357185.8298223061</v>
      </c>
    </row>
    <row r="43" spans="1:102" ht="15.75" customHeight="1">
      <c r="A43" s="88" t="s">
        <v>206</v>
      </c>
      <c r="B43" s="300">
        <v>21</v>
      </c>
      <c r="C43" s="231">
        <f t="shared" ref="C43:J43" si="114">C19</f>
        <v>0</v>
      </c>
      <c r="D43" s="231">
        <f t="shared" si="114"/>
        <v>0</v>
      </c>
      <c r="E43" s="231">
        <f t="shared" si="114"/>
        <v>0</v>
      </c>
      <c r="F43" s="231">
        <f t="shared" si="114"/>
        <v>0</v>
      </c>
      <c r="G43" s="231">
        <f t="shared" si="114"/>
        <v>0</v>
      </c>
      <c r="H43" s="231">
        <f t="shared" si="114"/>
        <v>0</v>
      </c>
      <c r="I43" s="231">
        <f t="shared" si="114"/>
        <v>0</v>
      </c>
      <c r="J43" s="231">
        <f t="shared" si="114"/>
        <v>0</v>
      </c>
      <c r="K43" s="412">
        <f t="shared" si="87"/>
        <v>0</v>
      </c>
      <c r="L43" s="417">
        <f t="shared" ref="L43" si="115">L19</f>
        <v>0</v>
      </c>
      <c r="M43" s="231">
        <f>M19</f>
        <v>662707</v>
      </c>
      <c r="N43" s="231">
        <f t="shared" ref="N43:S43" si="116">N19</f>
        <v>0</v>
      </c>
      <c r="O43" s="231">
        <f t="shared" si="116"/>
        <v>619343</v>
      </c>
      <c r="P43" s="231">
        <f t="shared" si="116"/>
        <v>0</v>
      </c>
      <c r="Q43" s="231">
        <f t="shared" si="116"/>
        <v>888559</v>
      </c>
      <c r="R43" s="231">
        <f t="shared" si="116"/>
        <v>0</v>
      </c>
      <c r="S43" s="231">
        <f t="shared" si="116"/>
        <v>988701</v>
      </c>
      <c r="T43" s="414">
        <f t="shared" si="88"/>
        <v>3159310</v>
      </c>
      <c r="U43" s="415">
        <f t="shared" si="89"/>
        <v>3159310</v>
      </c>
      <c r="V43" s="300">
        <v>21</v>
      </c>
      <c r="W43" s="231">
        <f t="shared" ref="W43:AD43" si="117">W19</f>
        <v>0</v>
      </c>
      <c r="X43" s="231">
        <f t="shared" si="117"/>
        <v>0</v>
      </c>
      <c r="Y43" s="231">
        <f t="shared" si="117"/>
        <v>0</v>
      </c>
      <c r="Z43" s="231">
        <f t="shared" si="117"/>
        <v>0</v>
      </c>
      <c r="AA43" s="231">
        <f t="shared" si="117"/>
        <v>0</v>
      </c>
      <c r="AB43" s="231">
        <f t="shared" si="117"/>
        <v>0</v>
      </c>
      <c r="AC43" s="231">
        <f t="shared" si="117"/>
        <v>0</v>
      </c>
      <c r="AD43" s="231">
        <f t="shared" si="117"/>
        <v>0</v>
      </c>
      <c r="AE43" s="412">
        <f t="shared" si="90"/>
        <v>0</v>
      </c>
      <c r="AF43" s="417">
        <f t="shared" ref="AF43:AM43" si="118">AF19</f>
        <v>0</v>
      </c>
      <c r="AG43" s="231">
        <f t="shared" si="118"/>
        <v>249483</v>
      </c>
      <c r="AH43" s="231">
        <f t="shared" si="118"/>
        <v>0</v>
      </c>
      <c r="AI43" s="231">
        <f t="shared" si="118"/>
        <v>172412</v>
      </c>
      <c r="AJ43" s="231">
        <f t="shared" si="118"/>
        <v>0</v>
      </c>
      <c r="AK43" s="231">
        <f t="shared" si="118"/>
        <v>187686</v>
      </c>
      <c r="AL43" s="231">
        <f t="shared" si="118"/>
        <v>0</v>
      </c>
      <c r="AM43" s="231">
        <f t="shared" si="118"/>
        <v>196721</v>
      </c>
      <c r="AN43" s="414">
        <f t="shared" si="91"/>
        <v>806302</v>
      </c>
      <c r="AO43" s="415">
        <f t="shared" si="92"/>
        <v>806302</v>
      </c>
      <c r="AP43" s="300">
        <v>21</v>
      </c>
      <c r="AQ43" s="231">
        <f t="shared" ref="AQ43:AX43" si="119">AQ19</f>
        <v>0</v>
      </c>
      <c r="AR43" s="231">
        <f t="shared" si="119"/>
        <v>0</v>
      </c>
      <c r="AS43" s="231">
        <f t="shared" si="119"/>
        <v>0</v>
      </c>
      <c r="AT43" s="231">
        <f t="shared" si="119"/>
        <v>0</v>
      </c>
      <c r="AU43" s="231">
        <f t="shared" si="119"/>
        <v>0</v>
      </c>
      <c r="AV43" s="231">
        <f t="shared" si="119"/>
        <v>0</v>
      </c>
      <c r="AW43" s="231">
        <f t="shared" si="119"/>
        <v>0</v>
      </c>
      <c r="AX43" s="231">
        <f t="shared" si="119"/>
        <v>0</v>
      </c>
      <c r="AY43" s="412">
        <f t="shared" si="93"/>
        <v>0</v>
      </c>
      <c r="AZ43" s="417">
        <f t="shared" ref="AZ43:BG43" si="120">AZ19</f>
        <v>0</v>
      </c>
      <c r="BA43" s="231">
        <f t="shared" si="120"/>
        <v>6110109</v>
      </c>
      <c r="BB43" s="231">
        <f t="shared" si="120"/>
        <v>0</v>
      </c>
      <c r="BC43" s="231">
        <f t="shared" si="120"/>
        <v>5857420</v>
      </c>
      <c r="BD43" s="231">
        <f t="shared" si="120"/>
        <v>0</v>
      </c>
      <c r="BE43" s="231">
        <f t="shared" si="120"/>
        <v>6372138</v>
      </c>
      <c r="BF43" s="231">
        <f t="shared" si="120"/>
        <v>0</v>
      </c>
      <c r="BG43" s="231">
        <f t="shared" si="120"/>
        <v>6531300</v>
      </c>
      <c r="BH43" s="414">
        <f t="shared" si="94"/>
        <v>24870967</v>
      </c>
      <c r="BI43" s="415">
        <f t="shared" si="95"/>
        <v>24870967</v>
      </c>
      <c r="BJ43" s="300">
        <v>21</v>
      </c>
      <c r="BK43" s="231">
        <f t="shared" ref="BK43:BR43" si="121">BK19</f>
        <v>0</v>
      </c>
      <c r="BL43" s="231">
        <f t="shared" si="121"/>
        <v>0</v>
      </c>
      <c r="BM43" s="231">
        <f t="shared" si="121"/>
        <v>0</v>
      </c>
      <c r="BN43" s="231">
        <f t="shared" si="121"/>
        <v>0</v>
      </c>
      <c r="BO43" s="231">
        <f t="shared" si="121"/>
        <v>0</v>
      </c>
      <c r="BP43" s="231">
        <f t="shared" si="121"/>
        <v>0</v>
      </c>
      <c r="BQ43" s="231">
        <f t="shared" si="121"/>
        <v>0</v>
      </c>
      <c r="BR43" s="231">
        <f t="shared" si="121"/>
        <v>0</v>
      </c>
      <c r="BS43" s="412">
        <f t="shared" si="96"/>
        <v>0</v>
      </c>
      <c r="BT43" s="417">
        <f t="shared" ref="BT43:CA43" si="122">BT19</f>
        <v>0</v>
      </c>
      <c r="BU43" s="231">
        <f t="shared" si="122"/>
        <v>173603</v>
      </c>
      <c r="BV43" s="231">
        <f t="shared" si="122"/>
        <v>0</v>
      </c>
      <c r="BW43" s="231">
        <f t="shared" si="122"/>
        <v>150475</v>
      </c>
      <c r="BX43" s="231">
        <f t="shared" si="122"/>
        <v>0</v>
      </c>
      <c r="BY43" s="231">
        <f t="shared" si="122"/>
        <v>162212</v>
      </c>
      <c r="BZ43" s="231">
        <f t="shared" si="122"/>
        <v>0</v>
      </c>
      <c r="CA43" s="231">
        <f t="shared" si="122"/>
        <v>153725</v>
      </c>
      <c r="CB43" s="414">
        <f t="shared" si="97"/>
        <v>640015</v>
      </c>
      <c r="CC43" s="415">
        <f t="shared" si="98"/>
        <v>640015</v>
      </c>
      <c r="CD43" s="300">
        <v>21</v>
      </c>
      <c r="CE43" s="414">
        <f t="shared" si="99"/>
        <v>0</v>
      </c>
      <c r="CF43" s="414">
        <f t="shared" si="100"/>
        <v>0</v>
      </c>
      <c r="CG43" s="414">
        <f t="shared" si="101"/>
        <v>0</v>
      </c>
      <c r="CH43" s="414">
        <f t="shared" si="102"/>
        <v>0</v>
      </c>
      <c r="CI43" s="416">
        <f t="shared" si="103"/>
        <v>0</v>
      </c>
      <c r="CJ43" s="414">
        <f t="shared" si="104"/>
        <v>7195902</v>
      </c>
      <c r="CK43" s="414">
        <f t="shared" si="105"/>
        <v>6799650</v>
      </c>
      <c r="CL43" s="414">
        <f t="shared" si="106"/>
        <v>7610595</v>
      </c>
      <c r="CM43" s="414">
        <f t="shared" si="107"/>
        <v>7870447</v>
      </c>
      <c r="CN43" s="416">
        <f t="shared" si="108"/>
        <v>29476594</v>
      </c>
      <c r="CO43" s="414">
        <f t="shared" si="109"/>
        <v>7195902</v>
      </c>
      <c r="CP43" s="414">
        <f t="shared" si="110"/>
        <v>6799650</v>
      </c>
      <c r="CQ43" s="414">
        <f t="shared" si="111"/>
        <v>7610595</v>
      </c>
      <c r="CR43" s="414">
        <f t="shared" si="112"/>
        <v>7870447</v>
      </c>
      <c r="CS43" s="416">
        <f t="shared" si="113"/>
        <v>29476594</v>
      </c>
      <c r="CU43" s="319"/>
    </row>
    <row r="44" spans="1:102" ht="15.75" customHeight="1">
      <c r="A44" s="88" t="s">
        <v>207</v>
      </c>
      <c r="B44" s="300">
        <v>22</v>
      </c>
      <c r="C44" s="231">
        <v>283981.34999999998</v>
      </c>
      <c r="D44" s="231">
        <v>0</v>
      </c>
      <c r="E44" s="231">
        <v>299541.31864055619</v>
      </c>
      <c r="F44" s="231">
        <v>17888.508504935355</v>
      </c>
      <c r="G44" s="231">
        <v>244513.00946824209</v>
      </c>
      <c r="H44" s="231">
        <v>143.64934245690824</v>
      </c>
      <c r="I44" s="231">
        <v>213832.54</v>
      </c>
      <c r="J44" s="231">
        <v>50.608114774077244</v>
      </c>
      <c r="K44" s="412">
        <f t="shared" si="87"/>
        <v>1059950.9840709646</v>
      </c>
      <c r="L44" s="417">
        <v>0</v>
      </c>
      <c r="M44" s="417">
        <v>600202.57458478969</v>
      </c>
      <c r="N44" s="417">
        <v>0</v>
      </c>
      <c r="O44" s="417">
        <v>710683.19281181518</v>
      </c>
      <c r="P44" s="417">
        <v>0</v>
      </c>
      <c r="Q44" s="417">
        <v>687398.42695710179</v>
      </c>
      <c r="R44" s="417">
        <v>0</v>
      </c>
      <c r="S44" s="417">
        <v>550187.93650604878</v>
      </c>
      <c r="T44" s="414">
        <f t="shared" si="88"/>
        <v>2548472.1308597554</v>
      </c>
      <c r="U44" s="415">
        <f t="shared" si="89"/>
        <v>3608423.1149307201</v>
      </c>
      <c r="V44" s="300">
        <v>22</v>
      </c>
      <c r="W44" s="231">
        <v>24429.97</v>
      </c>
      <c r="X44" s="231">
        <v>0</v>
      </c>
      <c r="Y44" s="231">
        <v>9375.5560868382745</v>
      </c>
      <c r="Z44" s="231">
        <v>1235.003122612693</v>
      </c>
      <c r="AA44" s="231">
        <v>11829.45</v>
      </c>
      <c r="AB44" s="231">
        <v>0</v>
      </c>
      <c r="AC44" s="231">
        <v>20993.69</v>
      </c>
      <c r="AD44" s="231">
        <v>0</v>
      </c>
      <c r="AE44" s="412">
        <f t="shared" si="90"/>
        <v>67863.669209450978</v>
      </c>
      <c r="AF44" s="417">
        <v>0</v>
      </c>
      <c r="AG44" s="231">
        <v>326469.12742680928</v>
      </c>
      <c r="AH44" s="231">
        <v>0</v>
      </c>
      <c r="AI44" s="231">
        <v>303655.49265275866</v>
      </c>
      <c r="AJ44" s="231">
        <v>0</v>
      </c>
      <c r="AK44" s="231">
        <v>317865.83</v>
      </c>
      <c r="AL44" s="231">
        <v>0</v>
      </c>
      <c r="AM44" s="231">
        <v>339930.14</v>
      </c>
      <c r="AN44" s="414">
        <f t="shared" si="91"/>
        <v>1287920.5900795679</v>
      </c>
      <c r="AO44" s="415">
        <f t="shared" si="92"/>
        <v>1355784.2592890188</v>
      </c>
      <c r="AP44" s="300">
        <v>22</v>
      </c>
      <c r="AQ44" s="231">
        <v>1819713.8</v>
      </c>
      <c r="AR44" s="231">
        <v>9.4728204337424966</v>
      </c>
      <c r="AS44" s="231">
        <v>2134205.2238649428</v>
      </c>
      <c r="AT44" s="231">
        <v>120518.55984671388</v>
      </c>
      <c r="AU44" s="231">
        <v>2420264.2673018617</v>
      </c>
      <c r="AV44" s="231">
        <v>1570.686957183525</v>
      </c>
      <c r="AW44" s="231">
        <v>2575443.0389113552</v>
      </c>
      <c r="AX44" s="231">
        <v>1310.2285906710035</v>
      </c>
      <c r="AY44" s="412">
        <f t="shared" si="93"/>
        <v>9073035.2782931607</v>
      </c>
      <c r="AZ44" s="417">
        <v>0</v>
      </c>
      <c r="BA44" s="231">
        <v>5060112.4633600032</v>
      </c>
      <c r="BB44" s="231">
        <v>0</v>
      </c>
      <c r="BC44" s="231">
        <v>5723102.4331517126</v>
      </c>
      <c r="BD44" s="231">
        <v>0</v>
      </c>
      <c r="BE44" s="231">
        <v>5970871.9256134313</v>
      </c>
      <c r="BF44" s="231">
        <v>0</v>
      </c>
      <c r="BG44" s="231">
        <v>6781619.9137121169</v>
      </c>
      <c r="BH44" s="414">
        <f t="shared" si="94"/>
        <v>23535706.735837262</v>
      </c>
      <c r="BI44" s="415">
        <f t="shared" si="95"/>
        <v>32608742.014130421</v>
      </c>
      <c r="BJ44" s="300">
        <v>22</v>
      </c>
      <c r="BK44" s="231">
        <v>21366.959999999999</v>
      </c>
      <c r="BL44" s="231">
        <v>0</v>
      </c>
      <c r="BM44" s="231">
        <v>27257.9294770784</v>
      </c>
      <c r="BN44" s="231">
        <v>1855.6641061945081</v>
      </c>
      <c r="BO44" s="231">
        <v>25086.63</v>
      </c>
      <c r="BP44" s="231">
        <v>0</v>
      </c>
      <c r="BQ44" s="231">
        <v>48694.27</v>
      </c>
      <c r="BR44" s="231">
        <v>0</v>
      </c>
      <c r="BS44" s="412">
        <f t="shared" si="96"/>
        <v>124261.4535832729</v>
      </c>
      <c r="BT44" s="417">
        <v>0</v>
      </c>
      <c r="BU44" s="231">
        <v>103870.81</v>
      </c>
      <c r="BV44" s="231">
        <v>0</v>
      </c>
      <c r="BW44" s="231">
        <v>154700.401243956</v>
      </c>
      <c r="BX44" s="231">
        <v>0</v>
      </c>
      <c r="BY44" s="231">
        <v>190041.30000000104</v>
      </c>
      <c r="BZ44" s="231">
        <v>0</v>
      </c>
      <c r="CA44" s="231">
        <v>289339.510000001</v>
      </c>
      <c r="CB44" s="414">
        <f t="shared" si="97"/>
        <v>737952.02124395804</v>
      </c>
      <c r="CC44" s="415">
        <f t="shared" si="98"/>
        <v>862213.47482723091</v>
      </c>
      <c r="CD44" s="300">
        <v>22</v>
      </c>
      <c r="CE44" s="414">
        <f t="shared" si="99"/>
        <v>2149501.5528204339</v>
      </c>
      <c r="CF44" s="414">
        <f t="shared" si="100"/>
        <v>2611877.763649872</v>
      </c>
      <c r="CG44" s="414">
        <f t="shared" si="101"/>
        <v>2703407.6930697439</v>
      </c>
      <c r="CH44" s="414">
        <f t="shared" si="102"/>
        <v>2860324.3756168005</v>
      </c>
      <c r="CI44" s="416">
        <f t="shared" si="103"/>
        <v>10325111.385156849</v>
      </c>
      <c r="CJ44" s="414">
        <f t="shared" si="104"/>
        <v>6090654.975371602</v>
      </c>
      <c r="CK44" s="414">
        <f t="shared" si="105"/>
        <v>6892141.5198602425</v>
      </c>
      <c r="CL44" s="414">
        <f t="shared" si="106"/>
        <v>7166177.4825705336</v>
      </c>
      <c r="CM44" s="414">
        <f t="shared" si="107"/>
        <v>7961077.500218166</v>
      </c>
      <c r="CN44" s="416">
        <f t="shared" si="108"/>
        <v>28110051.478020545</v>
      </c>
      <c r="CO44" s="414">
        <f t="shared" si="109"/>
        <v>8240156.5281920359</v>
      </c>
      <c r="CP44" s="414">
        <f t="shared" si="110"/>
        <v>9504019.283510115</v>
      </c>
      <c r="CQ44" s="414">
        <f t="shared" si="111"/>
        <v>9869585.1756402794</v>
      </c>
      <c r="CR44" s="414">
        <f t="shared" si="112"/>
        <v>10821401.875834968</v>
      </c>
      <c r="CS44" s="416">
        <f t="shared" si="113"/>
        <v>38435162.863177389</v>
      </c>
      <c r="CU44" s="319"/>
      <c r="CV44" s="319"/>
    </row>
    <row r="45" spans="1:102" ht="15.75" customHeight="1">
      <c r="A45" s="88" t="s">
        <v>209</v>
      </c>
      <c r="B45" s="300">
        <v>23</v>
      </c>
      <c r="C45" s="231">
        <v>207096.47740874704</v>
      </c>
      <c r="D45" s="231">
        <v>0</v>
      </c>
      <c r="E45" s="231">
        <v>228169.41188671297</v>
      </c>
      <c r="F45" s="231">
        <v>17888.508504935355</v>
      </c>
      <c r="G45" s="231">
        <v>193575.91893878576</v>
      </c>
      <c r="H45" s="231">
        <v>143.64934245690824</v>
      </c>
      <c r="I45" s="231">
        <v>172156.7826522259</v>
      </c>
      <c r="J45" s="231">
        <v>50.608114774077244</v>
      </c>
      <c r="K45" s="412">
        <f t="shared" si="87"/>
        <v>819081.35684863816</v>
      </c>
      <c r="L45" s="417">
        <v>0</v>
      </c>
      <c r="M45" s="231">
        <v>222223.39943685799</v>
      </c>
      <c r="N45" s="231">
        <v>0</v>
      </c>
      <c r="O45" s="231">
        <v>328633.79930476268</v>
      </c>
      <c r="P45" s="231">
        <v>0</v>
      </c>
      <c r="Q45" s="231">
        <v>267632.24249161175</v>
      </c>
      <c r="R45" s="231">
        <v>0</v>
      </c>
      <c r="S45" s="231">
        <v>159319.58792212134</v>
      </c>
      <c r="T45" s="414">
        <f t="shared" si="88"/>
        <v>977809.02915535378</v>
      </c>
      <c r="U45" s="415">
        <f t="shared" si="89"/>
        <v>1796890.3860039921</v>
      </c>
      <c r="V45" s="300">
        <v>23</v>
      </c>
      <c r="W45" s="231">
        <v>17815.820405816681</v>
      </c>
      <c r="X45" s="231">
        <v>0</v>
      </c>
      <c r="Y45" s="231">
        <v>7138.338995142406</v>
      </c>
      <c r="Z45" s="231">
        <v>1235.003122612693</v>
      </c>
      <c r="AA45" s="231">
        <v>9362.719158505497</v>
      </c>
      <c r="AB45" s="231">
        <v>0</v>
      </c>
      <c r="AC45" s="231">
        <v>16902.039915899648</v>
      </c>
      <c r="AD45" s="231">
        <v>0</v>
      </c>
      <c r="AE45" s="412">
        <f t="shared" si="90"/>
        <v>52453.921597976921</v>
      </c>
      <c r="AF45" s="417">
        <v>0</v>
      </c>
      <c r="AG45" s="231">
        <v>154054.24225542968</v>
      </c>
      <c r="AH45" s="231">
        <v>0</v>
      </c>
      <c r="AI45" s="231">
        <v>166107.36913716872</v>
      </c>
      <c r="AJ45" s="231">
        <v>0</v>
      </c>
      <c r="AK45" s="231">
        <v>183191.17349543475</v>
      </c>
      <c r="AL45" s="231">
        <v>0</v>
      </c>
      <c r="AM45" s="231">
        <v>203573.26773826993</v>
      </c>
      <c r="AN45" s="414">
        <f t="shared" ref="AN45:AN47" si="123">SUM(AF45:AM45)</f>
        <v>706926.05262630305</v>
      </c>
      <c r="AO45" s="415">
        <f t="shared" si="92"/>
        <v>759379.97422427998</v>
      </c>
      <c r="AP45" s="300">
        <v>23</v>
      </c>
      <c r="AQ45" s="231">
        <v>1327046.0115500023</v>
      </c>
      <c r="AR45" s="231">
        <v>9.4728204337424966</v>
      </c>
      <c r="AS45" s="231">
        <v>1623020.00281656</v>
      </c>
      <c r="AT45" s="231">
        <v>120518.55984671388</v>
      </c>
      <c r="AU45" s="231">
        <v>1915591.9416273125</v>
      </c>
      <c r="AV45" s="231">
        <v>1570.686957183525</v>
      </c>
      <c r="AW45" s="231">
        <v>2073536.3968670836</v>
      </c>
      <c r="AX45" s="231">
        <v>1310.2285906710035</v>
      </c>
      <c r="AY45" s="412">
        <f t="shared" si="93"/>
        <v>7062603.3010759605</v>
      </c>
      <c r="AZ45" s="417">
        <v>0</v>
      </c>
      <c r="BA45" s="231">
        <v>1716432.3733939817</v>
      </c>
      <c r="BB45" s="231">
        <v>0</v>
      </c>
      <c r="BC45" s="231">
        <v>2383907.9569145222</v>
      </c>
      <c r="BD45" s="231">
        <v>0</v>
      </c>
      <c r="BE45" s="231">
        <v>2684286.9568580701</v>
      </c>
      <c r="BF45" s="231">
        <v>0</v>
      </c>
      <c r="BG45" s="231">
        <v>3402177.7487946721</v>
      </c>
      <c r="BH45" s="414">
        <f t="shared" ref="BH45:BH47" si="124">SUM(AZ45:BG45)</f>
        <v>10186805.035961246</v>
      </c>
      <c r="BI45" s="415">
        <f t="shared" si="95"/>
        <v>17249408.337037206</v>
      </c>
      <c r="BJ45" s="300">
        <v>23</v>
      </c>
      <c r="BK45" s="231">
        <v>15582.087164997285</v>
      </c>
      <c r="BL45" s="231">
        <v>0</v>
      </c>
      <c r="BM45" s="231">
        <v>20672.429560633336</v>
      </c>
      <c r="BN45" s="231">
        <v>1855.6641061945081</v>
      </c>
      <c r="BO45" s="231">
        <v>19855.451548748144</v>
      </c>
      <c r="BP45" s="231">
        <v>0</v>
      </c>
      <c r="BQ45" s="231">
        <v>39203.803391190151</v>
      </c>
      <c r="BR45" s="231">
        <v>0</v>
      </c>
      <c r="BS45" s="412">
        <f t="shared" si="96"/>
        <v>97169.435771763412</v>
      </c>
      <c r="BT45" s="417">
        <v>0</v>
      </c>
      <c r="BU45" s="231">
        <v>20806.280261790584</v>
      </c>
      <c r="BV45" s="231">
        <v>0</v>
      </c>
      <c r="BW45" s="231">
        <v>66530.578923153109</v>
      </c>
      <c r="BX45" s="231">
        <v>0</v>
      </c>
      <c r="BY45" s="231">
        <v>96204.053488915699</v>
      </c>
      <c r="BZ45" s="231">
        <v>0</v>
      </c>
      <c r="CA45" s="231">
        <v>176761.92307527282</v>
      </c>
      <c r="CB45" s="414">
        <f t="shared" ref="CB45:CB47" si="125">SUM(BT45:CA45)</f>
        <v>360302.83574913221</v>
      </c>
      <c r="CC45" s="415">
        <f t="shared" si="98"/>
        <v>457472.27152089565</v>
      </c>
      <c r="CD45" s="300">
        <v>23</v>
      </c>
      <c r="CE45" s="414">
        <f t="shared" si="99"/>
        <v>1567549.8693499973</v>
      </c>
      <c r="CF45" s="414">
        <f t="shared" si="100"/>
        <v>2020497.9188395052</v>
      </c>
      <c r="CG45" s="414">
        <f t="shared" si="101"/>
        <v>2140100.3675729921</v>
      </c>
      <c r="CH45" s="414">
        <f t="shared" si="102"/>
        <v>2303159.8595318445</v>
      </c>
      <c r="CI45" s="416">
        <f t="shared" si="103"/>
        <v>8031308.0152943386</v>
      </c>
      <c r="CJ45" s="414">
        <f t="shared" si="104"/>
        <v>2113516.2953480599</v>
      </c>
      <c r="CK45" s="414">
        <f t="shared" si="105"/>
        <v>2945179.7042796067</v>
      </c>
      <c r="CL45" s="414">
        <f t="shared" si="106"/>
        <v>3231314.4263340323</v>
      </c>
      <c r="CM45" s="414">
        <f t="shared" si="107"/>
        <v>3941832.5275303358</v>
      </c>
      <c r="CN45" s="416">
        <f t="shared" si="108"/>
        <v>12231842.953492036</v>
      </c>
      <c r="CO45" s="414">
        <f t="shared" si="109"/>
        <v>3681066.1646980569</v>
      </c>
      <c r="CP45" s="414">
        <f t="shared" si="110"/>
        <v>4965677.6231191112</v>
      </c>
      <c r="CQ45" s="414">
        <f t="shared" si="111"/>
        <v>5371414.793907024</v>
      </c>
      <c r="CR45" s="414">
        <f t="shared" si="112"/>
        <v>6244992.3870621808</v>
      </c>
      <c r="CS45" s="416">
        <f t="shared" si="113"/>
        <v>20263150.968786374</v>
      </c>
    </row>
    <row r="46" spans="1:102" ht="15.75" customHeight="1">
      <c r="A46" s="88" t="s">
        <v>211</v>
      </c>
      <c r="B46" s="300">
        <v>24</v>
      </c>
      <c r="C46" s="231">
        <v>6252.21</v>
      </c>
      <c r="D46" s="231">
        <v>0</v>
      </c>
      <c r="E46" s="231">
        <v>5414.99</v>
      </c>
      <c r="F46" s="231">
        <v>0</v>
      </c>
      <c r="G46" s="231">
        <v>11504</v>
      </c>
      <c r="H46" s="231">
        <v>0</v>
      </c>
      <c r="I46" s="231">
        <v>14852.51</v>
      </c>
      <c r="J46" s="231">
        <v>0</v>
      </c>
      <c r="K46" s="412">
        <f t="shared" si="87"/>
        <v>38023.71</v>
      </c>
      <c r="L46" s="417">
        <v>0</v>
      </c>
      <c r="M46" s="231">
        <v>41708.589999999997</v>
      </c>
      <c r="N46" s="231">
        <v>0</v>
      </c>
      <c r="O46" s="231">
        <v>38237.43</v>
      </c>
      <c r="P46" s="231">
        <v>0</v>
      </c>
      <c r="Q46" s="231">
        <v>78930.230000000098</v>
      </c>
      <c r="R46" s="231">
        <v>0</v>
      </c>
      <c r="S46" s="231">
        <v>82354.61</v>
      </c>
      <c r="T46" s="414">
        <f t="shared" si="88"/>
        <v>241230.8600000001</v>
      </c>
      <c r="U46" s="415">
        <f t="shared" si="89"/>
        <v>279254.57000000012</v>
      </c>
      <c r="V46" s="300">
        <v>24</v>
      </c>
      <c r="W46" s="231">
        <v>630.14</v>
      </c>
      <c r="X46" s="231">
        <v>0</v>
      </c>
      <c r="Y46" s="231">
        <v>177.8</v>
      </c>
      <c r="Z46" s="231">
        <v>0</v>
      </c>
      <c r="AA46" s="231">
        <v>1062.29</v>
      </c>
      <c r="AB46" s="231">
        <v>0</v>
      </c>
      <c r="AC46" s="231">
        <v>1658.75</v>
      </c>
      <c r="AD46" s="231">
        <v>0</v>
      </c>
      <c r="AE46" s="412">
        <f t="shared" si="90"/>
        <v>3528.98</v>
      </c>
      <c r="AF46" s="417">
        <v>0</v>
      </c>
      <c r="AG46" s="231">
        <v>10901.42</v>
      </c>
      <c r="AH46" s="231">
        <v>0</v>
      </c>
      <c r="AI46" s="231">
        <v>6922.28</v>
      </c>
      <c r="AJ46" s="231">
        <v>0</v>
      </c>
      <c r="AK46" s="231">
        <v>18623.09</v>
      </c>
      <c r="AL46" s="231">
        <v>0</v>
      </c>
      <c r="AM46" s="231">
        <v>23789.71</v>
      </c>
      <c r="AN46" s="414">
        <f t="shared" si="123"/>
        <v>60236.5</v>
      </c>
      <c r="AO46" s="415">
        <f t="shared" si="92"/>
        <v>63765.48</v>
      </c>
      <c r="AP46" s="300">
        <v>24</v>
      </c>
      <c r="AQ46" s="231">
        <v>42817.39</v>
      </c>
      <c r="AR46" s="231">
        <v>0</v>
      </c>
      <c r="AS46" s="231">
        <v>35971.29</v>
      </c>
      <c r="AT46" s="231">
        <v>0</v>
      </c>
      <c r="AU46" s="231">
        <v>101684.43</v>
      </c>
      <c r="AV46" s="231">
        <v>0</v>
      </c>
      <c r="AW46" s="231">
        <v>104744.43</v>
      </c>
      <c r="AX46" s="231">
        <v>0</v>
      </c>
      <c r="AY46" s="412">
        <f t="shared" si="93"/>
        <v>285217.53999999998</v>
      </c>
      <c r="AZ46" s="417">
        <v>0</v>
      </c>
      <c r="BA46" s="231">
        <v>294267.45999999897</v>
      </c>
      <c r="BB46" s="231">
        <v>0</v>
      </c>
      <c r="BC46" s="231">
        <v>295066.13</v>
      </c>
      <c r="BD46" s="231">
        <v>0</v>
      </c>
      <c r="BE46" s="231">
        <v>486640.530000003</v>
      </c>
      <c r="BF46" s="231">
        <v>0</v>
      </c>
      <c r="BG46" s="231">
        <v>516750.74999999802</v>
      </c>
      <c r="BH46" s="414">
        <f t="shared" si="124"/>
        <v>1592724.87</v>
      </c>
      <c r="BI46" s="415">
        <f t="shared" si="95"/>
        <v>1877942.4100000001</v>
      </c>
      <c r="BJ46" s="300">
        <v>24</v>
      </c>
      <c r="BK46" s="231">
        <v>280.37</v>
      </c>
      <c r="BL46" s="231">
        <v>0</v>
      </c>
      <c r="BM46" s="231">
        <v>0</v>
      </c>
      <c r="BN46" s="231">
        <v>0</v>
      </c>
      <c r="BO46" s="231">
        <v>839.22</v>
      </c>
      <c r="BP46" s="231">
        <v>0</v>
      </c>
      <c r="BQ46" s="231">
        <v>156.59</v>
      </c>
      <c r="BR46" s="231">
        <v>0</v>
      </c>
      <c r="BS46" s="412">
        <f t="shared" si="96"/>
        <v>1276.18</v>
      </c>
      <c r="BT46" s="417">
        <v>0</v>
      </c>
      <c r="BU46" s="231">
        <v>1428.42</v>
      </c>
      <c r="BV46" s="231">
        <v>0</v>
      </c>
      <c r="BW46" s="231">
        <v>1404.48</v>
      </c>
      <c r="BX46" s="231">
        <v>0</v>
      </c>
      <c r="BY46" s="231">
        <v>4211.2</v>
      </c>
      <c r="BZ46" s="231">
        <v>0</v>
      </c>
      <c r="CA46" s="231">
        <v>8327.16</v>
      </c>
      <c r="CB46" s="414">
        <f t="shared" si="125"/>
        <v>15371.26</v>
      </c>
      <c r="CC46" s="415">
        <f t="shared" si="98"/>
        <v>16647.439999999999</v>
      </c>
      <c r="CD46" s="300">
        <v>24</v>
      </c>
      <c r="CE46" s="414">
        <f t="shared" si="99"/>
        <v>49980.11</v>
      </c>
      <c r="CF46" s="414">
        <f t="shared" si="100"/>
        <v>41564.080000000002</v>
      </c>
      <c r="CG46" s="414">
        <f t="shared" si="101"/>
        <v>115089.94</v>
      </c>
      <c r="CH46" s="414">
        <f t="shared" si="102"/>
        <v>121412.28</v>
      </c>
      <c r="CI46" s="416">
        <f t="shared" si="103"/>
        <v>328046.40999999997</v>
      </c>
      <c r="CJ46" s="414">
        <f t="shared" si="104"/>
        <v>348305.88999999897</v>
      </c>
      <c r="CK46" s="414">
        <f t="shared" si="105"/>
        <v>341630.32</v>
      </c>
      <c r="CL46" s="414">
        <f t="shared" si="106"/>
        <v>588405.05000000307</v>
      </c>
      <c r="CM46" s="414">
        <f t="shared" si="107"/>
        <v>631222.229999998</v>
      </c>
      <c r="CN46" s="416">
        <f t="shared" si="108"/>
        <v>1909563.4900000002</v>
      </c>
      <c r="CO46" s="414">
        <f t="shared" si="109"/>
        <v>398285.99999999895</v>
      </c>
      <c r="CP46" s="414">
        <f t="shared" si="110"/>
        <v>383194.4</v>
      </c>
      <c r="CQ46" s="414">
        <f t="shared" si="111"/>
        <v>703494.99000000302</v>
      </c>
      <c r="CR46" s="414">
        <f t="shared" si="112"/>
        <v>752634.50999999803</v>
      </c>
      <c r="CS46" s="416">
        <f t="shared" si="113"/>
        <v>2237609.9000000004</v>
      </c>
    </row>
    <row r="47" spans="1:102" ht="15.75" customHeight="1">
      <c r="A47" s="88" t="s">
        <v>212</v>
      </c>
      <c r="B47" s="300">
        <v>25</v>
      </c>
      <c r="C47" s="231">
        <v>4559.4919068443842</v>
      </c>
      <c r="D47" s="231">
        <v>0</v>
      </c>
      <c r="E47" s="231">
        <v>4102.3802895050658</v>
      </c>
      <c r="F47" s="231">
        <v>0</v>
      </c>
      <c r="G47" s="231">
        <v>9105.1334761503895</v>
      </c>
      <c r="H47" s="231">
        <v>0</v>
      </c>
      <c r="I47" s="231">
        <v>11957.770019053281</v>
      </c>
      <c r="J47" s="231">
        <v>0</v>
      </c>
      <c r="K47" s="412">
        <f t="shared" si="87"/>
        <v>29724.775691553121</v>
      </c>
      <c r="L47" s="417">
        <v>0</v>
      </c>
      <c r="M47" s="231">
        <v>27733.362012823916</v>
      </c>
      <c r="N47" s="231">
        <v>0</v>
      </c>
      <c r="O47" s="231">
        <v>25278.90358948724</v>
      </c>
      <c r="P47" s="231">
        <v>0</v>
      </c>
      <c r="Q47" s="231">
        <v>61676.094528744885</v>
      </c>
      <c r="R47" s="231">
        <v>0</v>
      </c>
      <c r="S47" s="231">
        <v>65952.507310836241</v>
      </c>
      <c r="T47" s="414">
        <f t="shared" si="88"/>
        <v>180640.86744189227</v>
      </c>
      <c r="U47" s="415">
        <f t="shared" si="89"/>
        <v>210365.64313344541</v>
      </c>
      <c r="V47" s="300">
        <v>25</v>
      </c>
      <c r="W47" s="231">
        <v>459.536424748836</v>
      </c>
      <c r="X47" s="231">
        <v>0</v>
      </c>
      <c r="Y47" s="231">
        <v>134.70075022742438</v>
      </c>
      <c r="Z47" s="231">
        <v>0</v>
      </c>
      <c r="AA47" s="231">
        <v>840.77644648642183</v>
      </c>
      <c r="AB47" s="231">
        <v>0</v>
      </c>
      <c r="AC47" s="231">
        <v>1335.4612128929475</v>
      </c>
      <c r="AD47" s="231">
        <v>0</v>
      </c>
      <c r="AE47" s="412">
        <f t="shared" si="90"/>
        <v>2770.4748343556298</v>
      </c>
      <c r="AF47" s="417">
        <v>0</v>
      </c>
      <c r="AG47" s="231">
        <v>7248.6993042401791</v>
      </c>
      <c r="AH47" s="231">
        <v>0</v>
      </c>
      <c r="AI47" s="231">
        <v>4576.3444023156298</v>
      </c>
      <c r="AJ47" s="231">
        <v>0</v>
      </c>
      <c r="AK47" s="231">
        <v>14552.085547670673</v>
      </c>
      <c r="AL47" s="231">
        <v>0</v>
      </c>
      <c r="AM47" s="231">
        <v>19051.647779009261</v>
      </c>
      <c r="AN47" s="414">
        <f t="shared" si="123"/>
        <v>45428.777033235747</v>
      </c>
      <c r="AO47" s="415">
        <f t="shared" si="92"/>
        <v>48199.251867591374</v>
      </c>
      <c r="AP47" s="300">
        <v>25</v>
      </c>
      <c r="AQ47" s="231">
        <v>31225.045732181046</v>
      </c>
      <c r="AR47" s="231">
        <v>0</v>
      </c>
      <c r="AS47" s="231">
        <v>27251.742124005897</v>
      </c>
      <c r="AT47" s="231">
        <v>0</v>
      </c>
      <c r="AU47" s="231">
        <v>80480.729102596553</v>
      </c>
      <c r="AV47" s="231">
        <v>0</v>
      </c>
      <c r="AW47" s="231">
        <v>84329.840863047735</v>
      </c>
      <c r="AX47" s="231">
        <v>0</v>
      </c>
      <c r="AY47" s="412">
        <f t="shared" si="93"/>
        <v>223287.35782183125</v>
      </c>
      <c r="AZ47" s="417">
        <v>0</v>
      </c>
      <c r="BA47" s="231">
        <v>195667.75085837604</v>
      </c>
      <c r="BB47" s="231">
        <v>0</v>
      </c>
      <c r="BC47" s="231">
        <v>195069.28820250492</v>
      </c>
      <c r="BD47" s="231">
        <v>0</v>
      </c>
      <c r="BE47" s="231">
        <v>380260.98910137039</v>
      </c>
      <c r="BF47" s="231">
        <v>0</v>
      </c>
      <c r="BG47" s="231">
        <v>413832.42076254112</v>
      </c>
      <c r="BH47" s="414">
        <f t="shared" si="124"/>
        <v>1184830.4489247925</v>
      </c>
      <c r="BI47" s="415">
        <f t="shared" si="95"/>
        <v>1408117.8067466237</v>
      </c>
      <c r="BJ47" s="300">
        <v>25</v>
      </c>
      <c r="BK47" s="231">
        <v>204.46286127976509</v>
      </c>
      <c r="BL47" s="231">
        <v>0</v>
      </c>
      <c r="BM47" s="231">
        <v>0</v>
      </c>
      <c r="BN47" s="231">
        <v>0</v>
      </c>
      <c r="BO47" s="231">
        <v>664.22201980658292</v>
      </c>
      <c r="BP47" s="231">
        <v>0</v>
      </c>
      <c r="BQ47" s="231">
        <v>126.07075890092338</v>
      </c>
      <c r="BR47" s="231">
        <v>0</v>
      </c>
      <c r="BS47" s="412">
        <f t="shared" si="96"/>
        <v>994.75563998727137</v>
      </c>
      <c r="BT47" s="417">
        <v>0</v>
      </c>
      <c r="BU47" s="231">
        <v>949.80168273149343</v>
      </c>
      <c r="BV47" s="231">
        <v>0</v>
      </c>
      <c r="BW47" s="231">
        <v>928.50681945316501</v>
      </c>
      <c r="BX47" s="231">
        <v>0</v>
      </c>
      <c r="BY47" s="231">
        <v>3290.6323632840058</v>
      </c>
      <c r="BZ47" s="231">
        <v>0</v>
      </c>
      <c r="CA47" s="231">
        <v>6668.686558997767</v>
      </c>
      <c r="CB47" s="414">
        <f t="shared" si="125"/>
        <v>11837.627424466431</v>
      </c>
      <c r="CC47" s="415">
        <f t="shared" si="98"/>
        <v>12832.383064453703</v>
      </c>
      <c r="CD47" s="300">
        <v>25</v>
      </c>
      <c r="CE47" s="414">
        <f t="shared" si="99"/>
        <v>36448.536925054032</v>
      </c>
      <c r="CF47" s="414">
        <f t="shared" si="100"/>
        <v>31488.823163738387</v>
      </c>
      <c r="CG47" s="414">
        <f t="shared" si="101"/>
        <v>91090.861045039943</v>
      </c>
      <c r="CH47" s="414">
        <f t="shared" si="102"/>
        <v>97749.142853894882</v>
      </c>
      <c r="CI47" s="416">
        <f t="shared" si="103"/>
        <v>256777.36398772727</v>
      </c>
      <c r="CJ47" s="414">
        <f t="shared" si="104"/>
        <v>231599.61385817162</v>
      </c>
      <c r="CK47" s="414">
        <f t="shared" si="105"/>
        <v>225853.04301376097</v>
      </c>
      <c r="CL47" s="414">
        <f t="shared" si="106"/>
        <v>459779.80154106999</v>
      </c>
      <c r="CM47" s="414">
        <f t="shared" si="107"/>
        <v>505505.26241138444</v>
      </c>
      <c r="CN47" s="416">
        <f t="shared" si="108"/>
        <v>1422737.7208243869</v>
      </c>
      <c r="CO47" s="414">
        <f t="shared" si="109"/>
        <v>268048.15078322566</v>
      </c>
      <c r="CP47" s="414">
        <f t="shared" si="110"/>
        <v>257341.86617749935</v>
      </c>
      <c r="CQ47" s="414">
        <f t="shared" si="111"/>
        <v>550870.66258610995</v>
      </c>
      <c r="CR47" s="414">
        <f t="shared" si="112"/>
        <v>603254.40526527923</v>
      </c>
      <c r="CS47" s="416">
        <f t="shared" si="113"/>
        <v>1679515.0848121142</v>
      </c>
    </row>
    <row r="48" spans="1:102" ht="15.75" customHeight="1">
      <c r="A48" s="88" t="s">
        <v>213</v>
      </c>
      <c r="B48" s="300">
        <v>26</v>
      </c>
      <c r="C48" s="231">
        <v>17320.120902738388</v>
      </c>
      <c r="D48" s="231">
        <v>2776.7380133572156</v>
      </c>
      <c r="E48" s="231">
        <v>19263.168122035746</v>
      </c>
      <c r="F48" s="231">
        <v>3770.4144238962731</v>
      </c>
      <c r="G48" s="231">
        <v>30459.86660882326</v>
      </c>
      <c r="H48" s="231">
        <v>3045.8945325423201</v>
      </c>
      <c r="I48" s="231">
        <v>14160.563171014066</v>
      </c>
      <c r="J48" s="231">
        <v>1216.459043574084</v>
      </c>
      <c r="K48" s="412">
        <f t="shared" si="87"/>
        <v>92013.224817981361</v>
      </c>
      <c r="L48" s="417">
        <v>0</v>
      </c>
      <c r="M48" s="231">
        <v>40032.524826451641</v>
      </c>
      <c r="N48" s="231">
        <v>0</v>
      </c>
      <c r="O48" s="231">
        <v>88737.79373186217</v>
      </c>
      <c r="P48" s="231">
        <v>0</v>
      </c>
      <c r="Q48" s="231">
        <v>58752.171602857852</v>
      </c>
      <c r="R48" s="231">
        <v>0</v>
      </c>
      <c r="S48" s="231">
        <v>65284.651903842139</v>
      </c>
      <c r="T48" s="414">
        <f t="shared" si="88"/>
        <v>252807.14206501379</v>
      </c>
      <c r="U48" s="415">
        <f t="shared" si="89"/>
        <v>344820.36688299512</v>
      </c>
      <c r="V48" s="300">
        <v>26</v>
      </c>
      <c r="W48" s="231">
        <v>395.18483976495514</v>
      </c>
      <c r="X48" s="231">
        <v>676.64576656372265</v>
      </c>
      <c r="Y48" s="231">
        <v>485.2772315999897</v>
      </c>
      <c r="Z48" s="231">
        <v>394.78736566577498</v>
      </c>
      <c r="AA48" s="231">
        <v>292.90737726148922</v>
      </c>
      <c r="AB48" s="231">
        <v>1337.9059767682954</v>
      </c>
      <c r="AC48" s="231">
        <v>170.62433728983703</v>
      </c>
      <c r="AD48" s="231">
        <v>388.67283511299803</v>
      </c>
      <c r="AE48" s="412">
        <f t="shared" si="90"/>
        <v>4142.0057300270619</v>
      </c>
      <c r="AF48" s="417">
        <v>0</v>
      </c>
      <c r="AG48" s="231">
        <v>10286.386161558803</v>
      </c>
      <c r="AH48" s="231">
        <v>0</v>
      </c>
      <c r="AI48" s="231">
        <v>11247.66567406982</v>
      </c>
      <c r="AJ48" s="231">
        <v>0</v>
      </c>
      <c r="AK48" s="231">
        <v>12923.346787386337</v>
      </c>
      <c r="AL48" s="231">
        <v>0</v>
      </c>
      <c r="AM48" s="231">
        <v>28095.902664065383</v>
      </c>
      <c r="AN48" s="414">
        <f t="shared" si="91"/>
        <v>62553.301287080343</v>
      </c>
      <c r="AO48" s="415">
        <f t="shared" si="92"/>
        <v>66695.307017107407</v>
      </c>
      <c r="AP48" s="300">
        <v>26</v>
      </c>
      <c r="AQ48" s="231">
        <v>45630.626097098895</v>
      </c>
      <c r="AR48" s="231">
        <v>22423.267457416598</v>
      </c>
      <c r="AS48" s="231">
        <v>59107.996476088163</v>
      </c>
      <c r="AT48" s="231">
        <v>20096.232551736921</v>
      </c>
      <c r="AU48" s="231">
        <v>74295.209091663259</v>
      </c>
      <c r="AV48" s="231">
        <v>25892.528223030753</v>
      </c>
      <c r="AW48" s="231">
        <v>82320.466588518073</v>
      </c>
      <c r="AX48" s="231">
        <v>19341.453712139664</v>
      </c>
      <c r="AY48" s="412">
        <f t="shared" si="93"/>
        <v>349107.78019769239</v>
      </c>
      <c r="AZ48" s="417">
        <v>0</v>
      </c>
      <c r="BA48" s="231">
        <v>229792.55857467046</v>
      </c>
      <c r="BB48" s="231">
        <v>0</v>
      </c>
      <c r="BC48" s="231">
        <v>248111.75477927079</v>
      </c>
      <c r="BD48" s="231">
        <v>0</v>
      </c>
      <c r="BE48" s="231">
        <v>297332.02941289882</v>
      </c>
      <c r="BF48" s="231">
        <v>0</v>
      </c>
      <c r="BG48" s="231">
        <v>316405.00494499243</v>
      </c>
      <c r="BH48" s="414">
        <f t="shared" si="94"/>
        <v>1091641.3477118325</v>
      </c>
      <c r="BI48" s="415">
        <f t="shared" si="95"/>
        <v>1440749.1279095248</v>
      </c>
      <c r="BJ48" s="300">
        <v>26</v>
      </c>
      <c r="BK48" s="231">
        <v>1167.3198406375241</v>
      </c>
      <c r="BL48" s="231">
        <v>4388.6495605885393</v>
      </c>
      <c r="BM48" s="231">
        <v>247.28748000532718</v>
      </c>
      <c r="BN48" s="231">
        <v>1421.3087377454831</v>
      </c>
      <c r="BO48" s="231">
        <v>1040.5339184141642</v>
      </c>
      <c r="BP48" s="231">
        <v>2677.3103045608777</v>
      </c>
      <c r="BQ48" s="231">
        <v>1564.2222561068784</v>
      </c>
      <c r="BR48" s="231">
        <v>2049.3772835416476</v>
      </c>
      <c r="BS48" s="412">
        <f t="shared" si="96"/>
        <v>14556.009381600439</v>
      </c>
      <c r="BT48" s="417">
        <v>0</v>
      </c>
      <c r="BU48" s="231">
        <v>21402.499302448439</v>
      </c>
      <c r="BV48" s="231">
        <v>0</v>
      </c>
      <c r="BW48" s="231">
        <v>17349.131362689321</v>
      </c>
      <c r="BX48" s="231">
        <v>0</v>
      </c>
      <c r="BY48" s="231">
        <v>19507.077033586786</v>
      </c>
      <c r="BZ48" s="231">
        <v>0</v>
      </c>
      <c r="CA48" s="231">
        <v>23005.906843444824</v>
      </c>
      <c r="CB48" s="414">
        <f t="shared" si="97"/>
        <v>81264.614542169365</v>
      </c>
      <c r="CC48" s="415">
        <f t="shared" si="98"/>
        <v>95820.623923769803</v>
      </c>
      <c r="CD48" s="300">
        <v>26</v>
      </c>
      <c r="CE48" s="414">
        <f t="shared" si="99"/>
        <v>94778.552478165846</v>
      </c>
      <c r="CF48" s="414">
        <f t="shared" si="100"/>
        <v>104786.47238877368</v>
      </c>
      <c r="CG48" s="414">
        <f t="shared" si="101"/>
        <v>139042.15603306444</v>
      </c>
      <c r="CH48" s="414">
        <f t="shared" si="102"/>
        <v>121211.83922729724</v>
      </c>
      <c r="CI48" s="416">
        <f t="shared" si="103"/>
        <v>459819.02012730122</v>
      </c>
      <c r="CJ48" s="414">
        <f t="shared" si="104"/>
        <v>301513.96886512934</v>
      </c>
      <c r="CK48" s="414">
        <f t="shared" si="105"/>
        <v>365446.3455478921</v>
      </c>
      <c r="CL48" s="414">
        <f t="shared" si="106"/>
        <v>388514.62483672984</v>
      </c>
      <c r="CM48" s="414">
        <f t="shared" si="107"/>
        <v>432791.46635634475</v>
      </c>
      <c r="CN48" s="416">
        <f t="shared" si="108"/>
        <v>1488266.4056060959</v>
      </c>
      <c r="CO48" s="414">
        <f t="shared" si="109"/>
        <v>396292.52134329511</v>
      </c>
      <c r="CP48" s="414">
        <f t="shared" si="110"/>
        <v>470232.81793666584</v>
      </c>
      <c r="CQ48" s="414">
        <f t="shared" si="111"/>
        <v>527556.78086979419</v>
      </c>
      <c r="CR48" s="414">
        <f t="shared" si="112"/>
        <v>554003.30558364198</v>
      </c>
      <c r="CS48" s="416">
        <f t="shared" si="113"/>
        <v>1948085.4257333972</v>
      </c>
    </row>
    <row r="49" spans="1:97" ht="15.75" customHeight="1">
      <c r="A49" s="88" t="s">
        <v>214</v>
      </c>
      <c r="B49" s="300">
        <v>27</v>
      </c>
      <c r="C49" s="231">
        <v>22613.354719883544</v>
      </c>
      <c r="D49" s="231">
        <v>210252.47389074092</v>
      </c>
      <c r="E49" s="231">
        <v>55668.749686132935</v>
      </c>
      <c r="F49" s="231">
        <v>642805.6350882859</v>
      </c>
      <c r="G49" s="231">
        <v>71434.614010455713</v>
      </c>
      <c r="H49" s="231">
        <v>427882.10757922259</v>
      </c>
      <c r="I49" s="231">
        <v>88807.123994964219</v>
      </c>
      <c r="J49" s="231">
        <v>258301.67073248449</v>
      </c>
      <c r="K49" s="412">
        <f t="shared" si="87"/>
        <v>1777765.7297021702</v>
      </c>
      <c r="L49" s="417">
        <v>0</v>
      </c>
      <c r="M49" s="231">
        <v>157376.25544276761</v>
      </c>
      <c r="N49" s="231">
        <v>0</v>
      </c>
      <c r="O49" s="231">
        <v>593233.43549929128</v>
      </c>
      <c r="P49" s="231">
        <v>0</v>
      </c>
      <c r="Q49" s="231">
        <v>341564.29843047826</v>
      </c>
      <c r="R49" s="231">
        <v>0</v>
      </c>
      <c r="S49" s="231">
        <v>191326.69240059974</v>
      </c>
      <c r="T49" s="414">
        <f t="shared" si="88"/>
        <v>1283500.6817731371</v>
      </c>
      <c r="U49" s="415">
        <f t="shared" si="89"/>
        <v>3061266.4114753073</v>
      </c>
      <c r="V49" s="300">
        <v>27</v>
      </c>
      <c r="W49" s="231">
        <v>7385.9961436875947</v>
      </c>
      <c r="X49" s="231">
        <v>3381.2761901287827</v>
      </c>
      <c r="Y49" s="231">
        <v>0</v>
      </c>
      <c r="Z49" s="231">
        <v>0</v>
      </c>
      <c r="AA49" s="231">
        <v>0</v>
      </c>
      <c r="AB49" s="231">
        <v>0</v>
      </c>
      <c r="AC49" s="231">
        <v>0</v>
      </c>
      <c r="AD49" s="231">
        <v>0</v>
      </c>
      <c r="AE49" s="412">
        <f t="shared" si="90"/>
        <v>10767.272333816378</v>
      </c>
      <c r="AF49" s="417">
        <v>0</v>
      </c>
      <c r="AG49" s="231">
        <v>39176.88014105583</v>
      </c>
      <c r="AH49" s="231">
        <v>0</v>
      </c>
      <c r="AI49" s="231">
        <v>11091.933484314448</v>
      </c>
      <c r="AJ49" s="231">
        <v>0</v>
      </c>
      <c r="AK49" s="231">
        <v>0</v>
      </c>
      <c r="AL49" s="231">
        <v>0</v>
      </c>
      <c r="AM49" s="231">
        <v>2060.7992710024992</v>
      </c>
      <c r="AN49" s="414">
        <f t="shared" si="91"/>
        <v>52329.612896372775</v>
      </c>
      <c r="AO49" s="415">
        <f t="shared" si="92"/>
        <v>63096.885230189153</v>
      </c>
      <c r="AP49" s="300">
        <v>27</v>
      </c>
      <c r="AQ49" s="231">
        <v>232196.70302180469</v>
      </c>
      <c r="AR49" s="231">
        <v>533944.18547059677</v>
      </c>
      <c r="AS49" s="231">
        <v>55056.31323037931</v>
      </c>
      <c r="AT49" s="231">
        <v>174717.16515364341</v>
      </c>
      <c r="AU49" s="231">
        <v>106427.38730349307</v>
      </c>
      <c r="AV49" s="231">
        <v>113196.66388340427</v>
      </c>
      <c r="AW49" s="231">
        <v>85886.118290949002</v>
      </c>
      <c r="AX49" s="231">
        <v>74433.256836887071</v>
      </c>
      <c r="AY49" s="412">
        <f t="shared" si="93"/>
        <v>1375857.7931911573</v>
      </c>
      <c r="AZ49" s="417">
        <v>0</v>
      </c>
      <c r="BA49" s="231">
        <v>1201650.5661785773</v>
      </c>
      <c r="BB49" s="231">
        <v>0</v>
      </c>
      <c r="BC49" s="231">
        <v>827075.9752547337</v>
      </c>
      <c r="BD49" s="231">
        <v>0</v>
      </c>
      <c r="BE49" s="231">
        <v>606354.85685368476</v>
      </c>
      <c r="BF49" s="231">
        <v>0</v>
      </c>
      <c r="BG49" s="231">
        <v>793175.86892510648</v>
      </c>
      <c r="BH49" s="414">
        <f t="shared" si="94"/>
        <v>3428257.2672121022</v>
      </c>
      <c r="BI49" s="415">
        <f t="shared" si="95"/>
        <v>4804115.0604032595</v>
      </c>
      <c r="BJ49" s="300">
        <v>27</v>
      </c>
      <c r="BK49" s="231">
        <v>355766.86181244842</v>
      </c>
      <c r="BL49" s="231">
        <v>4125860.4040030665</v>
      </c>
      <c r="BM49" s="231">
        <v>324588.90434062533</v>
      </c>
      <c r="BN49" s="231">
        <v>3109581.5064408188</v>
      </c>
      <c r="BO49" s="231">
        <v>335640.01438240043</v>
      </c>
      <c r="BP49" s="231">
        <v>3497310.834700299</v>
      </c>
      <c r="BQ49" s="231">
        <v>394601.3788563477</v>
      </c>
      <c r="BR49" s="231">
        <v>3535577.4217585572</v>
      </c>
      <c r="BS49" s="412">
        <f t="shared" si="96"/>
        <v>15678927.326294564</v>
      </c>
      <c r="BT49" s="417">
        <v>0</v>
      </c>
      <c r="BU49" s="231">
        <v>233807.56061760886</v>
      </c>
      <c r="BV49" s="231">
        <v>0</v>
      </c>
      <c r="BW49" s="231">
        <v>818525.43190630036</v>
      </c>
      <c r="BX49" s="231">
        <v>0</v>
      </c>
      <c r="BY49" s="231">
        <v>407424.87388796522</v>
      </c>
      <c r="BZ49" s="231">
        <v>0</v>
      </c>
      <c r="CA49" s="231">
        <v>224077.43066447543</v>
      </c>
      <c r="CB49" s="414">
        <f t="shared" si="97"/>
        <v>1683835.2970763501</v>
      </c>
      <c r="CC49" s="415">
        <f t="shared" si="98"/>
        <v>17362762.623370916</v>
      </c>
      <c r="CD49" s="300">
        <v>27</v>
      </c>
      <c r="CE49" s="414">
        <f t="shared" si="99"/>
        <v>5491401.2552523576</v>
      </c>
      <c r="CF49" s="414">
        <f t="shared" si="100"/>
        <v>4362418.2739398852</v>
      </c>
      <c r="CG49" s="414">
        <f t="shared" si="101"/>
        <v>4551891.6218592748</v>
      </c>
      <c r="CH49" s="414">
        <f t="shared" si="102"/>
        <v>4437606.97047019</v>
      </c>
      <c r="CI49" s="416">
        <f t="shared" si="103"/>
        <v>18843318.121521708</v>
      </c>
      <c r="CJ49" s="414">
        <f t="shared" si="104"/>
        <v>1632011.2623800095</v>
      </c>
      <c r="CK49" s="414">
        <f t="shared" si="105"/>
        <v>2249926.7761446396</v>
      </c>
      <c r="CL49" s="414">
        <f t="shared" si="106"/>
        <v>1355344.0291721283</v>
      </c>
      <c r="CM49" s="414">
        <f t="shared" si="107"/>
        <v>1210640.791261184</v>
      </c>
      <c r="CN49" s="416">
        <f t="shared" si="108"/>
        <v>6447922.8589579621</v>
      </c>
      <c r="CO49" s="414">
        <f t="shared" si="109"/>
        <v>7123412.5176323671</v>
      </c>
      <c r="CP49" s="414">
        <f t="shared" si="110"/>
        <v>6612345.0500845248</v>
      </c>
      <c r="CQ49" s="414">
        <f t="shared" si="111"/>
        <v>5907235.6510314038</v>
      </c>
      <c r="CR49" s="414">
        <f t="shared" si="112"/>
        <v>5648247.7617313731</v>
      </c>
      <c r="CS49" s="416">
        <f t="shared" si="113"/>
        <v>25291240.980479669</v>
      </c>
    </row>
    <row r="50" spans="1:97" ht="15.75" customHeight="1">
      <c r="A50" s="88" t="s">
        <v>215</v>
      </c>
      <c r="B50" s="300">
        <v>28</v>
      </c>
      <c r="C50" s="231">
        <v>35406.939447474557</v>
      </c>
      <c r="D50" s="231">
        <v>146185.10566533596</v>
      </c>
      <c r="E50" s="231">
        <v>133211.67424222076</v>
      </c>
      <c r="F50" s="231">
        <v>706420.161288723</v>
      </c>
      <c r="G50" s="231">
        <v>108973.11606573859</v>
      </c>
      <c r="H50" s="231">
        <v>585890.35038174875</v>
      </c>
      <c r="I50" s="231">
        <v>59913.336251549052</v>
      </c>
      <c r="J50" s="231">
        <v>306337.06669176434</v>
      </c>
      <c r="K50" s="412">
        <f t="shared" si="87"/>
        <v>2082337.7500345549</v>
      </c>
      <c r="L50" s="417">
        <v>0</v>
      </c>
      <c r="M50" s="231">
        <v>0</v>
      </c>
      <c r="N50" s="231">
        <v>0</v>
      </c>
      <c r="O50" s="231">
        <v>0</v>
      </c>
      <c r="P50" s="231">
        <v>0</v>
      </c>
      <c r="Q50" s="231">
        <v>0</v>
      </c>
      <c r="R50" s="231">
        <v>0</v>
      </c>
      <c r="S50" s="231">
        <v>0</v>
      </c>
      <c r="T50" s="414">
        <f t="shared" si="88"/>
        <v>0</v>
      </c>
      <c r="U50" s="415">
        <f t="shared" si="89"/>
        <v>2082337.7500345549</v>
      </c>
      <c r="V50" s="300">
        <v>28</v>
      </c>
      <c r="W50" s="231">
        <v>0</v>
      </c>
      <c r="X50" s="231">
        <v>15302.430177455748</v>
      </c>
      <c r="Y50" s="231">
        <v>0</v>
      </c>
      <c r="Z50" s="231">
        <v>8527.0099138661099</v>
      </c>
      <c r="AA50" s="231">
        <v>0</v>
      </c>
      <c r="AB50" s="231">
        <v>11587.345786430136</v>
      </c>
      <c r="AC50" s="231">
        <v>301.63777017661931</v>
      </c>
      <c r="AD50" s="231">
        <v>7636.0334667569232</v>
      </c>
      <c r="AE50" s="412">
        <f t="shared" si="90"/>
        <v>43354.457114685538</v>
      </c>
      <c r="AF50" s="417">
        <v>0</v>
      </c>
      <c r="AG50" s="231">
        <v>0</v>
      </c>
      <c r="AH50" s="231">
        <v>0</v>
      </c>
      <c r="AI50" s="231">
        <v>0</v>
      </c>
      <c r="AJ50" s="231">
        <v>0</v>
      </c>
      <c r="AK50" s="231">
        <v>0</v>
      </c>
      <c r="AL50" s="231">
        <v>0</v>
      </c>
      <c r="AM50" s="231">
        <v>0</v>
      </c>
      <c r="AN50" s="414">
        <f t="shared" si="91"/>
        <v>0</v>
      </c>
      <c r="AO50" s="415">
        <f t="shared" si="92"/>
        <v>43354.457114685538</v>
      </c>
      <c r="AP50" s="300">
        <v>28</v>
      </c>
      <c r="AQ50" s="231">
        <v>1677524.6874913087</v>
      </c>
      <c r="AR50" s="231">
        <v>11907634.64035842</v>
      </c>
      <c r="AS50" s="231">
        <v>1639185.0554893587</v>
      </c>
      <c r="AT50" s="231">
        <v>11717256.134908058</v>
      </c>
      <c r="AU50" s="231">
        <v>1702917.6904520867</v>
      </c>
      <c r="AV50" s="231">
        <v>12535587.325772965</v>
      </c>
      <c r="AW50" s="231">
        <v>1945166.6078712342</v>
      </c>
      <c r="AX50" s="231">
        <v>13041041.855636945</v>
      </c>
      <c r="AY50" s="412">
        <f t="shared" si="93"/>
        <v>56166313.997980379</v>
      </c>
      <c r="AZ50" s="417">
        <v>0</v>
      </c>
      <c r="BA50" s="231">
        <v>0</v>
      </c>
      <c r="BB50" s="231">
        <v>0</v>
      </c>
      <c r="BC50" s="231">
        <v>0</v>
      </c>
      <c r="BD50" s="231">
        <v>0</v>
      </c>
      <c r="BE50" s="231">
        <v>0</v>
      </c>
      <c r="BF50" s="231">
        <v>0</v>
      </c>
      <c r="BG50" s="231">
        <v>0</v>
      </c>
      <c r="BH50" s="414">
        <f t="shared" si="94"/>
        <v>0</v>
      </c>
      <c r="BI50" s="415">
        <f t="shared" si="95"/>
        <v>56166313.997980379</v>
      </c>
      <c r="BJ50" s="300">
        <v>28</v>
      </c>
      <c r="BK50" s="231">
        <v>37.650956480836982</v>
      </c>
      <c r="BL50" s="231">
        <v>56508.107587039725</v>
      </c>
      <c r="BM50" s="231">
        <v>1505.6703274564879</v>
      </c>
      <c r="BN50" s="231">
        <v>56744.206998790432</v>
      </c>
      <c r="BO50" s="231">
        <v>2504.6759689787232</v>
      </c>
      <c r="BP50" s="231">
        <v>54136.941106536528</v>
      </c>
      <c r="BQ50" s="231">
        <v>3779.7307309867738</v>
      </c>
      <c r="BR50" s="231">
        <v>89956.416267005581</v>
      </c>
      <c r="BS50" s="412">
        <f t="shared" si="96"/>
        <v>265173.39994327509</v>
      </c>
      <c r="BT50" s="417">
        <v>0</v>
      </c>
      <c r="BU50" s="231">
        <v>0</v>
      </c>
      <c r="BV50" s="231">
        <v>0</v>
      </c>
      <c r="BW50" s="231">
        <v>0</v>
      </c>
      <c r="BX50" s="231">
        <v>0</v>
      </c>
      <c r="BY50" s="231">
        <v>0</v>
      </c>
      <c r="BZ50" s="231">
        <v>0</v>
      </c>
      <c r="CA50" s="231">
        <v>0</v>
      </c>
      <c r="CB50" s="414">
        <f t="shared" si="97"/>
        <v>0</v>
      </c>
      <c r="CC50" s="415">
        <f t="shared" si="98"/>
        <v>265173.39994327509</v>
      </c>
      <c r="CD50" s="300">
        <v>28</v>
      </c>
      <c r="CE50" s="414">
        <f t="shared" si="99"/>
        <v>13838599.561683517</v>
      </c>
      <c r="CF50" s="414">
        <f t="shared" si="100"/>
        <v>14262849.913168473</v>
      </c>
      <c r="CG50" s="414">
        <f t="shared" si="101"/>
        <v>15001597.445534484</v>
      </c>
      <c r="CH50" s="414">
        <f t="shared" si="102"/>
        <v>15454132.684686419</v>
      </c>
      <c r="CI50" s="416">
        <f t="shared" si="103"/>
        <v>58557179.605072893</v>
      </c>
      <c r="CJ50" s="414">
        <f t="shared" si="104"/>
        <v>0</v>
      </c>
      <c r="CK50" s="414">
        <f t="shared" si="105"/>
        <v>0</v>
      </c>
      <c r="CL50" s="414">
        <f t="shared" si="106"/>
        <v>0</v>
      </c>
      <c r="CM50" s="414">
        <f t="shared" si="107"/>
        <v>0</v>
      </c>
      <c r="CN50" s="416">
        <f t="shared" si="108"/>
        <v>0</v>
      </c>
      <c r="CO50" s="414">
        <f t="shared" si="109"/>
        <v>13838599.561683517</v>
      </c>
      <c r="CP50" s="414">
        <f t="shared" si="110"/>
        <v>14262849.913168473</v>
      </c>
      <c r="CQ50" s="414">
        <f t="shared" si="111"/>
        <v>15001597.445534484</v>
      </c>
      <c r="CR50" s="414">
        <f t="shared" si="112"/>
        <v>15454132.684686419</v>
      </c>
      <c r="CS50" s="416">
        <f t="shared" si="113"/>
        <v>58557179.605072901</v>
      </c>
    </row>
    <row r="51" spans="1:97" ht="15.75" customHeight="1">
      <c r="A51" s="88" t="s">
        <v>216</v>
      </c>
      <c r="B51" s="300">
        <v>29</v>
      </c>
      <c r="C51" s="231">
        <v>8127.1191732247498</v>
      </c>
      <c r="D51" s="231">
        <v>16643.975813787441</v>
      </c>
      <c r="E51" s="231">
        <v>15678.828625296595</v>
      </c>
      <c r="F51" s="231">
        <v>22419.29055646107</v>
      </c>
      <c r="G51" s="231">
        <v>10176.698917030022</v>
      </c>
      <c r="H51" s="231">
        <v>18644.984070562907</v>
      </c>
      <c r="I51" s="231">
        <v>9182.0003536479071</v>
      </c>
      <c r="J51" s="231">
        <v>3796.4464907507281</v>
      </c>
      <c r="K51" s="412">
        <f t="shared" ref="K51:K54" si="126">SUM(C51:J51)</f>
        <v>104669.34400076143</v>
      </c>
      <c r="L51" s="417">
        <v>0</v>
      </c>
      <c r="M51" s="231">
        <v>41439.478862333781</v>
      </c>
      <c r="N51" s="231">
        <v>0</v>
      </c>
      <c r="O51" s="231">
        <v>67856.066018966987</v>
      </c>
      <c r="P51" s="231">
        <v>0</v>
      </c>
      <c r="Q51" s="231">
        <v>40104.871004935492</v>
      </c>
      <c r="R51" s="231">
        <v>0</v>
      </c>
      <c r="S51" s="231">
        <v>35968.827422845534</v>
      </c>
      <c r="T51" s="414">
        <f t="shared" ref="T51:T54" si="127">SUM(L51:S51)</f>
        <v>185369.24330908179</v>
      </c>
      <c r="U51" s="415">
        <f t="shared" ref="U51:U54" si="128">SUM(T51,K51)</f>
        <v>290038.58730984322</v>
      </c>
      <c r="V51" s="300">
        <v>29</v>
      </c>
      <c r="W51" s="231">
        <v>3010.7747566737366</v>
      </c>
      <c r="X51" s="231">
        <v>71.616925731634609</v>
      </c>
      <c r="Y51" s="231">
        <v>200.5480901523633</v>
      </c>
      <c r="Z51" s="231">
        <v>0</v>
      </c>
      <c r="AA51" s="231">
        <v>121.48792088821619</v>
      </c>
      <c r="AB51" s="231">
        <v>72.89275253292972</v>
      </c>
      <c r="AC51" s="231">
        <v>415.89354916470063</v>
      </c>
      <c r="AD51" s="231">
        <v>0</v>
      </c>
      <c r="AE51" s="412">
        <f t="shared" ref="AE51:AE54" si="129">SUM(W51:AD51)</f>
        <v>3893.2139951435811</v>
      </c>
      <c r="AF51" s="417">
        <v>0</v>
      </c>
      <c r="AG51" s="231">
        <v>8278.1593642323842</v>
      </c>
      <c r="AH51" s="231">
        <v>0</v>
      </c>
      <c r="AI51" s="231">
        <v>7768.1229319612767</v>
      </c>
      <c r="AJ51" s="231">
        <v>0</v>
      </c>
      <c r="AK51" s="231">
        <v>2835.1401691642754</v>
      </c>
      <c r="AL51" s="231">
        <v>0</v>
      </c>
      <c r="AM51" s="231">
        <v>10356.723016605101</v>
      </c>
      <c r="AN51" s="414">
        <f t="shared" ref="AN51:AN54" si="130">SUM(AF51:AM51)</f>
        <v>29238.145481963038</v>
      </c>
      <c r="AO51" s="415">
        <f t="shared" ref="AO51:AO54" si="131">SUM(AN51,AE51)</f>
        <v>33131.35947710662</v>
      </c>
      <c r="AP51" s="300">
        <v>29</v>
      </c>
      <c r="AQ51" s="231">
        <v>103947.89218369962</v>
      </c>
      <c r="AR51" s="231">
        <v>195657.10063804922</v>
      </c>
      <c r="AS51" s="231">
        <v>71233.508122417144</v>
      </c>
      <c r="AT51" s="231">
        <v>220049.70940194509</v>
      </c>
      <c r="AU51" s="231">
        <v>53315.024701760703</v>
      </c>
      <c r="AV51" s="231">
        <v>221302.35619400092</v>
      </c>
      <c r="AW51" s="231">
        <v>107857.91620023095</v>
      </c>
      <c r="AX51" s="231">
        <v>269706.88808180561</v>
      </c>
      <c r="AY51" s="412">
        <f t="shared" ref="AY51:AY54" si="132">SUM(AQ51:AX51)</f>
        <v>1243070.3955239092</v>
      </c>
      <c r="AZ51" s="417">
        <v>0</v>
      </c>
      <c r="BA51" s="231">
        <v>519317.73139964131</v>
      </c>
      <c r="BB51" s="231">
        <v>0</v>
      </c>
      <c r="BC51" s="231">
        <v>453284.68412765925</v>
      </c>
      <c r="BD51" s="231">
        <v>0</v>
      </c>
      <c r="BE51" s="231">
        <v>536171.51962824352</v>
      </c>
      <c r="BF51" s="231">
        <v>0</v>
      </c>
      <c r="BG51" s="231">
        <v>525916.20480293548</v>
      </c>
      <c r="BH51" s="414">
        <f t="shared" ref="BH51:BH54" si="133">SUM(AZ51:BG51)</f>
        <v>2034690.1399584794</v>
      </c>
      <c r="BI51" s="415">
        <f t="shared" ref="BI51:BI54" si="134">SUM(BH51,AY51)</f>
        <v>3277760.5354823889</v>
      </c>
      <c r="BJ51" s="300">
        <v>29</v>
      </c>
      <c r="BK51" s="231">
        <v>1953.704126369729</v>
      </c>
      <c r="BL51" s="231">
        <v>8585.7899342898345</v>
      </c>
      <c r="BM51" s="231">
        <v>3624.7500121291914</v>
      </c>
      <c r="BN51" s="231">
        <v>1186.0370922989227</v>
      </c>
      <c r="BO51" s="231">
        <v>2139.3212948942287</v>
      </c>
      <c r="BP51" s="231">
        <v>3441.0643672114647</v>
      </c>
      <c r="BQ51" s="231">
        <v>3364.8321675223087</v>
      </c>
      <c r="BR51" s="231">
        <v>1904.3921567168234</v>
      </c>
      <c r="BS51" s="412">
        <f t="shared" ref="BS51:BS54" si="135">SUM(BK51:BR51)</f>
        <v>26199.891151432501</v>
      </c>
      <c r="BT51" s="417">
        <v>0</v>
      </c>
      <c r="BU51" s="231">
        <v>49862.773376249323</v>
      </c>
      <c r="BV51" s="231">
        <v>0</v>
      </c>
      <c r="BW51" s="231">
        <v>29000.152831957897</v>
      </c>
      <c r="BX51" s="231">
        <v>0</v>
      </c>
      <c r="BY51" s="231">
        <v>48402.613895911752</v>
      </c>
      <c r="BZ51" s="231">
        <v>0</v>
      </c>
      <c r="CA51" s="231">
        <v>63514.599511659406</v>
      </c>
      <c r="CB51" s="414">
        <f t="shared" ref="CB51:CB54" si="136">SUM(BT51:CA51)</f>
        <v>190780.13961577837</v>
      </c>
      <c r="CC51" s="415">
        <f t="shared" ref="CC51:CC54" si="137">SUM(CB51,BS51)</f>
        <v>216980.03076721088</v>
      </c>
      <c r="CD51" s="300">
        <v>29</v>
      </c>
      <c r="CE51" s="414">
        <f t="shared" si="99"/>
        <v>337997.97355182597</v>
      </c>
      <c r="CF51" s="414">
        <f t="shared" si="100"/>
        <v>334392.67190070037</v>
      </c>
      <c r="CG51" s="414">
        <f t="shared" si="101"/>
        <v>309213.83021888143</v>
      </c>
      <c r="CH51" s="414">
        <f t="shared" si="102"/>
        <v>396228.368999839</v>
      </c>
      <c r="CI51" s="416">
        <f t="shared" si="103"/>
        <v>1377832.8446712466</v>
      </c>
      <c r="CJ51" s="414">
        <f t="shared" si="104"/>
        <v>618898.14300245687</v>
      </c>
      <c r="CK51" s="414">
        <f t="shared" si="105"/>
        <v>557909.02591054537</v>
      </c>
      <c r="CL51" s="414">
        <f t="shared" si="106"/>
        <v>627514.144698255</v>
      </c>
      <c r="CM51" s="414">
        <f t="shared" si="107"/>
        <v>635756.35475404549</v>
      </c>
      <c r="CN51" s="416">
        <f t="shared" si="108"/>
        <v>2440077.6683653025</v>
      </c>
      <c r="CO51" s="414">
        <f t="shared" si="109"/>
        <v>956896.11655428272</v>
      </c>
      <c r="CP51" s="414">
        <f t="shared" si="110"/>
        <v>892301.6978112458</v>
      </c>
      <c r="CQ51" s="414">
        <f t="shared" si="111"/>
        <v>936727.97491713637</v>
      </c>
      <c r="CR51" s="414">
        <f t="shared" si="112"/>
        <v>1031984.7237538844</v>
      </c>
      <c r="CS51" s="416">
        <f t="shared" si="113"/>
        <v>3817910.5130365496</v>
      </c>
    </row>
    <row r="52" spans="1:97" ht="15.75" customHeight="1">
      <c r="A52" s="88" t="s">
        <v>217</v>
      </c>
      <c r="B52" s="300">
        <v>30</v>
      </c>
      <c r="C52" s="231">
        <v>97344.294931946511</v>
      </c>
      <c r="D52" s="231">
        <v>179729.57446104119</v>
      </c>
      <c r="E52" s="231">
        <v>236149.04208723869</v>
      </c>
      <c r="F52" s="231">
        <v>454456.40532860131</v>
      </c>
      <c r="G52" s="231">
        <v>186135.79443013313</v>
      </c>
      <c r="H52" s="231">
        <v>423571.9894939306</v>
      </c>
      <c r="I52" s="231">
        <v>146802.22207826274</v>
      </c>
      <c r="J52" s="231">
        <v>225709.33261768791</v>
      </c>
      <c r="K52" s="412">
        <f t="shared" si="126"/>
        <v>1949898.6554288422</v>
      </c>
      <c r="L52" s="417">
        <v>0</v>
      </c>
      <c r="M52" s="231">
        <v>0</v>
      </c>
      <c r="N52" s="231">
        <v>0</v>
      </c>
      <c r="O52" s="231">
        <v>38789.746555595113</v>
      </c>
      <c r="P52" s="231">
        <v>0</v>
      </c>
      <c r="Q52" s="231">
        <v>7347.4524985077014</v>
      </c>
      <c r="R52" s="231">
        <v>0</v>
      </c>
      <c r="S52" s="231">
        <v>6131.8641608224225</v>
      </c>
      <c r="T52" s="414">
        <f t="shared" si="127"/>
        <v>52269.063214925234</v>
      </c>
      <c r="U52" s="415">
        <f t="shared" si="128"/>
        <v>2002167.7186437673</v>
      </c>
      <c r="V52" s="300">
        <v>30</v>
      </c>
      <c r="W52" s="231">
        <v>4954.3752088176243</v>
      </c>
      <c r="X52" s="231">
        <v>9982.9007720875361</v>
      </c>
      <c r="Y52" s="231">
        <v>4253.5452543313404</v>
      </c>
      <c r="Z52" s="231">
        <v>22014.132261802166</v>
      </c>
      <c r="AA52" s="231">
        <v>2912.0452157037275</v>
      </c>
      <c r="AB52" s="231">
        <v>26557.279754150873</v>
      </c>
      <c r="AC52" s="231">
        <v>5927.7687018570241</v>
      </c>
      <c r="AD52" s="231">
        <v>17998.024019681867</v>
      </c>
      <c r="AE52" s="412">
        <f t="shared" si="129"/>
        <v>94600.071188432164</v>
      </c>
      <c r="AF52" s="417">
        <v>0</v>
      </c>
      <c r="AG52" s="231">
        <v>0</v>
      </c>
      <c r="AH52" s="231">
        <v>0</v>
      </c>
      <c r="AI52" s="231">
        <v>7467.495844656386</v>
      </c>
      <c r="AJ52" s="231">
        <v>0</v>
      </c>
      <c r="AK52" s="231">
        <v>274.83769861759862</v>
      </c>
      <c r="AL52" s="231">
        <v>0</v>
      </c>
      <c r="AM52" s="231">
        <v>114.09944639960032</v>
      </c>
      <c r="AN52" s="414">
        <f t="shared" si="130"/>
        <v>7856.4329896735853</v>
      </c>
      <c r="AO52" s="415">
        <f t="shared" si="131"/>
        <v>102456.50417810575</v>
      </c>
      <c r="AP52" s="300">
        <v>30</v>
      </c>
      <c r="AQ52" s="231">
        <v>2652375.2218242097</v>
      </c>
      <c r="AR52" s="231">
        <v>6395117.8074657731</v>
      </c>
      <c r="AS52" s="231">
        <v>2657649.0883437172</v>
      </c>
      <c r="AT52" s="231">
        <v>6056553.8371186247</v>
      </c>
      <c r="AU52" s="231">
        <v>2867219.9187735077</v>
      </c>
      <c r="AV52" s="231">
        <v>7639450.5482349033</v>
      </c>
      <c r="AW52" s="231">
        <v>3733450.3641202757</v>
      </c>
      <c r="AX52" s="231">
        <v>8949458.9988516215</v>
      </c>
      <c r="AY52" s="412">
        <f t="shared" si="132"/>
        <v>40951275.784732632</v>
      </c>
      <c r="AZ52" s="417">
        <v>0</v>
      </c>
      <c r="BA52" s="231">
        <v>22335.006153609571</v>
      </c>
      <c r="BB52" s="231">
        <v>0</v>
      </c>
      <c r="BC52" s="231">
        <v>530972.73061535205</v>
      </c>
      <c r="BD52" s="231">
        <v>0</v>
      </c>
      <c r="BE52" s="231">
        <v>27568.693042497998</v>
      </c>
      <c r="BF52" s="231">
        <v>0</v>
      </c>
      <c r="BG52" s="231">
        <v>32987.153072304136</v>
      </c>
      <c r="BH52" s="414">
        <f t="shared" si="133"/>
        <v>613863.58288376371</v>
      </c>
      <c r="BI52" s="415">
        <f t="shared" si="134"/>
        <v>41565139.367616393</v>
      </c>
      <c r="BJ52" s="300">
        <v>30</v>
      </c>
      <c r="BK52" s="231">
        <v>0</v>
      </c>
      <c r="BL52" s="231">
        <v>16183.772979227255</v>
      </c>
      <c r="BM52" s="231">
        <v>0</v>
      </c>
      <c r="BN52" s="231">
        <v>824.24813706581961</v>
      </c>
      <c r="BO52" s="231">
        <v>3605.2451682984811</v>
      </c>
      <c r="BP52" s="231">
        <v>0</v>
      </c>
      <c r="BQ52" s="231">
        <v>4729.931601177871</v>
      </c>
      <c r="BR52" s="231">
        <v>22091.416137517579</v>
      </c>
      <c r="BS52" s="412">
        <f t="shared" si="135"/>
        <v>47434.614023287009</v>
      </c>
      <c r="BT52" s="417">
        <v>0</v>
      </c>
      <c r="BU52" s="231">
        <v>0</v>
      </c>
      <c r="BV52" s="231">
        <v>0</v>
      </c>
      <c r="BW52" s="231">
        <v>0</v>
      </c>
      <c r="BX52" s="231">
        <v>0</v>
      </c>
      <c r="BY52" s="231">
        <v>0</v>
      </c>
      <c r="BZ52" s="231">
        <v>0</v>
      </c>
      <c r="CA52" s="231">
        <v>0</v>
      </c>
      <c r="CB52" s="414">
        <f t="shared" si="136"/>
        <v>0</v>
      </c>
      <c r="CC52" s="415">
        <f t="shared" si="137"/>
        <v>47434.614023287009</v>
      </c>
      <c r="CD52" s="300">
        <v>30</v>
      </c>
      <c r="CE52" s="414">
        <f t="shared" si="99"/>
        <v>9355687.9476431031</v>
      </c>
      <c r="CF52" s="414">
        <f t="shared" si="100"/>
        <v>9431900.2985313814</v>
      </c>
      <c r="CG52" s="414">
        <f t="shared" si="101"/>
        <v>11149452.821070628</v>
      </c>
      <c r="CH52" s="414">
        <f t="shared" si="102"/>
        <v>13106168.058128083</v>
      </c>
      <c r="CI52" s="416">
        <f t="shared" si="103"/>
        <v>43043209.1253732</v>
      </c>
      <c r="CJ52" s="414">
        <f t="shared" si="104"/>
        <v>22335.006153609571</v>
      </c>
      <c r="CK52" s="414">
        <f t="shared" si="105"/>
        <v>577229.97301560349</v>
      </c>
      <c r="CL52" s="414">
        <f t="shared" si="106"/>
        <v>35190.983239623296</v>
      </c>
      <c r="CM52" s="414">
        <f t="shared" si="107"/>
        <v>39233.11667952616</v>
      </c>
      <c r="CN52" s="416">
        <f t="shared" si="108"/>
        <v>673989.07908836252</v>
      </c>
      <c r="CO52" s="414">
        <f t="shared" si="109"/>
        <v>9378022.9537967127</v>
      </c>
      <c r="CP52" s="414">
        <f t="shared" si="110"/>
        <v>10009130.271546984</v>
      </c>
      <c r="CQ52" s="414">
        <f t="shared" si="111"/>
        <v>11184643.804310251</v>
      </c>
      <c r="CR52" s="414">
        <f t="shared" si="112"/>
        <v>13145401.17480761</v>
      </c>
      <c r="CS52" s="416">
        <f t="shared" si="113"/>
        <v>43717198.20446156</v>
      </c>
    </row>
    <row r="53" spans="1:97" ht="15.75" customHeight="1">
      <c r="A53" s="88" t="s">
        <v>218</v>
      </c>
      <c r="B53" s="300">
        <v>31</v>
      </c>
      <c r="C53" s="231">
        <v>83596.348579536541</v>
      </c>
      <c r="D53" s="231">
        <v>130100.79730066303</v>
      </c>
      <c r="E53" s="231">
        <v>343357.16651555477</v>
      </c>
      <c r="F53" s="231">
        <v>471883.65824114339</v>
      </c>
      <c r="G53" s="231">
        <v>345610.55842167657</v>
      </c>
      <c r="H53" s="231">
        <v>439328.64886534336</v>
      </c>
      <c r="I53" s="231">
        <v>172562.40185735648</v>
      </c>
      <c r="J53" s="231">
        <v>191810.38975487617</v>
      </c>
      <c r="K53" s="412">
        <f t="shared" si="126"/>
        <v>2178249.9695361503</v>
      </c>
      <c r="L53" s="417">
        <v>0</v>
      </c>
      <c r="M53" s="231">
        <v>0</v>
      </c>
      <c r="N53" s="231">
        <v>0</v>
      </c>
      <c r="O53" s="231">
        <v>11237.740679357657</v>
      </c>
      <c r="P53" s="231">
        <v>0</v>
      </c>
      <c r="Q53" s="231">
        <v>2850.7498585762978</v>
      </c>
      <c r="R53" s="231">
        <v>0</v>
      </c>
      <c r="S53" s="231">
        <v>9607.8994933103331</v>
      </c>
      <c r="T53" s="414">
        <f t="shared" si="127"/>
        <v>23696.390031244286</v>
      </c>
      <c r="U53" s="415">
        <f t="shared" si="128"/>
        <v>2201946.3595673945</v>
      </c>
      <c r="V53" s="300">
        <v>31</v>
      </c>
      <c r="W53" s="231">
        <v>49304.408162164313</v>
      </c>
      <c r="X53" s="231">
        <v>14213.296152829495</v>
      </c>
      <c r="Y53" s="231">
        <v>47019.806132257705</v>
      </c>
      <c r="Z53" s="231">
        <v>21030.117656717488</v>
      </c>
      <c r="AA53" s="231">
        <v>37890.928389786197</v>
      </c>
      <c r="AB53" s="231">
        <v>21532.96455393736</v>
      </c>
      <c r="AC53" s="231">
        <v>31504.200805951659</v>
      </c>
      <c r="AD53" s="231">
        <v>3662.4271536958659</v>
      </c>
      <c r="AE53" s="412">
        <f t="shared" si="129"/>
        <v>226158.14900734011</v>
      </c>
      <c r="AF53" s="417">
        <v>0</v>
      </c>
      <c r="AG53" s="231">
        <v>0</v>
      </c>
      <c r="AH53" s="231">
        <v>0</v>
      </c>
      <c r="AI53" s="231">
        <v>2836.2025798205573</v>
      </c>
      <c r="AJ53" s="231">
        <v>0</v>
      </c>
      <c r="AK53" s="231">
        <v>3350.4014583952667</v>
      </c>
      <c r="AL53" s="231">
        <v>0</v>
      </c>
      <c r="AM53" s="231">
        <v>7734.5762944819735</v>
      </c>
      <c r="AN53" s="414">
        <f t="shared" si="130"/>
        <v>13921.180332697797</v>
      </c>
      <c r="AO53" s="415">
        <f t="shared" si="131"/>
        <v>240079.32934003789</v>
      </c>
      <c r="AP53" s="300">
        <v>31</v>
      </c>
      <c r="AQ53" s="231">
        <v>5686598.18309657</v>
      </c>
      <c r="AR53" s="231">
        <v>8094808.334012894</v>
      </c>
      <c r="AS53" s="231">
        <v>5574251.0360969473</v>
      </c>
      <c r="AT53" s="231">
        <v>8381285.9745714506</v>
      </c>
      <c r="AU53" s="231">
        <v>6414060.0829488318</v>
      </c>
      <c r="AV53" s="231">
        <v>9322700.6806615554</v>
      </c>
      <c r="AW53" s="231">
        <v>7476081.6079260902</v>
      </c>
      <c r="AX53" s="231">
        <v>9763833.5436931066</v>
      </c>
      <c r="AY53" s="412">
        <f t="shared" si="132"/>
        <v>60713619.443007454</v>
      </c>
      <c r="AZ53" s="417">
        <v>0</v>
      </c>
      <c r="BA53" s="231">
        <v>0</v>
      </c>
      <c r="BB53" s="231">
        <v>0</v>
      </c>
      <c r="BC53" s="231">
        <v>161848.09179993183</v>
      </c>
      <c r="BD53" s="231">
        <v>0</v>
      </c>
      <c r="BE53" s="231">
        <v>124294.69963857556</v>
      </c>
      <c r="BF53" s="231">
        <v>0</v>
      </c>
      <c r="BG53" s="231">
        <v>624594.63989185134</v>
      </c>
      <c r="BH53" s="414">
        <f t="shared" si="133"/>
        <v>910737.43133035873</v>
      </c>
      <c r="BI53" s="415">
        <f t="shared" si="134"/>
        <v>61624356.874337815</v>
      </c>
      <c r="BJ53" s="300">
        <v>31</v>
      </c>
      <c r="BK53" s="231">
        <v>0</v>
      </c>
      <c r="BL53" s="231">
        <v>10178.495488295033</v>
      </c>
      <c r="BM53" s="231">
        <v>850.13533990069084</v>
      </c>
      <c r="BN53" s="231">
        <v>3171.3779305554413</v>
      </c>
      <c r="BO53" s="231">
        <v>827.23150131467878</v>
      </c>
      <c r="BP53" s="231">
        <v>3008.6483607966743</v>
      </c>
      <c r="BQ53" s="231">
        <v>0</v>
      </c>
      <c r="BR53" s="231">
        <v>6335.3986329429281</v>
      </c>
      <c r="BS53" s="412">
        <f t="shared" si="135"/>
        <v>24371.287253805447</v>
      </c>
      <c r="BT53" s="417">
        <v>0</v>
      </c>
      <c r="BU53" s="231">
        <v>0</v>
      </c>
      <c r="BV53" s="231">
        <v>0</v>
      </c>
      <c r="BW53" s="231">
        <v>0</v>
      </c>
      <c r="BX53" s="231">
        <v>0</v>
      </c>
      <c r="BY53" s="231">
        <v>0</v>
      </c>
      <c r="BZ53" s="231">
        <v>0</v>
      </c>
      <c r="CA53" s="231">
        <v>0</v>
      </c>
      <c r="CB53" s="414">
        <f t="shared" si="136"/>
        <v>0</v>
      </c>
      <c r="CC53" s="415">
        <f t="shared" si="137"/>
        <v>24371.287253805447</v>
      </c>
      <c r="CD53" s="300">
        <v>31</v>
      </c>
      <c r="CE53" s="414">
        <f t="shared" si="99"/>
        <v>14068799.862792952</v>
      </c>
      <c r="CF53" s="414">
        <f t="shared" si="100"/>
        <v>14842849.272484528</v>
      </c>
      <c r="CG53" s="414">
        <f t="shared" si="101"/>
        <v>16584959.743703242</v>
      </c>
      <c r="CH53" s="414">
        <f t="shared" si="102"/>
        <v>17645789.96982402</v>
      </c>
      <c r="CI53" s="416">
        <f t="shared" si="103"/>
        <v>63142398.84880475</v>
      </c>
      <c r="CJ53" s="414">
        <f t="shared" si="104"/>
        <v>0</v>
      </c>
      <c r="CK53" s="414">
        <f t="shared" si="105"/>
        <v>175922.03505911006</v>
      </c>
      <c r="CL53" s="414">
        <f t="shared" si="106"/>
        <v>130495.85095554712</v>
      </c>
      <c r="CM53" s="414">
        <f t="shared" si="107"/>
        <v>641937.1156796437</v>
      </c>
      <c r="CN53" s="416">
        <f t="shared" si="108"/>
        <v>948355.00169430079</v>
      </c>
      <c r="CO53" s="414">
        <f t="shared" si="109"/>
        <v>14068799.862792952</v>
      </c>
      <c r="CP53" s="414">
        <f t="shared" si="110"/>
        <v>15018771.307543637</v>
      </c>
      <c r="CQ53" s="414">
        <f t="shared" si="111"/>
        <v>16715455.594658788</v>
      </c>
      <c r="CR53" s="414">
        <f t="shared" si="112"/>
        <v>18287727.085503664</v>
      </c>
      <c r="CS53" s="416">
        <f t="shared" si="113"/>
        <v>64090753.850499056</v>
      </c>
    </row>
    <row r="54" spans="1:97" ht="15.75" customHeight="1">
      <c r="A54" s="88" t="s">
        <v>219</v>
      </c>
      <c r="B54" s="300">
        <v>32</v>
      </c>
      <c r="C54" s="231">
        <v>0</v>
      </c>
      <c r="D54" s="231">
        <v>0</v>
      </c>
      <c r="E54" s="231">
        <v>0</v>
      </c>
      <c r="F54" s="231">
        <v>0</v>
      </c>
      <c r="G54" s="231">
        <v>0</v>
      </c>
      <c r="H54" s="231">
        <v>0</v>
      </c>
      <c r="I54" s="231">
        <v>0</v>
      </c>
      <c r="J54" s="231">
        <v>0</v>
      </c>
      <c r="K54" s="412">
        <f t="shared" si="126"/>
        <v>0</v>
      </c>
      <c r="L54" s="417">
        <v>0</v>
      </c>
      <c r="M54" s="231">
        <v>0</v>
      </c>
      <c r="N54" s="231">
        <v>0</v>
      </c>
      <c r="O54" s="231">
        <v>0</v>
      </c>
      <c r="P54" s="231">
        <v>0</v>
      </c>
      <c r="Q54" s="231">
        <v>0</v>
      </c>
      <c r="R54" s="231">
        <v>0</v>
      </c>
      <c r="S54" s="231">
        <v>0</v>
      </c>
      <c r="T54" s="414">
        <f t="shared" si="127"/>
        <v>0</v>
      </c>
      <c r="U54" s="415">
        <f t="shared" si="128"/>
        <v>0</v>
      </c>
      <c r="V54" s="300">
        <v>32</v>
      </c>
      <c r="W54" s="231">
        <v>0</v>
      </c>
      <c r="X54" s="231">
        <v>0</v>
      </c>
      <c r="Y54" s="231">
        <v>0</v>
      </c>
      <c r="Z54" s="231">
        <v>0</v>
      </c>
      <c r="AA54" s="231">
        <v>0</v>
      </c>
      <c r="AB54" s="231">
        <v>0</v>
      </c>
      <c r="AC54" s="231">
        <v>0</v>
      </c>
      <c r="AD54" s="231">
        <v>0</v>
      </c>
      <c r="AE54" s="412">
        <f t="shared" si="129"/>
        <v>0</v>
      </c>
      <c r="AF54" s="417">
        <v>0</v>
      </c>
      <c r="AG54" s="231">
        <v>0</v>
      </c>
      <c r="AH54" s="231">
        <v>0</v>
      </c>
      <c r="AI54" s="231">
        <v>0</v>
      </c>
      <c r="AJ54" s="231">
        <v>0</v>
      </c>
      <c r="AK54" s="231">
        <v>0</v>
      </c>
      <c r="AL54" s="231">
        <v>0</v>
      </c>
      <c r="AM54" s="231">
        <v>0</v>
      </c>
      <c r="AN54" s="414">
        <f t="shared" si="130"/>
        <v>0</v>
      </c>
      <c r="AO54" s="415">
        <f t="shared" si="131"/>
        <v>0</v>
      </c>
      <c r="AP54" s="300">
        <v>32</v>
      </c>
      <c r="AQ54" s="231">
        <v>0</v>
      </c>
      <c r="AR54" s="231">
        <v>0</v>
      </c>
      <c r="AS54" s="231">
        <v>0</v>
      </c>
      <c r="AT54" s="231">
        <v>0</v>
      </c>
      <c r="AU54" s="231">
        <v>0</v>
      </c>
      <c r="AV54" s="231">
        <v>0</v>
      </c>
      <c r="AW54" s="231">
        <v>0</v>
      </c>
      <c r="AX54" s="231">
        <v>0</v>
      </c>
      <c r="AY54" s="412">
        <f t="shared" si="132"/>
        <v>0</v>
      </c>
      <c r="AZ54" s="417">
        <v>0</v>
      </c>
      <c r="BA54" s="231">
        <v>0</v>
      </c>
      <c r="BB54" s="231">
        <v>0</v>
      </c>
      <c r="BC54" s="231">
        <v>0</v>
      </c>
      <c r="BD54" s="231">
        <v>0</v>
      </c>
      <c r="BE54" s="231">
        <v>0</v>
      </c>
      <c r="BF54" s="231">
        <v>0</v>
      </c>
      <c r="BG54" s="231">
        <v>0</v>
      </c>
      <c r="BH54" s="414">
        <f t="shared" si="133"/>
        <v>0</v>
      </c>
      <c r="BI54" s="415">
        <f t="shared" si="134"/>
        <v>0</v>
      </c>
      <c r="BJ54" s="300">
        <v>32</v>
      </c>
      <c r="BK54" s="231">
        <v>0</v>
      </c>
      <c r="BL54" s="231">
        <v>0</v>
      </c>
      <c r="BM54" s="231">
        <v>0</v>
      </c>
      <c r="BN54" s="231">
        <v>0</v>
      </c>
      <c r="BO54" s="231">
        <v>0</v>
      </c>
      <c r="BP54" s="231">
        <v>0</v>
      </c>
      <c r="BQ54" s="231">
        <v>0</v>
      </c>
      <c r="BR54" s="231">
        <v>0</v>
      </c>
      <c r="BS54" s="412">
        <f t="shared" si="135"/>
        <v>0</v>
      </c>
      <c r="BT54" s="417">
        <v>0</v>
      </c>
      <c r="BU54" s="231">
        <v>0</v>
      </c>
      <c r="BV54" s="231">
        <v>0</v>
      </c>
      <c r="BW54" s="231">
        <v>0</v>
      </c>
      <c r="BX54" s="231">
        <v>0</v>
      </c>
      <c r="BY54" s="231">
        <v>0</v>
      </c>
      <c r="BZ54" s="231">
        <v>0</v>
      </c>
      <c r="CA54" s="231">
        <v>0</v>
      </c>
      <c r="CB54" s="414">
        <f t="shared" si="136"/>
        <v>0</v>
      </c>
      <c r="CC54" s="415">
        <f t="shared" si="137"/>
        <v>0</v>
      </c>
      <c r="CD54" s="300">
        <v>32</v>
      </c>
      <c r="CE54" s="414">
        <f t="shared" si="99"/>
        <v>0</v>
      </c>
      <c r="CF54" s="414">
        <f t="shared" si="100"/>
        <v>0</v>
      </c>
      <c r="CG54" s="414">
        <f t="shared" si="101"/>
        <v>0</v>
      </c>
      <c r="CH54" s="414">
        <f t="shared" si="102"/>
        <v>0</v>
      </c>
      <c r="CI54" s="416">
        <f t="shared" si="103"/>
        <v>0</v>
      </c>
      <c r="CJ54" s="414">
        <f t="shared" si="104"/>
        <v>0</v>
      </c>
      <c r="CK54" s="414">
        <f t="shared" si="105"/>
        <v>0</v>
      </c>
      <c r="CL54" s="414">
        <f t="shared" si="106"/>
        <v>0</v>
      </c>
      <c r="CM54" s="414">
        <f t="shared" si="107"/>
        <v>0</v>
      </c>
      <c r="CN54" s="416">
        <f t="shared" si="108"/>
        <v>0</v>
      </c>
      <c r="CO54" s="414">
        <f t="shared" si="109"/>
        <v>0</v>
      </c>
      <c r="CP54" s="414">
        <f t="shared" si="110"/>
        <v>0</v>
      </c>
      <c r="CQ54" s="414">
        <f t="shared" si="111"/>
        <v>0</v>
      </c>
      <c r="CR54" s="414">
        <f t="shared" si="112"/>
        <v>0</v>
      </c>
      <c r="CS54" s="416">
        <f t="shared" si="113"/>
        <v>0</v>
      </c>
    </row>
    <row r="55" spans="1:97" ht="15.75" customHeight="1">
      <c r="A55" s="88" t="s">
        <v>220</v>
      </c>
      <c r="B55" s="300">
        <v>33</v>
      </c>
      <c r="C55" s="231">
        <v>41625.675831838184</v>
      </c>
      <c r="D55" s="231">
        <v>376275.3478211129</v>
      </c>
      <c r="E55" s="231">
        <v>60735.801041793515</v>
      </c>
      <c r="F55" s="231">
        <v>495045.26258365891</v>
      </c>
      <c r="G55" s="231">
        <v>65738.662963605108</v>
      </c>
      <c r="H55" s="231">
        <v>447463.73314785294</v>
      </c>
      <c r="I55" s="231">
        <v>56655.962539652166</v>
      </c>
      <c r="J55" s="231">
        <v>241127.46345199621</v>
      </c>
      <c r="K55" s="412">
        <f t="shared" si="87"/>
        <v>1784667.9093815098</v>
      </c>
      <c r="L55" s="417">
        <v>0</v>
      </c>
      <c r="M55" s="231">
        <v>39984.032988607585</v>
      </c>
      <c r="N55" s="231">
        <v>0</v>
      </c>
      <c r="O55" s="231">
        <v>308387.13991287525</v>
      </c>
      <c r="P55" s="231">
        <v>0</v>
      </c>
      <c r="Q55" s="231">
        <v>189933.51438540823</v>
      </c>
      <c r="R55" s="231">
        <v>0</v>
      </c>
      <c r="S55" s="231">
        <v>252930.38326033141</v>
      </c>
      <c r="T55" s="414">
        <f t="shared" si="88"/>
        <v>791235.07054722239</v>
      </c>
      <c r="U55" s="415">
        <f t="shared" si="89"/>
        <v>2575902.9799287319</v>
      </c>
      <c r="V55" s="300">
        <v>33</v>
      </c>
      <c r="W55" s="231">
        <v>8178.2784116983157</v>
      </c>
      <c r="X55" s="231">
        <v>120928.89412575177</v>
      </c>
      <c r="Y55" s="231">
        <v>6794.4027978231079</v>
      </c>
      <c r="Z55" s="231">
        <v>65785.6711582227</v>
      </c>
      <c r="AA55" s="231">
        <v>8288.8879903546203</v>
      </c>
      <c r="AB55" s="231">
        <v>86615.076421082311</v>
      </c>
      <c r="AC55" s="231">
        <v>5347.7758268892931</v>
      </c>
      <c r="AD55" s="231">
        <v>41588.569401443558</v>
      </c>
      <c r="AE55" s="412">
        <f t="shared" si="90"/>
        <v>343527.55613326561</v>
      </c>
      <c r="AF55" s="417">
        <v>0</v>
      </c>
      <c r="AG55" s="231">
        <v>21941.155126296748</v>
      </c>
      <c r="AH55" s="231">
        <v>0</v>
      </c>
      <c r="AI55" s="231">
        <v>65147.966047662849</v>
      </c>
      <c r="AJ55" s="231">
        <v>0</v>
      </c>
      <c r="AK55" s="231">
        <v>39928.149909778753</v>
      </c>
      <c r="AL55" s="231">
        <v>0</v>
      </c>
      <c r="AM55" s="231">
        <v>86897.766930407903</v>
      </c>
      <c r="AN55" s="414">
        <f t="shared" si="91"/>
        <v>213915.03801414627</v>
      </c>
      <c r="AO55" s="415">
        <f t="shared" si="92"/>
        <v>557442.59414741187</v>
      </c>
      <c r="AP55" s="300">
        <v>33</v>
      </c>
      <c r="AQ55" s="231">
        <v>670153.18956582597</v>
      </c>
      <c r="AR55" s="231">
        <v>4249845.4042365802</v>
      </c>
      <c r="AS55" s="231">
        <v>705804.44505174644</v>
      </c>
      <c r="AT55" s="231">
        <v>4058798.3950620801</v>
      </c>
      <c r="AU55" s="231">
        <v>758021.12865581946</v>
      </c>
      <c r="AV55" s="231">
        <v>4518841.2986853393</v>
      </c>
      <c r="AW55" s="231">
        <v>839285.20583103842</v>
      </c>
      <c r="AX55" s="231">
        <v>4840512.1962482259</v>
      </c>
      <c r="AY55" s="412">
        <f t="shared" si="93"/>
        <v>20641261.263336658</v>
      </c>
      <c r="AZ55" s="417">
        <v>0</v>
      </c>
      <c r="BA55" s="231">
        <v>964342.56358346681</v>
      </c>
      <c r="BB55" s="231">
        <v>0</v>
      </c>
      <c r="BC55" s="231">
        <v>1212405.4236182827</v>
      </c>
      <c r="BD55" s="231">
        <v>0</v>
      </c>
      <c r="BE55" s="231">
        <v>1139116.5186871241</v>
      </c>
      <c r="BF55" s="231">
        <v>0</v>
      </c>
      <c r="BG55" s="231">
        <v>1475424.2854405642</v>
      </c>
      <c r="BH55" s="414">
        <f t="shared" si="94"/>
        <v>4791288.7913294379</v>
      </c>
      <c r="BI55" s="415">
        <f t="shared" si="95"/>
        <v>25432550.054666094</v>
      </c>
      <c r="BJ55" s="300">
        <v>33</v>
      </c>
      <c r="BK55" s="231">
        <v>4397.9421370816808</v>
      </c>
      <c r="BL55" s="231">
        <v>37984.517920021332</v>
      </c>
      <c r="BM55" s="231">
        <v>3016.8069569451354</v>
      </c>
      <c r="BN55" s="231">
        <v>42193.853800907331</v>
      </c>
      <c r="BO55" s="231">
        <v>2793.5539968640874</v>
      </c>
      <c r="BP55" s="231">
        <v>60815.172613735405</v>
      </c>
      <c r="BQ55" s="231">
        <v>5923.5164471802291</v>
      </c>
      <c r="BR55" s="231">
        <v>63024.436591977676</v>
      </c>
      <c r="BS55" s="412">
        <f t="shared" si="96"/>
        <v>220149.8004647129</v>
      </c>
      <c r="BT55" s="417">
        <v>0</v>
      </c>
      <c r="BU55" s="231">
        <v>16826.047068447031</v>
      </c>
      <c r="BV55" s="231">
        <v>0</v>
      </c>
      <c r="BW55" s="231">
        <v>18469.853745382316</v>
      </c>
      <c r="BX55" s="231">
        <v>0</v>
      </c>
      <c r="BY55" s="231">
        <v>13893.321159961964</v>
      </c>
      <c r="BZ55" s="231">
        <v>0</v>
      </c>
      <c r="CA55" s="231">
        <v>21425.397618428069</v>
      </c>
      <c r="CB55" s="414">
        <f t="shared" si="97"/>
        <v>70614.619592219387</v>
      </c>
      <c r="CC55" s="415">
        <f t="shared" si="98"/>
        <v>290764.42005693226</v>
      </c>
      <c r="CD55" s="300">
        <v>33</v>
      </c>
      <c r="CE55" s="414">
        <f t="shared" si="99"/>
        <v>5509389.2500499105</v>
      </c>
      <c r="CF55" s="414">
        <f t="shared" si="100"/>
        <v>5438174.6384531781</v>
      </c>
      <c r="CG55" s="414">
        <f t="shared" si="101"/>
        <v>5948577.5144746527</v>
      </c>
      <c r="CH55" s="414">
        <f t="shared" si="102"/>
        <v>6093465.1263384027</v>
      </c>
      <c r="CI55" s="416">
        <f t="shared" si="103"/>
        <v>22989606.529316146</v>
      </c>
      <c r="CJ55" s="414">
        <f t="shared" si="104"/>
        <v>1043093.7987668181</v>
      </c>
      <c r="CK55" s="414">
        <f t="shared" si="105"/>
        <v>1604410.3833242031</v>
      </c>
      <c r="CL55" s="414">
        <f t="shared" si="106"/>
        <v>1382871.504142273</v>
      </c>
      <c r="CM55" s="414">
        <f t="shared" si="107"/>
        <v>1836677.8332497317</v>
      </c>
      <c r="CN55" s="416">
        <f t="shared" si="108"/>
        <v>5867053.5194830261</v>
      </c>
      <c r="CO55" s="414">
        <f t="shared" si="109"/>
        <v>6552483.0488167284</v>
      </c>
      <c r="CP55" s="414">
        <f t="shared" si="110"/>
        <v>7042585.0217773803</v>
      </c>
      <c r="CQ55" s="414">
        <f t="shared" si="111"/>
        <v>7331449.0186169259</v>
      </c>
      <c r="CR55" s="414">
        <f t="shared" si="112"/>
        <v>7930142.9595881337</v>
      </c>
      <c r="CS55" s="416">
        <f t="shared" si="113"/>
        <v>28856660.048799168</v>
      </c>
    </row>
    <row r="56" spans="1:97" ht="15.75" customHeight="1">
      <c r="A56" s="88" t="s">
        <v>221</v>
      </c>
      <c r="B56" s="300">
        <v>34</v>
      </c>
      <c r="C56" s="231">
        <v>20243.907930968227</v>
      </c>
      <c r="D56" s="231">
        <v>91874.712446029022</v>
      </c>
      <c r="E56" s="231">
        <v>34926.891699882006</v>
      </c>
      <c r="F56" s="231">
        <v>87782.261103962039</v>
      </c>
      <c r="G56" s="231">
        <v>39450.661186102967</v>
      </c>
      <c r="H56" s="231">
        <v>85035.186753891481</v>
      </c>
      <c r="I56" s="231">
        <v>23092.958269840823</v>
      </c>
      <c r="J56" s="231">
        <v>43040.881950108182</v>
      </c>
      <c r="K56" s="412">
        <f t="shared" si="87"/>
        <v>425447.46134078468</v>
      </c>
      <c r="L56" s="417">
        <v>0</v>
      </c>
      <c r="M56" s="231">
        <v>38883.19619249364</v>
      </c>
      <c r="N56" s="231">
        <v>0</v>
      </c>
      <c r="O56" s="231">
        <v>152612.91429606293</v>
      </c>
      <c r="P56" s="231">
        <v>0</v>
      </c>
      <c r="Q56" s="231">
        <v>132169.14091317853</v>
      </c>
      <c r="R56" s="231">
        <v>0</v>
      </c>
      <c r="S56" s="231">
        <v>89631.274460388187</v>
      </c>
      <c r="T56" s="414">
        <f t="shared" si="88"/>
        <v>413296.52586212329</v>
      </c>
      <c r="U56" s="415">
        <f t="shared" si="89"/>
        <v>838743.98720290791</v>
      </c>
      <c r="V56" s="300">
        <v>34</v>
      </c>
      <c r="W56" s="231">
        <v>8568.2261636336189</v>
      </c>
      <c r="X56" s="231">
        <v>21719.114462806901</v>
      </c>
      <c r="Y56" s="231">
        <v>4856.4833834345745</v>
      </c>
      <c r="Z56" s="231">
        <v>4344.1554792093821</v>
      </c>
      <c r="AA56" s="231">
        <v>5704.8905330292991</v>
      </c>
      <c r="AB56" s="231">
        <v>5137.8962822505891</v>
      </c>
      <c r="AC56" s="231">
        <v>7823.8029786918705</v>
      </c>
      <c r="AD56" s="231">
        <v>7054.9513442857797</v>
      </c>
      <c r="AE56" s="412">
        <f t="shared" si="90"/>
        <v>65209.520627342019</v>
      </c>
      <c r="AF56" s="417">
        <v>0</v>
      </c>
      <c r="AG56" s="231">
        <v>18060.756975108001</v>
      </c>
      <c r="AH56" s="231">
        <v>0</v>
      </c>
      <c r="AI56" s="231">
        <v>22802.905931743004</v>
      </c>
      <c r="AJ56" s="231">
        <v>0</v>
      </c>
      <c r="AK56" s="231">
        <v>20284.427434422068</v>
      </c>
      <c r="AL56" s="231">
        <v>0</v>
      </c>
      <c r="AM56" s="231">
        <v>27328.80056475184</v>
      </c>
      <c r="AN56" s="414">
        <f t="shared" si="91"/>
        <v>88476.890906024913</v>
      </c>
      <c r="AO56" s="415">
        <f t="shared" si="92"/>
        <v>153686.41153336695</v>
      </c>
      <c r="AP56" s="300">
        <v>34</v>
      </c>
      <c r="AQ56" s="231">
        <v>285880.11769373558</v>
      </c>
      <c r="AR56" s="231">
        <v>787392.44015974156</v>
      </c>
      <c r="AS56" s="231">
        <v>253536.52639875663</v>
      </c>
      <c r="AT56" s="231">
        <v>719054.48034016707</v>
      </c>
      <c r="AU56" s="231">
        <v>306576.05410857685</v>
      </c>
      <c r="AV56" s="231">
        <v>829779.05239573761</v>
      </c>
      <c r="AW56" s="231">
        <v>408595.87367722602</v>
      </c>
      <c r="AX56" s="231">
        <v>921195.60215512058</v>
      </c>
      <c r="AY56" s="412">
        <f t="shared" si="93"/>
        <v>4512010.146929061</v>
      </c>
      <c r="AZ56" s="417">
        <v>0</v>
      </c>
      <c r="BA56" s="231">
        <v>399174.7884212936</v>
      </c>
      <c r="BB56" s="231">
        <v>0</v>
      </c>
      <c r="BC56" s="231">
        <v>483865.69813755882</v>
      </c>
      <c r="BD56" s="231">
        <v>0</v>
      </c>
      <c r="BE56" s="231">
        <v>502195.84776441031</v>
      </c>
      <c r="BF56" s="231">
        <v>0</v>
      </c>
      <c r="BG56" s="231">
        <v>572298.36426512781</v>
      </c>
      <c r="BH56" s="414">
        <f t="shared" si="94"/>
        <v>1957534.6985883906</v>
      </c>
      <c r="BI56" s="415">
        <f t="shared" si="95"/>
        <v>6469544.8455174519</v>
      </c>
      <c r="BJ56" s="300">
        <v>34</v>
      </c>
      <c r="BK56" s="231">
        <v>23693.616737211389</v>
      </c>
      <c r="BL56" s="231">
        <v>34704.618932927653</v>
      </c>
      <c r="BM56" s="231">
        <v>10240.510047576518</v>
      </c>
      <c r="BN56" s="231">
        <v>18502.078340743334</v>
      </c>
      <c r="BO56" s="231">
        <v>22331.555277902644</v>
      </c>
      <c r="BP56" s="231">
        <v>24208.594275592619</v>
      </c>
      <c r="BQ56" s="231">
        <v>15754.477895122709</v>
      </c>
      <c r="BR56" s="231">
        <v>18759.680336445206</v>
      </c>
      <c r="BS56" s="412">
        <f t="shared" si="96"/>
        <v>168195.13184352207</v>
      </c>
      <c r="BT56" s="417">
        <v>0</v>
      </c>
      <c r="BU56" s="231">
        <v>74959.211504600331</v>
      </c>
      <c r="BV56" s="231">
        <v>0</v>
      </c>
      <c r="BW56" s="231">
        <v>68721.33507816591</v>
      </c>
      <c r="BX56" s="231">
        <v>0</v>
      </c>
      <c r="BY56" s="231">
        <v>90395.772044382349</v>
      </c>
      <c r="BZ56" s="231">
        <v>0</v>
      </c>
      <c r="CA56" s="231">
        <v>61097.147658063375</v>
      </c>
      <c r="CB56" s="414">
        <f t="shared" si="97"/>
        <v>295173.46628521197</v>
      </c>
      <c r="CC56" s="415">
        <f t="shared" si="98"/>
        <v>463368.59812873404</v>
      </c>
      <c r="CD56" s="300">
        <v>34</v>
      </c>
      <c r="CE56" s="414">
        <f t="shared" si="99"/>
        <v>1274076.754527054</v>
      </c>
      <c r="CF56" s="414">
        <f t="shared" si="100"/>
        <v>1133243.3867937317</v>
      </c>
      <c r="CG56" s="414">
        <f t="shared" si="101"/>
        <v>1318223.8908130841</v>
      </c>
      <c r="CH56" s="414">
        <f t="shared" si="102"/>
        <v>1445318.2286068411</v>
      </c>
      <c r="CI56" s="416">
        <f t="shared" si="103"/>
        <v>5170862.2607407104</v>
      </c>
      <c r="CJ56" s="414">
        <f t="shared" si="104"/>
        <v>531077.95309349557</v>
      </c>
      <c r="CK56" s="414">
        <f t="shared" si="105"/>
        <v>728002.85344353062</v>
      </c>
      <c r="CL56" s="414">
        <f t="shared" si="106"/>
        <v>745045.18815639336</v>
      </c>
      <c r="CM56" s="414">
        <f t="shared" si="107"/>
        <v>750355.58694833121</v>
      </c>
      <c r="CN56" s="416">
        <f t="shared" si="108"/>
        <v>2754481.5816417509</v>
      </c>
      <c r="CO56" s="414">
        <f t="shared" si="109"/>
        <v>1805154.7076205497</v>
      </c>
      <c r="CP56" s="414">
        <f t="shared" si="110"/>
        <v>1861246.2402372623</v>
      </c>
      <c r="CQ56" s="414">
        <f t="shared" si="111"/>
        <v>2063269.0789694772</v>
      </c>
      <c r="CR56" s="414">
        <f t="shared" si="112"/>
        <v>2195673.8155551725</v>
      </c>
      <c r="CS56" s="416">
        <f t="shared" si="113"/>
        <v>7925343.8423824608</v>
      </c>
    </row>
    <row r="57" spans="1:97" ht="15.75" customHeight="1">
      <c r="A57" s="88" t="s">
        <v>222</v>
      </c>
      <c r="B57" s="300">
        <v>35</v>
      </c>
      <c r="C57" s="231">
        <v>18366.346855949658</v>
      </c>
      <c r="D57" s="231">
        <v>41663.416910289307</v>
      </c>
      <c r="E57" s="231">
        <v>17727.09713135086</v>
      </c>
      <c r="F57" s="231">
        <v>36374.940182981118</v>
      </c>
      <c r="G57" s="231">
        <v>20128.827412298178</v>
      </c>
      <c r="H57" s="231">
        <v>47835.200666170233</v>
      </c>
      <c r="I57" s="231">
        <v>20538.117777045922</v>
      </c>
      <c r="J57" s="231">
        <v>22805.899658556071</v>
      </c>
      <c r="K57" s="412">
        <f t="shared" si="87"/>
        <v>225439.84659464136</v>
      </c>
      <c r="L57" s="417">
        <v>0</v>
      </c>
      <c r="M57" s="231">
        <v>32195.687235828213</v>
      </c>
      <c r="N57" s="231">
        <v>0</v>
      </c>
      <c r="O57" s="231">
        <v>65174.372548745327</v>
      </c>
      <c r="P57" s="231">
        <v>0</v>
      </c>
      <c r="Q57" s="231">
        <v>65517.536356814897</v>
      </c>
      <c r="R57" s="231">
        <v>0</v>
      </c>
      <c r="S57" s="231">
        <v>46171.336758768753</v>
      </c>
      <c r="T57" s="414">
        <f t="shared" si="88"/>
        <v>209058.93290015718</v>
      </c>
      <c r="U57" s="415">
        <f t="shared" si="89"/>
        <v>434498.77949479851</v>
      </c>
      <c r="V57" s="300">
        <v>35</v>
      </c>
      <c r="W57" s="231">
        <v>1347.1331984902872</v>
      </c>
      <c r="X57" s="231">
        <v>9767.2989784734691</v>
      </c>
      <c r="Y57" s="231">
        <v>226.19457509957974</v>
      </c>
      <c r="Z57" s="231">
        <v>2484.880604700053</v>
      </c>
      <c r="AA57" s="231">
        <v>2203.6592729979461</v>
      </c>
      <c r="AB57" s="231">
        <v>4435.0987839056652</v>
      </c>
      <c r="AC57" s="231">
        <v>2929.6568428404153</v>
      </c>
      <c r="AD57" s="231">
        <v>3147.8519701351902</v>
      </c>
      <c r="AE57" s="412">
        <f t="shared" si="90"/>
        <v>26541.774226642607</v>
      </c>
      <c r="AF57" s="417">
        <v>0</v>
      </c>
      <c r="AG57" s="231">
        <v>14628.858270470917</v>
      </c>
      <c r="AH57" s="231">
        <v>0</v>
      </c>
      <c r="AI57" s="231">
        <v>9792.3606918599307</v>
      </c>
      <c r="AJ57" s="231">
        <v>0</v>
      </c>
      <c r="AK57" s="231">
        <v>11010.098294655505</v>
      </c>
      <c r="AL57" s="231">
        <v>0</v>
      </c>
      <c r="AM57" s="231">
        <v>10982.654070134182</v>
      </c>
      <c r="AN57" s="414">
        <f t="shared" si="91"/>
        <v>46413.971327120533</v>
      </c>
      <c r="AO57" s="415">
        <f t="shared" si="92"/>
        <v>72955.745553763147</v>
      </c>
      <c r="AP57" s="300">
        <v>35</v>
      </c>
      <c r="AQ57" s="231">
        <v>146412.44334219355</v>
      </c>
      <c r="AR57" s="231">
        <v>559631.41033991659</v>
      </c>
      <c r="AS57" s="231">
        <v>117594.40921669187</v>
      </c>
      <c r="AT57" s="231">
        <v>303737.68019408331</v>
      </c>
      <c r="AU57" s="231">
        <v>157966.67368559778</v>
      </c>
      <c r="AV57" s="231">
        <v>406144.4055066086</v>
      </c>
      <c r="AW57" s="231">
        <v>130494.95107515651</v>
      </c>
      <c r="AX57" s="231">
        <v>381507.59745899151</v>
      </c>
      <c r="AY57" s="412">
        <f t="shared" si="93"/>
        <v>2203489.5708192396</v>
      </c>
      <c r="AZ57" s="417">
        <v>0</v>
      </c>
      <c r="BA57" s="231">
        <v>529165.20836664038</v>
      </c>
      <c r="BB57" s="231">
        <v>0</v>
      </c>
      <c r="BC57" s="231">
        <v>459253.30526584311</v>
      </c>
      <c r="BD57" s="231">
        <v>0</v>
      </c>
      <c r="BE57" s="231">
        <v>495822.6461272203</v>
      </c>
      <c r="BF57" s="231">
        <v>0</v>
      </c>
      <c r="BG57" s="231">
        <v>552163.61039380624</v>
      </c>
      <c r="BH57" s="414">
        <f t="shared" si="94"/>
        <v>2036404.7701535099</v>
      </c>
      <c r="BI57" s="415">
        <f t="shared" si="95"/>
        <v>4239894.3409727495</v>
      </c>
      <c r="BJ57" s="300">
        <v>35</v>
      </c>
      <c r="BK57" s="231">
        <v>591.37035555552916</v>
      </c>
      <c r="BL57" s="231">
        <v>10272.883231855767</v>
      </c>
      <c r="BM57" s="231">
        <v>139.99751149520813</v>
      </c>
      <c r="BN57" s="231">
        <v>4051.8738140365881</v>
      </c>
      <c r="BO57" s="231">
        <v>9328.8448411445625</v>
      </c>
      <c r="BP57" s="231">
        <v>6048.0635375582897</v>
      </c>
      <c r="BQ57" s="231">
        <v>1406.0718974378869</v>
      </c>
      <c r="BR57" s="231">
        <v>5894.4942853344164</v>
      </c>
      <c r="BS57" s="412">
        <f t="shared" si="96"/>
        <v>37733.599474418246</v>
      </c>
      <c r="BT57" s="417">
        <v>0</v>
      </c>
      <c r="BU57" s="231">
        <v>11007.146655560571</v>
      </c>
      <c r="BV57" s="231">
        <v>0</v>
      </c>
      <c r="BW57" s="231">
        <v>16581.508211061991</v>
      </c>
      <c r="BX57" s="231">
        <v>0</v>
      </c>
      <c r="BY57" s="231">
        <v>21119.828895233892</v>
      </c>
      <c r="BZ57" s="231">
        <v>0</v>
      </c>
      <c r="CA57" s="231">
        <v>21356.354547128703</v>
      </c>
      <c r="CB57" s="414">
        <f t="shared" si="97"/>
        <v>70064.838308985156</v>
      </c>
      <c r="CC57" s="415">
        <f t="shared" si="98"/>
        <v>107798.43778340341</v>
      </c>
      <c r="CD57" s="300">
        <v>35</v>
      </c>
      <c r="CE57" s="414">
        <f t="shared" si="99"/>
        <v>788052.30321272428</v>
      </c>
      <c r="CF57" s="414">
        <f t="shared" si="100"/>
        <v>482337.07323043857</v>
      </c>
      <c r="CG57" s="414">
        <f t="shared" si="101"/>
        <v>654090.77370628121</v>
      </c>
      <c r="CH57" s="414">
        <f t="shared" si="102"/>
        <v>568724.64096549794</v>
      </c>
      <c r="CI57" s="416">
        <f t="shared" si="103"/>
        <v>2493204.7911149422</v>
      </c>
      <c r="CJ57" s="414">
        <f t="shared" si="104"/>
        <v>586996.90052850009</v>
      </c>
      <c r="CK57" s="414">
        <f t="shared" si="105"/>
        <v>550801.54671751033</v>
      </c>
      <c r="CL57" s="414">
        <f t="shared" si="106"/>
        <v>593470.10967392463</v>
      </c>
      <c r="CM57" s="414">
        <f t="shared" si="107"/>
        <v>630673.95576983783</v>
      </c>
      <c r="CN57" s="416">
        <f t="shared" si="108"/>
        <v>2361942.512689773</v>
      </c>
      <c r="CO57" s="414">
        <f t="shared" si="109"/>
        <v>1375049.203741224</v>
      </c>
      <c r="CP57" s="414">
        <f t="shared" si="110"/>
        <v>1033138.619947949</v>
      </c>
      <c r="CQ57" s="414">
        <f t="shared" si="111"/>
        <v>1247560.8833802056</v>
      </c>
      <c r="CR57" s="414">
        <f t="shared" si="112"/>
        <v>1199398.5967353357</v>
      </c>
      <c r="CS57" s="416">
        <f t="shared" si="113"/>
        <v>4855147.3038047152</v>
      </c>
    </row>
    <row r="58" spans="1:97" ht="15.75" customHeight="1">
      <c r="A58" s="88" t="s">
        <v>223</v>
      </c>
      <c r="B58" s="300">
        <v>36</v>
      </c>
      <c r="C58" s="231">
        <v>0</v>
      </c>
      <c r="D58" s="231">
        <v>0</v>
      </c>
      <c r="E58" s="231">
        <v>18285.512481149948</v>
      </c>
      <c r="F58" s="231">
        <v>0</v>
      </c>
      <c r="G58" s="231">
        <v>31058.822306788996</v>
      </c>
      <c r="H58" s="231">
        <v>0</v>
      </c>
      <c r="I58" s="231">
        <v>5915.9859764595003</v>
      </c>
      <c r="J58" s="231">
        <v>0</v>
      </c>
      <c r="K58" s="412">
        <f t="shared" si="87"/>
        <v>55260.32076439845</v>
      </c>
      <c r="L58" s="417">
        <v>0</v>
      </c>
      <c r="M58" s="231">
        <v>0</v>
      </c>
      <c r="N58" s="231">
        <v>0</v>
      </c>
      <c r="O58" s="231">
        <v>440.4692602737162</v>
      </c>
      <c r="P58" s="231">
        <v>0</v>
      </c>
      <c r="Q58" s="231">
        <v>111.04716871862128</v>
      </c>
      <c r="R58" s="231">
        <v>0</v>
      </c>
      <c r="S58" s="231">
        <v>0</v>
      </c>
      <c r="T58" s="414">
        <f t="shared" si="88"/>
        <v>551.51642899233752</v>
      </c>
      <c r="U58" s="415">
        <f t="shared" si="89"/>
        <v>55811.837193390784</v>
      </c>
      <c r="V58" s="300">
        <v>36</v>
      </c>
      <c r="W58" s="231">
        <v>0</v>
      </c>
      <c r="X58" s="231">
        <v>0</v>
      </c>
      <c r="Y58" s="231">
        <v>0</v>
      </c>
      <c r="Z58" s="231">
        <v>0</v>
      </c>
      <c r="AA58" s="231">
        <v>0</v>
      </c>
      <c r="AB58" s="231">
        <v>0</v>
      </c>
      <c r="AC58" s="231">
        <v>0</v>
      </c>
      <c r="AD58" s="231">
        <v>0</v>
      </c>
      <c r="AE58" s="412">
        <f t="shared" si="90"/>
        <v>0</v>
      </c>
      <c r="AF58" s="417">
        <v>0</v>
      </c>
      <c r="AG58" s="231">
        <v>0</v>
      </c>
      <c r="AH58" s="231">
        <v>0</v>
      </c>
      <c r="AI58" s="231">
        <v>0</v>
      </c>
      <c r="AJ58" s="231">
        <v>0</v>
      </c>
      <c r="AK58" s="231">
        <v>0</v>
      </c>
      <c r="AL58" s="231">
        <v>0</v>
      </c>
      <c r="AM58" s="231">
        <v>0</v>
      </c>
      <c r="AN58" s="414">
        <f t="shared" si="91"/>
        <v>0</v>
      </c>
      <c r="AO58" s="415">
        <f t="shared" si="92"/>
        <v>0</v>
      </c>
      <c r="AP58" s="300">
        <v>36</v>
      </c>
      <c r="AQ58" s="231">
        <v>32172.542041830089</v>
      </c>
      <c r="AR58" s="231">
        <v>0</v>
      </c>
      <c r="AS58" s="231">
        <v>13931.42738907481</v>
      </c>
      <c r="AT58" s="231">
        <v>0</v>
      </c>
      <c r="AU58" s="231">
        <v>21295.658148469047</v>
      </c>
      <c r="AV58" s="231">
        <v>0</v>
      </c>
      <c r="AW58" s="231">
        <v>8637.1566577326994</v>
      </c>
      <c r="AX58" s="231">
        <v>11547.85640460021</v>
      </c>
      <c r="AY58" s="412">
        <f t="shared" si="93"/>
        <v>87584.640641706865</v>
      </c>
      <c r="AZ58" s="417">
        <v>0</v>
      </c>
      <c r="BA58" s="231">
        <v>14302.28916763165</v>
      </c>
      <c r="BB58" s="231">
        <v>0</v>
      </c>
      <c r="BC58" s="231">
        <v>2202.346301368581</v>
      </c>
      <c r="BD58" s="231">
        <v>0</v>
      </c>
      <c r="BE58" s="231">
        <v>5885.4999420869299</v>
      </c>
      <c r="BF58" s="231">
        <v>0</v>
      </c>
      <c r="BG58" s="231">
        <v>3486.6331291463184</v>
      </c>
      <c r="BH58" s="414">
        <f t="shared" si="94"/>
        <v>25876.768540233479</v>
      </c>
      <c r="BI58" s="415">
        <f t="shared" si="95"/>
        <v>113461.40918194034</v>
      </c>
      <c r="BJ58" s="300">
        <v>36</v>
      </c>
      <c r="BK58" s="231">
        <v>964.98600376204729</v>
      </c>
      <c r="BL58" s="231">
        <v>0</v>
      </c>
      <c r="BM58" s="231">
        <v>0</v>
      </c>
      <c r="BN58" s="231">
        <v>0</v>
      </c>
      <c r="BO58" s="231">
        <v>0</v>
      </c>
      <c r="BP58" s="231">
        <v>0</v>
      </c>
      <c r="BQ58" s="231">
        <v>0</v>
      </c>
      <c r="BR58" s="231">
        <v>0</v>
      </c>
      <c r="BS58" s="412">
        <f t="shared" si="96"/>
        <v>964.98600376204729</v>
      </c>
      <c r="BT58" s="417">
        <v>0</v>
      </c>
      <c r="BU58" s="231">
        <v>0</v>
      </c>
      <c r="BV58" s="231">
        <v>0</v>
      </c>
      <c r="BW58" s="231">
        <v>330.35194520528711</v>
      </c>
      <c r="BX58" s="231">
        <v>0</v>
      </c>
      <c r="BY58" s="231">
        <v>111.04716871862128</v>
      </c>
      <c r="BZ58" s="231">
        <v>0</v>
      </c>
      <c r="CA58" s="231">
        <v>576.26830938623857</v>
      </c>
      <c r="CB58" s="414">
        <f t="shared" si="97"/>
        <v>1017.6674233101469</v>
      </c>
      <c r="CC58" s="415">
        <f t="shared" si="98"/>
        <v>1982.6534270721941</v>
      </c>
      <c r="CD58" s="300">
        <v>36</v>
      </c>
      <c r="CE58" s="414">
        <f t="shared" si="99"/>
        <v>33137.528045592138</v>
      </c>
      <c r="CF58" s="414">
        <f t="shared" si="100"/>
        <v>32216.939870224756</v>
      </c>
      <c r="CG58" s="414">
        <f t="shared" si="101"/>
        <v>52354.480455258046</v>
      </c>
      <c r="CH58" s="414">
        <f t="shared" si="102"/>
        <v>26100.999038792412</v>
      </c>
      <c r="CI58" s="416">
        <f t="shared" si="103"/>
        <v>143809.94740986737</v>
      </c>
      <c r="CJ58" s="414">
        <f t="shared" si="104"/>
        <v>14302.28916763165</v>
      </c>
      <c r="CK58" s="414">
        <f t="shared" si="105"/>
        <v>2973.1675068475843</v>
      </c>
      <c r="CL58" s="414">
        <f t="shared" si="106"/>
        <v>6107.5942795241717</v>
      </c>
      <c r="CM58" s="414">
        <f t="shared" si="107"/>
        <v>4062.9014385325572</v>
      </c>
      <c r="CN58" s="416">
        <f t="shared" si="108"/>
        <v>27445.952392535964</v>
      </c>
      <c r="CO58" s="414">
        <f t="shared" si="109"/>
        <v>47439.817213223789</v>
      </c>
      <c r="CP58" s="414">
        <f t="shared" si="110"/>
        <v>35190.107377072345</v>
      </c>
      <c r="CQ58" s="414">
        <f t="shared" si="111"/>
        <v>58462.074734782218</v>
      </c>
      <c r="CR58" s="414">
        <f t="shared" si="112"/>
        <v>30163.900477324969</v>
      </c>
      <c r="CS58" s="416">
        <f t="shared" si="113"/>
        <v>171255.89980240332</v>
      </c>
    </row>
    <row r="59" spans="1:97" ht="15.75" customHeight="1">
      <c r="A59" s="88" t="s">
        <v>468</v>
      </c>
      <c r="B59" s="300">
        <v>37</v>
      </c>
      <c r="C59" s="231">
        <v>733.49270271843318</v>
      </c>
      <c r="D59" s="231">
        <v>1887.0539225568427</v>
      </c>
      <c r="E59" s="231">
        <v>1148.455012088825</v>
      </c>
      <c r="F59" s="231">
        <v>2421.3310823591987</v>
      </c>
      <c r="G59" s="231">
        <v>1981.7413375088045</v>
      </c>
      <c r="H59" s="231">
        <v>3766.8038550929946</v>
      </c>
      <c r="I59" s="231">
        <v>3897.7569821020625</v>
      </c>
      <c r="J59" s="231">
        <v>2899.0741244752858</v>
      </c>
      <c r="K59" s="412">
        <f t="shared" si="87"/>
        <v>18735.709018902446</v>
      </c>
      <c r="L59" s="417">
        <v>0</v>
      </c>
      <c r="M59" s="231">
        <v>1120.9983488425789</v>
      </c>
      <c r="N59" s="231">
        <v>0</v>
      </c>
      <c r="O59" s="231">
        <v>3128.7693683895623</v>
      </c>
      <c r="P59" s="231">
        <v>0</v>
      </c>
      <c r="Q59" s="231">
        <v>3013.7012665703473</v>
      </c>
      <c r="R59" s="231">
        <v>0</v>
      </c>
      <c r="S59" s="231">
        <v>3367.5600633248487</v>
      </c>
      <c r="T59" s="414">
        <f t="shared" si="88"/>
        <v>10631.029047127337</v>
      </c>
      <c r="U59" s="415">
        <f t="shared" si="89"/>
        <v>29366.738066029782</v>
      </c>
      <c r="V59" s="300">
        <v>37</v>
      </c>
      <c r="W59" s="231">
        <v>0</v>
      </c>
      <c r="X59" s="231">
        <v>202.27375556194335</v>
      </c>
      <c r="Y59" s="231">
        <v>0</v>
      </c>
      <c r="Z59" s="231">
        <v>202.60422210941428</v>
      </c>
      <c r="AA59" s="231">
        <v>334.09178244259454</v>
      </c>
      <c r="AB59" s="231">
        <v>376.61255475347019</v>
      </c>
      <c r="AC59" s="231">
        <v>337.77146139569351</v>
      </c>
      <c r="AD59" s="231">
        <v>67.030615594804289</v>
      </c>
      <c r="AE59" s="412">
        <f t="shared" si="90"/>
        <v>1520.38439185792</v>
      </c>
      <c r="AF59" s="417">
        <v>0</v>
      </c>
      <c r="AG59" s="231">
        <v>156.97780950348704</v>
      </c>
      <c r="AH59" s="231">
        <v>0</v>
      </c>
      <c r="AI59" s="231">
        <v>149.50651125414078</v>
      </c>
      <c r="AJ59" s="231">
        <v>0</v>
      </c>
      <c r="AK59" s="231">
        <v>403.61763626670768</v>
      </c>
      <c r="AL59" s="231">
        <v>0</v>
      </c>
      <c r="AM59" s="231">
        <v>846.34423828813942</v>
      </c>
      <c r="AN59" s="414">
        <f t="shared" si="91"/>
        <v>1556.4461953124749</v>
      </c>
      <c r="AO59" s="415">
        <f t="shared" si="92"/>
        <v>3076.8305871703951</v>
      </c>
      <c r="AP59" s="300">
        <v>37</v>
      </c>
      <c r="AQ59" s="231">
        <v>10342.427352270508</v>
      </c>
      <c r="AR59" s="231">
        <v>11399.958605978272</v>
      </c>
      <c r="AS59" s="231">
        <v>8659.5752605799789</v>
      </c>
      <c r="AT59" s="231">
        <v>9560.2011774162529</v>
      </c>
      <c r="AU59" s="231">
        <v>14318.161396148866</v>
      </c>
      <c r="AV59" s="231">
        <v>16694.90046043889</v>
      </c>
      <c r="AW59" s="231">
        <v>22256.060087072317</v>
      </c>
      <c r="AX59" s="231">
        <v>14762.602834392277</v>
      </c>
      <c r="AY59" s="412">
        <f t="shared" si="93"/>
        <v>107993.88717429736</v>
      </c>
      <c r="AZ59" s="417">
        <v>0</v>
      </c>
      <c r="BA59" s="231">
        <v>9584.9062785578553</v>
      </c>
      <c r="BB59" s="231">
        <v>0</v>
      </c>
      <c r="BC59" s="231">
        <v>12536.832259947405</v>
      </c>
      <c r="BD59" s="231">
        <v>0</v>
      </c>
      <c r="BE59" s="231">
        <v>27912.652144296557</v>
      </c>
      <c r="BF59" s="231">
        <v>0</v>
      </c>
      <c r="BG59" s="231">
        <v>34247.535388159515</v>
      </c>
      <c r="BH59" s="414">
        <f t="shared" si="94"/>
        <v>84281.926070961345</v>
      </c>
      <c r="BI59" s="415">
        <f t="shared" si="95"/>
        <v>192275.8132452587</v>
      </c>
      <c r="BJ59" s="300">
        <v>37</v>
      </c>
      <c r="BK59" s="231">
        <v>0</v>
      </c>
      <c r="BL59" s="231">
        <v>0</v>
      </c>
      <c r="BM59" s="231">
        <v>0</v>
      </c>
      <c r="BN59" s="231">
        <v>0</v>
      </c>
      <c r="BO59" s="231">
        <v>0</v>
      </c>
      <c r="BP59" s="231">
        <v>0</v>
      </c>
      <c r="BQ59" s="231">
        <v>0</v>
      </c>
      <c r="BR59" s="231">
        <v>86.406652915177403</v>
      </c>
      <c r="BS59" s="412">
        <f t="shared" si="96"/>
        <v>86.406652915177403</v>
      </c>
      <c r="BT59" s="417">
        <v>0</v>
      </c>
      <c r="BU59" s="231">
        <v>0</v>
      </c>
      <c r="BV59" s="231">
        <v>0</v>
      </c>
      <c r="BW59" s="231">
        <v>0</v>
      </c>
      <c r="BX59" s="231">
        <v>0</v>
      </c>
      <c r="BY59" s="231">
        <v>0</v>
      </c>
      <c r="BZ59" s="231">
        <v>0</v>
      </c>
      <c r="CA59" s="231">
        <v>0</v>
      </c>
      <c r="CB59" s="414">
        <f t="shared" si="97"/>
        <v>0</v>
      </c>
      <c r="CC59" s="415">
        <f t="shared" si="98"/>
        <v>86.406652915177403</v>
      </c>
      <c r="CD59" s="300">
        <v>37</v>
      </c>
      <c r="CE59" s="414">
        <f t="shared" si="99"/>
        <v>24565.206339085998</v>
      </c>
      <c r="CF59" s="414">
        <f t="shared" si="100"/>
        <v>21992.166754553669</v>
      </c>
      <c r="CG59" s="414">
        <f t="shared" si="101"/>
        <v>37472.31138638562</v>
      </c>
      <c r="CH59" s="414">
        <f t="shared" si="102"/>
        <v>44306.702757947613</v>
      </c>
      <c r="CI59" s="416">
        <f t="shared" si="103"/>
        <v>128336.3872379729</v>
      </c>
      <c r="CJ59" s="414">
        <f t="shared" si="104"/>
        <v>10862.882436903921</v>
      </c>
      <c r="CK59" s="414">
        <f t="shared" si="105"/>
        <v>15815.108139591108</v>
      </c>
      <c r="CL59" s="414">
        <f t="shared" si="106"/>
        <v>31329.971047133611</v>
      </c>
      <c r="CM59" s="414">
        <f t="shared" si="107"/>
        <v>38461.439689772502</v>
      </c>
      <c r="CN59" s="416">
        <f t="shared" si="108"/>
        <v>96469.401313401162</v>
      </c>
      <c r="CO59" s="414">
        <f t="shared" si="109"/>
        <v>35428.08877598992</v>
      </c>
      <c r="CP59" s="414">
        <f t="shared" si="110"/>
        <v>37807.274894144779</v>
      </c>
      <c r="CQ59" s="414">
        <f t="shared" si="111"/>
        <v>68802.282433519227</v>
      </c>
      <c r="CR59" s="414">
        <f t="shared" si="112"/>
        <v>82768.142447720107</v>
      </c>
      <c r="CS59" s="416">
        <f t="shared" si="113"/>
        <v>224805.78855137408</v>
      </c>
    </row>
    <row r="60" spans="1:97" ht="15.75" customHeight="1">
      <c r="A60" s="932" t="s">
        <v>372</v>
      </c>
      <c r="B60" s="933">
        <v>38</v>
      </c>
      <c r="C60" s="420">
        <v>95328.030052200062</v>
      </c>
      <c r="D60" s="420">
        <v>386629.52851405629</v>
      </c>
      <c r="E60" s="420">
        <v>121576.57811247202</v>
      </c>
      <c r="F60" s="420">
        <v>484971.19413853751</v>
      </c>
      <c r="G60" s="420">
        <v>123086.67738033769</v>
      </c>
      <c r="H60" s="420">
        <v>461697.27863632591</v>
      </c>
      <c r="I60" s="420">
        <v>110070.90847881812</v>
      </c>
      <c r="J60" s="420">
        <v>419468.15445561183</v>
      </c>
      <c r="K60" s="412">
        <f>SUM(C60:J60)</f>
        <v>2202828.3497683592</v>
      </c>
      <c r="L60" s="421">
        <v>0</v>
      </c>
      <c r="M60" s="420">
        <v>0</v>
      </c>
      <c r="N60" s="420">
        <v>0</v>
      </c>
      <c r="O60" s="420">
        <v>0</v>
      </c>
      <c r="P60" s="420">
        <v>0</v>
      </c>
      <c r="Q60" s="420">
        <v>0</v>
      </c>
      <c r="R60" s="420">
        <v>0</v>
      </c>
      <c r="S60" s="420">
        <v>0</v>
      </c>
      <c r="T60" s="414">
        <f>SUM(L60:S60)</f>
        <v>0</v>
      </c>
      <c r="U60" s="415">
        <f>SUM(T60,K60)</f>
        <v>2202828.3497683592</v>
      </c>
      <c r="V60" s="933">
        <v>38</v>
      </c>
      <c r="W60" s="420">
        <v>4932.0888628462435</v>
      </c>
      <c r="X60" s="420">
        <v>76678.569039562703</v>
      </c>
      <c r="Y60" s="420">
        <v>4397.8846125798955</v>
      </c>
      <c r="Z60" s="420">
        <v>70366.153801278328</v>
      </c>
      <c r="AA60" s="420">
        <v>4853.8492016966438</v>
      </c>
      <c r="AB60" s="420">
        <v>71604.572375697753</v>
      </c>
      <c r="AC60" s="420">
        <v>5695.7095513610666</v>
      </c>
      <c r="AD60" s="420">
        <v>74044.224167693872</v>
      </c>
      <c r="AE60" s="412">
        <f>SUM(W60:AD60)</f>
        <v>312573.05161271652</v>
      </c>
      <c r="AF60" s="421">
        <v>0</v>
      </c>
      <c r="AG60" s="420">
        <v>0</v>
      </c>
      <c r="AH60" s="420">
        <v>0</v>
      </c>
      <c r="AI60" s="420">
        <v>0</v>
      </c>
      <c r="AJ60" s="420">
        <v>0</v>
      </c>
      <c r="AK60" s="420">
        <v>0</v>
      </c>
      <c r="AL60" s="420">
        <v>0</v>
      </c>
      <c r="AM60" s="420">
        <v>0</v>
      </c>
      <c r="AN60" s="414">
        <f>SUM(AF60:AM60)</f>
        <v>0</v>
      </c>
      <c r="AO60" s="415">
        <f>SUM(AN60,AE60)</f>
        <v>312573.05161271652</v>
      </c>
      <c r="AP60" s="933">
        <v>38</v>
      </c>
      <c r="AQ60" s="420">
        <v>312726.75662633649</v>
      </c>
      <c r="AR60" s="420">
        <v>1244011.0687832651</v>
      </c>
      <c r="AS60" s="420">
        <v>316399.65452664357</v>
      </c>
      <c r="AT60" s="420">
        <v>1233904.0005549842</v>
      </c>
      <c r="AU60" s="420">
        <v>346474.50368352339</v>
      </c>
      <c r="AV60" s="420">
        <v>1321061.657288031</v>
      </c>
      <c r="AW60" s="420">
        <v>388658.5653945175</v>
      </c>
      <c r="AX60" s="420">
        <v>1429953.8555565707</v>
      </c>
      <c r="AY60" s="412">
        <f>SUM(AQ60:AX60)</f>
        <v>6593190.0624138722</v>
      </c>
      <c r="AZ60" s="421">
        <v>0</v>
      </c>
      <c r="BA60" s="420">
        <v>0</v>
      </c>
      <c r="BB60" s="420">
        <v>0</v>
      </c>
      <c r="BC60" s="420">
        <v>0</v>
      </c>
      <c r="BD60" s="420">
        <v>0</v>
      </c>
      <c r="BE60" s="420">
        <v>0</v>
      </c>
      <c r="BF60" s="420">
        <v>0</v>
      </c>
      <c r="BG60" s="420">
        <v>0</v>
      </c>
      <c r="BH60" s="414">
        <f>SUM(AZ60:BG60)</f>
        <v>0</v>
      </c>
      <c r="BI60" s="415">
        <f>SUM(BH60,AY60)</f>
        <v>6593190.0624138722</v>
      </c>
      <c r="BJ60" s="933">
        <v>38</v>
      </c>
      <c r="BK60" s="420">
        <v>2366.6858712762491</v>
      </c>
      <c r="BL60" s="420">
        <v>42565.480947058873</v>
      </c>
      <c r="BM60" s="420">
        <v>2777.6113342609865</v>
      </c>
      <c r="BN60" s="420">
        <v>40278.614379941326</v>
      </c>
      <c r="BO60" s="420">
        <v>3396.5472954579359</v>
      </c>
      <c r="BP60" s="420">
        <v>43954.187918681957</v>
      </c>
      <c r="BQ60" s="420">
        <v>4310.2666875164832</v>
      </c>
      <c r="BR60" s="420">
        <v>48377.439796529063</v>
      </c>
      <c r="BS60" s="412">
        <f>SUM(BK60:BR60)</f>
        <v>188026.83423072286</v>
      </c>
      <c r="BT60" s="421">
        <v>0</v>
      </c>
      <c r="BU60" s="420">
        <v>0</v>
      </c>
      <c r="BV60" s="420">
        <v>0</v>
      </c>
      <c r="BW60" s="420">
        <v>0</v>
      </c>
      <c r="BX60" s="420">
        <v>0</v>
      </c>
      <c r="BY60" s="420">
        <v>0</v>
      </c>
      <c r="BZ60" s="420">
        <v>0</v>
      </c>
      <c r="CA60" s="420">
        <v>0</v>
      </c>
      <c r="CB60" s="414">
        <f>SUM(BT60:CA60)</f>
        <v>0</v>
      </c>
      <c r="CC60" s="415">
        <f>SUM(CB60,BS60)</f>
        <v>188026.83423072286</v>
      </c>
      <c r="CD60" s="933">
        <v>38</v>
      </c>
      <c r="CE60" s="414">
        <f t="shared" si="99"/>
        <v>2165238.2086966014</v>
      </c>
      <c r="CF60" s="414">
        <f t="shared" si="100"/>
        <v>2274671.6914606979</v>
      </c>
      <c r="CG60" s="414">
        <f t="shared" si="101"/>
        <v>2376129.2737797527</v>
      </c>
      <c r="CH60" s="414">
        <f t="shared" si="102"/>
        <v>2480579.1240886189</v>
      </c>
      <c r="CI60" s="416">
        <f t="shared" si="103"/>
        <v>9296618.2980256714</v>
      </c>
      <c r="CJ60" s="414">
        <f t="shared" si="104"/>
        <v>0</v>
      </c>
      <c r="CK60" s="414">
        <f t="shared" si="105"/>
        <v>0</v>
      </c>
      <c r="CL60" s="414">
        <f t="shared" si="106"/>
        <v>0</v>
      </c>
      <c r="CM60" s="414">
        <f t="shared" si="107"/>
        <v>0</v>
      </c>
      <c r="CN60" s="416">
        <f t="shared" si="108"/>
        <v>0</v>
      </c>
      <c r="CO60" s="414">
        <f t="shared" si="109"/>
        <v>2165238.2086966014</v>
      </c>
      <c r="CP60" s="414">
        <f t="shared" si="110"/>
        <v>2274671.6914606979</v>
      </c>
      <c r="CQ60" s="414">
        <f t="shared" si="111"/>
        <v>2376129.2737797527</v>
      </c>
      <c r="CR60" s="414">
        <f t="shared" si="112"/>
        <v>2480579.1240886189</v>
      </c>
      <c r="CS60" s="416">
        <f t="shared" si="113"/>
        <v>9296618.2980256714</v>
      </c>
    </row>
    <row r="61" spans="1:97" ht="15.75" customHeight="1">
      <c r="A61" s="88" t="s">
        <v>226</v>
      </c>
      <c r="B61" s="933">
        <v>39</v>
      </c>
      <c r="C61" s="231">
        <v>36519</v>
      </c>
      <c r="D61" s="231">
        <v>152901.61000000002</v>
      </c>
      <c r="E61" s="231">
        <v>48503.040000000001</v>
      </c>
      <c r="F61" s="231">
        <v>196867</v>
      </c>
      <c r="G61" s="231">
        <v>50163.83</v>
      </c>
      <c r="H61" s="231">
        <v>189406.33000000002</v>
      </c>
      <c r="I61" s="231">
        <v>35719.050000000003</v>
      </c>
      <c r="J61" s="231">
        <v>138038.67000000001</v>
      </c>
      <c r="K61" s="412">
        <f t="shared" si="87"/>
        <v>848118.53000000014</v>
      </c>
      <c r="L61" s="417">
        <v>0</v>
      </c>
      <c r="M61" s="231">
        <v>709311.14</v>
      </c>
      <c r="N61" s="231">
        <v>0</v>
      </c>
      <c r="O61" s="231">
        <v>946801.1100000001</v>
      </c>
      <c r="P61" s="231">
        <v>0</v>
      </c>
      <c r="Q61" s="231">
        <v>898692.72</v>
      </c>
      <c r="R61" s="231">
        <v>0</v>
      </c>
      <c r="S61" s="231">
        <v>833349.36</v>
      </c>
      <c r="T61" s="414">
        <f t="shared" si="88"/>
        <v>3388154.3299999996</v>
      </c>
      <c r="U61" s="415">
        <f t="shared" si="89"/>
        <v>4236272.8599999994</v>
      </c>
      <c r="V61" s="933">
        <v>39</v>
      </c>
      <c r="W61" s="231">
        <v>1804.09</v>
      </c>
      <c r="X61" s="231">
        <v>28532.5</v>
      </c>
      <c r="Y61" s="231">
        <v>1641.26</v>
      </c>
      <c r="Z61" s="231">
        <v>27173.48</v>
      </c>
      <c r="AA61" s="231">
        <v>1845.39</v>
      </c>
      <c r="AB61" s="231">
        <v>27943.65</v>
      </c>
      <c r="AC61" s="231">
        <v>1763.44</v>
      </c>
      <c r="AD61" s="231">
        <v>23616.600000000002</v>
      </c>
      <c r="AE61" s="412">
        <f t="shared" si="90"/>
        <v>114320.41</v>
      </c>
      <c r="AF61" s="417">
        <v>0</v>
      </c>
      <c r="AG61" s="231">
        <v>139246.76999999999</v>
      </c>
      <c r="AH61" s="231">
        <v>0</v>
      </c>
      <c r="AI61" s="231">
        <v>136158.69</v>
      </c>
      <c r="AJ61" s="231">
        <v>0</v>
      </c>
      <c r="AK61" s="231">
        <v>138175.86000000002</v>
      </c>
      <c r="AL61" s="231">
        <v>0</v>
      </c>
      <c r="AM61" s="231">
        <v>146817.12999999998</v>
      </c>
      <c r="AN61" s="414">
        <f t="shared" si="91"/>
        <v>560398.44999999995</v>
      </c>
      <c r="AO61" s="415">
        <f t="shared" si="92"/>
        <v>674718.86</v>
      </c>
      <c r="AP61" s="933">
        <v>39</v>
      </c>
      <c r="AQ61" s="231">
        <v>126977.44</v>
      </c>
      <c r="AR61" s="231">
        <v>529131.77</v>
      </c>
      <c r="AS61" s="231">
        <v>132621.12</v>
      </c>
      <c r="AT61" s="231">
        <v>542689.60000000009</v>
      </c>
      <c r="AU61" s="231">
        <v>146360.51999999999</v>
      </c>
      <c r="AV61" s="231">
        <v>586820.17000000004</v>
      </c>
      <c r="AW61" s="231">
        <v>133875.14000000001</v>
      </c>
      <c r="AX61" s="231">
        <v>512811.72</v>
      </c>
      <c r="AY61" s="412">
        <f t="shared" si="93"/>
        <v>2711287.4800000004</v>
      </c>
      <c r="AZ61" s="417">
        <v>0</v>
      </c>
      <c r="BA61" s="231">
        <v>2306235.6700000004</v>
      </c>
      <c r="BB61" s="231">
        <v>0</v>
      </c>
      <c r="BC61" s="231">
        <v>2433995.0699999998</v>
      </c>
      <c r="BD61" s="231">
        <v>0</v>
      </c>
      <c r="BE61" s="231">
        <v>2598942.25</v>
      </c>
      <c r="BF61" s="231">
        <v>0</v>
      </c>
      <c r="BG61" s="231">
        <v>2862730.15</v>
      </c>
      <c r="BH61" s="414">
        <f t="shared" si="94"/>
        <v>10201903.140000001</v>
      </c>
      <c r="BI61" s="415">
        <f t="shared" si="95"/>
        <v>12913190.620000001</v>
      </c>
      <c r="BJ61" s="933">
        <v>39</v>
      </c>
      <c r="BK61" s="231">
        <v>1277.92</v>
      </c>
      <c r="BL61" s="231">
        <v>22934.82</v>
      </c>
      <c r="BM61" s="231">
        <v>1370.4299999999998</v>
      </c>
      <c r="BN61" s="231">
        <v>22457.620000000003</v>
      </c>
      <c r="BO61" s="231">
        <v>1625.86</v>
      </c>
      <c r="BP61" s="231">
        <v>24026.67</v>
      </c>
      <c r="BQ61" s="231">
        <v>1723.6</v>
      </c>
      <c r="BR61" s="231">
        <v>22098.22</v>
      </c>
      <c r="BS61" s="412">
        <f t="shared" si="96"/>
        <v>97515.140000000014</v>
      </c>
      <c r="BT61" s="417">
        <v>0</v>
      </c>
      <c r="BU61" s="231">
        <v>81592.12999999999</v>
      </c>
      <c r="BV61" s="231">
        <v>0</v>
      </c>
      <c r="BW61" s="231">
        <v>83584.09</v>
      </c>
      <c r="BX61" s="231">
        <v>0</v>
      </c>
      <c r="BY61" s="231">
        <v>89759.82</v>
      </c>
      <c r="BZ61" s="231">
        <v>0</v>
      </c>
      <c r="CA61" s="231">
        <v>100277.79000000001</v>
      </c>
      <c r="CB61" s="414">
        <f t="shared" si="97"/>
        <v>355213.82999999996</v>
      </c>
      <c r="CC61" s="415">
        <f t="shared" si="98"/>
        <v>452728.97</v>
      </c>
      <c r="CD61" s="933">
        <v>39</v>
      </c>
      <c r="CE61" s="414">
        <f t="shared" si="99"/>
        <v>900079.15</v>
      </c>
      <c r="CF61" s="414">
        <f t="shared" si="100"/>
        <v>973323.55000000016</v>
      </c>
      <c r="CG61" s="414">
        <f t="shared" si="101"/>
        <v>1028192.4200000002</v>
      </c>
      <c r="CH61" s="414">
        <f t="shared" si="102"/>
        <v>869646.44</v>
      </c>
      <c r="CI61" s="416">
        <f t="shared" si="103"/>
        <v>3771241.560000001</v>
      </c>
      <c r="CJ61" s="414">
        <f t="shared" si="104"/>
        <v>3236385.7100000004</v>
      </c>
      <c r="CK61" s="414">
        <f t="shared" si="105"/>
        <v>3600538.96</v>
      </c>
      <c r="CL61" s="414">
        <f t="shared" si="106"/>
        <v>3725570.65</v>
      </c>
      <c r="CM61" s="414">
        <f t="shared" si="107"/>
        <v>3943174.4299999997</v>
      </c>
      <c r="CN61" s="416">
        <f t="shared" si="108"/>
        <v>14505669.75</v>
      </c>
      <c r="CO61" s="414">
        <f t="shared" si="109"/>
        <v>4136464.86</v>
      </c>
      <c r="CP61" s="414">
        <f t="shared" si="110"/>
        <v>4573862.51</v>
      </c>
      <c r="CQ61" s="414">
        <f t="shared" si="111"/>
        <v>4753763.07</v>
      </c>
      <c r="CR61" s="414">
        <f t="shared" si="112"/>
        <v>4812820.8699999992</v>
      </c>
      <c r="CS61" s="416">
        <f t="shared" si="113"/>
        <v>18276911.310000002</v>
      </c>
    </row>
    <row r="62" spans="1:97" ht="15.75" customHeight="1">
      <c r="A62" s="88" t="s">
        <v>227</v>
      </c>
      <c r="B62" s="933">
        <v>40</v>
      </c>
      <c r="C62" s="231"/>
      <c r="D62" s="231"/>
      <c r="E62" s="231"/>
      <c r="F62" s="231"/>
      <c r="G62" s="231"/>
      <c r="H62" s="231"/>
      <c r="I62" s="231"/>
      <c r="J62" s="231"/>
      <c r="K62" s="412">
        <f t="shared" si="87"/>
        <v>0</v>
      </c>
      <c r="L62" s="417"/>
      <c r="M62" s="231"/>
      <c r="N62" s="231"/>
      <c r="O62" s="231"/>
      <c r="P62" s="231"/>
      <c r="Q62" s="231"/>
      <c r="R62" s="231"/>
      <c r="S62" s="231"/>
      <c r="T62" s="414">
        <f t="shared" si="88"/>
        <v>0</v>
      </c>
      <c r="U62" s="415">
        <f t="shared" si="89"/>
        <v>0</v>
      </c>
      <c r="V62" s="933">
        <v>40</v>
      </c>
      <c r="W62" s="231"/>
      <c r="X62" s="231"/>
      <c r="Y62" s="231"/>
      <c r="Z62" s="231"/>
      <c r="AA62" s="231"/>
      <c r="AB62" s="231"/>
      <c r="AC62" s="231"/>
      <c r="AD62" s="231"/>
      <c r="AE62" s="412">
        <f t="shared" si="90"/>
        <v>0</v>
      </c>
      <c r="AF62" s="417"/>
      <c r="AG62" s="231"/>
      <c r="AH62" s="231"/>
      <c r="AI62" s="231"/>
      <c r="AJ62" s="231"/>
      <c r="AK62" s="231"/>
      <c r="AL62" s="231"/>
      <c r="AM62" s="231"/>
      <c r="AN62" s="414">
        <f t="shared" si="91"/>
        <v>0</v>
      </c>
      <c r="AO62" s="415">
        <f t="shared" si="92"/>
        <v>0</v>
      </c>
      <c r="AP62" s="933">
        <v>40</v>
      </c>
      <c r="AQ62" s="231"/>
      <c r="AR62" s="231"/>
      <c r="AS62" s="231"/>
      <c r="AT62" s="231"/>
      <c r="AU62" s="231"/>
      <c r="AV62" s="231"/>
      <c r="AW62" s="231"/>
      <c r="AX62" s="231"/>
      <c r="AY62" s="412">
        <f t="shared" si="93"/>
        <v>0</v>
      </c>
      <c r="AZ62" s="417"/>
      <c r="BA62" s="231"/>
      <c r="BB62" s="231"/>
      <c r="BC62" s="231"/>
      <c r="BD62" s="231"/>
      <c r="BE62" s="231"/>
      <c r="BF62" s="231"/>
      <c r="BG62" s="231"/>
      <c r="BH62" s="414">
        <f t="shared" si="94"/>
        <v>0</v>
      </c>
      <c r="BI62" s="415">
        <f t="shared" si="95"/>
        <v>0</v>
      </c>
      <c r="BJ62" s="933">
        <v>40</v>
      </c>
      <c r="BK62" s="231"/>
      <c r="BL62" s="231"/>
      <c r="BM62" s="231"/>
      <c r="BN62" s="231"/>
      <c r="BO62" s="231"/>
      <c r="BP62" s="231"/>
      <c r="BQ62" s="231"/>
      <c r="BR62" s="231"/>
      <c r="BS62" s="412">
        <f t="shared" si="96"/>
        <v>0</v>
      </c>
      <c r="BT62" s="417"/>
      <c r="BU62" s="231"/>
      <c r="BV62" s="231"/>
      <c r="BW62" s="231"/>
      <c r="BX62" s="231"/>
      <c r="BY62" s="231"/>
      <c r="BZ62" s="231"/>
      <c r="CA62" s="231"/>
      <c r="CB62" s="414">
        <f t="shared" si="97"/>
        <v>0</v>
      </c>
      <c r="CC62" s="415">
        <f t="shared" si="98"/>
        <v>0</v>
      </c>
      <c r="CD62" s="933">
        <v>40</v>
      </c>
      <c r="CE62" s="414">
        <f t="shared" si="99"/>
        <v>0</v>
      </c>
      <c r="CF62" s="414">
        <f t="shared" si="100"/>
        <v>0</v>
      </c>
      <c r="CG62" s="414">
        <f t="shared" si="101"/>
        <v>0</v>
      </c>
      <c r="CH62" s="414">
        <f t="shared" si="102"/>
        <v>0</v>
      </c>
      <c r="CI62" s="416">
        <f t="shared" si="103"/>
        <v>0</v>
      </c>
      <c r="CJ62" s="414">
        <f t="shared" si="104"/>
        <v>0</v>
      </c>
      <c r="CK62" s="414">
        <f t="shared" si="105"/>
        <v>0</v>
      </c>
      <c r="CL62" s="414">
        <f t="shared" si="106"/>
        <v>0</v>
      </c>
      <c r="CM62" s="414">
        <f t="shared" si="107"/>
        <v>0</v>
      </c>
      <c r="CN62" s="416">
        <f t="shared" si="108"/>
        <v>0</v>
      </c>
      <c r="CO62" s="414">
        <f t="shared" si="109"/>
        <v>0</v>
      </c>
      <c r="CP62" s="414">
        <f t="shared" si="110"/>
        <v>0</v>
      </c>
      <c r="CQ62" s="414">
        <f t="shared" si="111"/>
        <v>0</v>
      </c>
      <c r="CR62" s="414">
        <f t="shared" si="112"/>
        <v>0</v>
      </c>
      <c r="CS62" s="416">
        <f t="shared" si="113"/>
        <v>0</v>
      </c>
    </row>
    <row r="63" spans="1:97" ht="15.75" customHeight="1">
      <c r="A63" s="88" t="s">
        <v>229</v>
      </c>
      <c r="B63" s="933">
        <v>41</v>
      </c>
      <c r="C63" s="231"/>
      <c r="D63" s="231"/>
      <c r="E63" s="231"/>
      <c r="F63" s="231"/>
      <c r="G63" s="231"/>
      <c r="H63" s="231"/>
      <c r="I63" s="231"/>
      <c r="J63" s="231"/>
      <c r="K63" s="412">
        <f t="shared" si="87"/>
        <v>0</v>
      </c>
      <c r="L63" s="417"/>
      <c r="M63" s="231"/>
      <c r="N63" s="231"/>
      <c r="O63" s="231"/>
      <c r="P63" s="231"/>
      <c r="Q63" s="231"/>
      <c r="R63" s="231"/>
      <c r="S63" s="231"/>
      <c r="T63" s="414">
        <f t="shared" si="88"/>
        <v>0</v>
      </c>
      <c r="U63" s="415">
        <f t="shared" si="89"/>
        <v>0</v>
      </c>
      <c r="V63" s="933">
        <v>41</v>
      </c>
      <c r="W63" s="231"/>
      <c r="X63" s="231"/>
      <c r="Y63" s="231"/>
      <c r="Z63" s="231"/>
      <c r="AA63" s="231"/>
      <c r="AB63" s="231"/>
      <c r="AC63" s="231"/>
      <c r="AD63" s="231"/>
      <c r="AE63" s="412">
        <f t="shared" si="90"/>
        <v>0</v>
      </c>
      <c r="AF63" s="417"/>
      <c r="AG63" s="231"/>
      <c r="AH63" s="231"/>
      <c r="AI63" s="231"/>
      <c r="AJ63" s="231"/>
      <c r="AK63" s="231"/>
      <c r="AL63" s="231"/>
      <c r="AM63" s="231"/>
      <c r="AN63" s="414">
        <f t="shared" si="91"/>
        <v>0</v>
      </c>
      <c r="AO63" s="415">
        <f t="shared" si="92"/>
        <v>0</v>
      </c>
      <c r="AP63" s="933">
        <v>41</v>
      </c>
      <c r="AQ63" s="231"/>
      <c r="AR63" s="231"/>
      <c r="AS63" s="231"/>
      <c r="AT63" s="231"/>
      <c r="AU63" s="231"/>
      <c r="AV63" s="231"/>
      <c r="AW63" s="231"/>
      <c r="AX63" s="231"/>
      <c r="AY63" s="412">
        <f t="shared" si="93"/>
        <v>0</v>
      </c>
      <c r="AZ63" s="417"/>
      <c r="BA63" s="231"/>
      <c r="BB63" s="231"/>
      <c r="BC63" s="231"/>
      <c r="BD63" s="231"/>
      <c r="BE63" s="231"/>
      <c r="BF63" s="231"/>
      <c r="BG63" s="231"/>
      <c r="BH63" s="414">
        <f t="shared" si="94"/>
        <v>0</v>
      </c>
      <c r="BI63" s="415">
        <f t="shared" si="95"/>
        <v>0</v>
      </c>
      <c r="BJ63" s="933">
        <v>41</v>
      </c>
      <c r="BK63" s="231"/>
      <c r="BL63" s="231"/>
      <c r="BM63" s="231"/>
      <c r="BN63" s="231"/>
      <c r="BO63" s="231"/>
      <c r="BP63" s="231"/>
      <c r="BQ63" s="231"/>
      <c r="BR63" s="231"/>
      <c r="BS63" s="412">
        <f t="shared" si="96"/>
        <v>0</v>
      </c>
      <c r="BT63" s="417"/>
      <c r="BU63" s="231"/>
      <c r="BV63" s="231"/>
      <c r="BW63" s="231"/>
      <c r="BX63" s="231"/>
      <c r="BY63" s="231"/>
      <c r="BZ63" s="231"/>
      <c r="CA63" s="231"/>
      <c r="CB63" s="414">
        <f t="shared" si="97"/>
        <v>0</v>
      </c>
      <c r="CC63" s="415">
        <f t="shared" si="98"/>
        <v>0</v>
      </c>
      <c r="CD63" s="933">
        <v>41</v>
      </c>
      <c r="CE63" s="414">
        <f t="shared" si="99"/>
        <v>0</v>
      </c>
      <c r="CF63" s="414">
        <f t="shared" si="100"/>
        <v>0</v>
      </c>
      <c r="CG63" s="414">
        <f t="shared" si="101"/>
        <v>0</v>
      </c>
      <c r="CH63" s="414">
        <f t="shared" si="102"/>
        <v>0</v>
      </c>
      <c r="CI63" s="416">
        <f t="shared" si="103"/>
        <v>0</v>
      </c>
      <c r="CJ63" s="414">
        <f t="shared" si="104"/>
        <v>0</v>
      </c>
      <c r="CK63" s="414">
        <f t="shared" si="105"/>
        <v>0</v>
      </c>
      <c r="CL63" s="414">
        <f t="shared" si="106"/>
        <v>0</v>
      </c>
      <c r="CM63" s="414">
        <f t="shared" si="107"/>
        <v>0</v>
      </c>
      <c r="CN63" s="416">
        <f t="shared" si="108"/>
        <v>0</v>
      </c>
      <c r="CO63" s="414">
        <f t="shared" si="109"/>
        <v>0</v>
      </c>
      <c r="CP63" s="414">
        <f t="shared" si="110"/>
        <v>0</v>
      </c>
      <c r="CQ63" s="414">
        <f t="shared" si="111"/>
        <v>0</v>
      </c>
      <c r="CR63" s="414">
        <f t="shared" si="112"/>
        <v>0</v>
      </c>
      <c r="CS63" s="416">
        <f t="shared" si="113"/>
        <v>0</v>
      </c>
    </row>
    <row r="64" spans="1:97" ht="15.75" customHeight="1">
      <c r="A64" s="932" t="s">
        <v>231</v>
      </c>
      <c r="B64" s="933">
        <v>42</v>
      </c>
      <c r="C64" s="231"/>
      <c r="D64" s="231"/>
      <c r="E64" s="231"/>
      <c r="F64" s="231"/>
      <c r="G64" s="231"/>
      <c r="H64" s="231"/>
      <c r="I64" s="231"/>
      <c r="J64" s="231"/>
      <c r="K64" s="412">
        <f t="shared" si="87"/>
        <v>0</v>
      </c>
      <c r="L64" s="417"/>
      <c r="M64" s="231"/>
      <c r="N64" s="231"/>
      <c r="O64" s="231"/>
      <c r="P64" s="231"/>
      <c r="Q64" s="231"/>
      <c r="R64" s="231"/>
      <c r="S64" s="231"/>
      <c r="T64" s="414">
        <f t="shared" si="88"/>
        <v>0</v>
      </c>
      <c r="U64" s="415">
        <f t="shared" si="89"/>
        <v>0</v>
      </c>
      <c r="V64" s="933">
        <v>42</v>
      </c>
      <c r="W64" s="231"/>
      <c r="X64" s="231"/>
      <c r="Y64" s="231"/>
      <c r="Z64" s="231"/>
      <c r="AA64" s="231"/>
      <c r="AB64" s="231"/>
      <c r="AC64" s="231"/>
      <c r="AD64" s="231"/>
      <c r="AE64" s="412">
        <f t="shared" si="90"/>
        <v>0</v>
      </c>
      <c r="AF64" s="417"/>
      <c r="AG64" s="231"/>
      <c r="AH64" s="231"/>
      <c r="AI64" s="231"/>
      <c r="AJ64" s="231"/>
      <c r="AK64" s="231"/>
      <c r="AL64" s="231"/>
      <c r="AM64" s="231"/>
      <c r="AN64" s="414">
        <f t="shared" si="91"/>
        <v>0</v>
      </c>
      <c r="AO64" s="415">
        <f t="shared" si="92"/>
        <v>0</v>
      </c>
      <c r="AP64" s="933">
        <v>42</v>
      </c>
      <c r="AQ64" s="231"/>
      <c r="AR64" s="231"/>
      <c r="AS64" s="231"/>
      <c r="AT64" s="231"/>
      <c r="AU64" s="231"/>
      <c r="AV64" s="231"/>
      <c r="AW64" s="231"/>
      <c r="AX64" s="231"/>
      <c r="AY64" s="412">
        <f t="shared" si="93"/>
        <v>0</v>
      </c>
      <c r="AZ64" s="417"/>
      <c r="BA64" s="231"/>
      <c r="BB64" s="231"/>
      <c r="BC64" s="231"/>
      <c r="BD64" s="231"/>
      <c r="BE64" s="231"/>
      <c r="BF64" s="231"/>
      <c r="BG64" s="231"/>
      <c r="BH64" s="414">
        <f t="shared" si="94"/>
        <v>0</v>
      </c>
      <c r="BI64" s="415">
        <f t="shared" si="95"/>
        <v>0</v>
      </c>
      <c r="BJ64" s="933">
        <v>42</v>
      </c>
      <c r="BK64" s="231"/>
      <c r="BL64" s="231"/>
      <c r="BM64" s="231"/>
      <c r="BN64" s="231"/>
      <c r="BO64" s="231"/>
      <c r="BP64" s="231"/>
      <c r="BQ64" s="231"/>
      <c r="BR64" s="231"/>
      <c r="BS64" s="412">
        <f t="shared" si="96"/>
        <v>0</v>
      </c>
      <c r="BT64" s="417"/>
      <c r="BU64" s="231"/>
      <c r="BV64" s="231"/>
      <c r="BW64" s="231"/>
      <c r="BX64" s="231"/>
      <c r="BY64" s="231"/>
      <c r="BZ64" s="231"/>
      <c r="CA64" s="231"/>
      <c r="CB64" s="414">
        <f t="shared" si="97"/>
        <v>0</v>
      </c>
      <c r="CC64" s="415">
        <f t="shared" si="98"/>
        <v>0</v>
      </c>
      <c r="CD64" s="933">
        <v>42</v>
      </c>
      <c r="CE64" s="414">
        <f t="shared" si="99"/>
        <v>0</v>
      </c>
      <c r="CF64" s="414">
        <f t="shared" si="100"/>
        <v>0</v>
      </c>
      <c r="CG64" s="414">
        <f t="shared" si="101"/>
        <v>0</v>
      </c>
      <c r="CH64" s="414">
        <f t="shared" si="102"/>
        <v>0</v>
      </c>
      <c r="CI64" s="416">
        <f t="shared" si="103"/>
        <v>0</v>
      </c>
      <c r="CJ64" s="414">
        <f t="shared" si="104"/>
        <v>0</v>
      </c>
      <c r="CK64" s="414">
        <f t="shared" si="105"/>
        <v>0</v>
      </c>
      <c r="CL64" s="414">
        <f t="shared" si="106"/>
        <v>0</v>
      </c>
      <c r="CM64" s="414">
        <f t="shared" si="107"/>
        <v>0</v>
      </c>
      <c r="CN64" s="416">
        <f t="shared" si="108"/>
        <v>0</v>
      </c>
      <c r="CO64" s="414">
        <f t="shared" si="109"/>
        <v>0</v>
      </c>
      <c r="CP64" s="414">
        <f t="shared" si="110"/>
        <v>0</v>
      </c>
      <c r="CQ64" s="414">
        <f t="shared" si="111"/>
        <v>0</v>
      </c>
      <c r="CR64" s="414">
        <f t="shared" si="112"/>
        <v>0</v>
      </c>
      <c r="CS64" s="416">
        <f t="shared" si="113"/>
        <v>0</v>
      </c>
    </row>
    <row r="65" spans="1:131" ht="15.75" customHeight="1">
      <c r="A65" s="88"/>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31" s="14" customFormat="1" ht="15.75" customHeight="1">
      <c r="A66" s="16" t="s">
        <v>233</v>
      </c>
      <c r="B66" s="933">
        <v>43</v>
      </c>
      <c r="C66" s="216">
        <f>SUM(C35:C64)-C44-C46</f>
        <v>1370273.9225392868</v>
      </c>
      <c r="D66" s="216">
        <f t="shared" ref="D66:U66" si="138">SUM(D35:D64)-D44-D46</f>
        <v>3168575.4466071678</v>
      </c>
      <c r="E66" s="216">
        <f t="shared" si="138"/>
        <v>2573357.3804955911</v>
      </c>
      <c r="F66" s="216">
        <f t="shared" si="138"/>
        <v>5230044.6830473607</v>
      </c>
      <c r="G66" s="216">
        <f t="shared" si="138"/>
        <v>2423744.3050296353</v>
      </c>
      <c r="H66" s="216">
        <f t="shared" si="138"/>
        <v>4798834.2941578627</v>
      </c>
      <c r="I66" s="216">
        <f t="shared" si="138"/>
        <v>1903987.8655965629</v>
      </c>
      <c r="J66" s="216">
        <f t="shared" si="138"/>
        <v>3187109.6250411835</v>
      </c>
      <c r="K66" s="221">
        <f t="shared" si="138"/>
        <v>24655927.52251466</v>
      </c>
      <c r="L66" s="218">
        <f t="shared" si="138"/>
        <v>0</v>
      </c>
      <c r="M66" s="218">
        <f t="shared" si="138"/>
        <v>4159141.9666810604</v>
      </c>
      <c r="N66" s="218">
        <f t="shared" si="138"/>
        <v>0</v>
      </c>
      <c r="O66" s="218">
        <f t="shared" si="138"/>
        <v>8301371.7226665784</v>
      </c>
      <c r="P66" s="218">
        <f t="shared" si="138"/>
        <v>0</v>
      </c>
      <c r="Q66" s="218">
        <f t="shared" si="138"/>
        <v>7178615.944561352</v>
      </c>
      <c r="R66" s="218">
        <f t="shared" si="138"/>
        <v>0</v>
      </c>
      <c r="S66" s="218">
        <f t="shared" si="138"/>
        <v>6627201.5076448871</v>
      </c>
      <c r="T66" s="219">
        <f t="shared" si="138"/>
        <v>26266331.141553879</v>
      </c>
      <c r="U66" s="218">
        <f t="shared" si="138"/>
        <v>50922258.664068542</v>
      </c>
      <c r="V66" s="933">
        <v>43</v>
      </c>
      <c r="W66" s="216">
        <f>SUM(W35:W64)-W44-W46</f>
        <v>174154.96072457716</v>
      </c>
      <c r="X66" s="216">
        <f t="shared" ref="X66:AO66" si="139">SUM(X35:X64)-X44-X46</f>
        <v>630028.23817226023</v>
      </c>
      <c r="Y66" s="216">
        <f t="shared" si="139"/>
        <v>102925.01075510558</v>
      </c>
      <c r="Z66" s="216">
        <f t="shared" si="139"/>
        <v>474319.10732975125</v>
      </c>
      <c r="AA66" s="216">
        <f t="shared" si="139"/>
        <v>121726.12154835727</v>
      </c>
      <c r="AB66" s="216">
        <f t="shared" si="139"/>
        <v>505116.82503142837</v>
      </c>
      <c r="AC66" s="216">
        <f t="shared" si="139"/>
        <v>213496.43896417788</v>
      </c>
      <c r="AD66" s="216">
        <f t="shared" si="139"/>
        <v>364265.46522077621</v>
      </c>
      <c r="AE66" s="221">
        <f t="shared" si="139"/>
        <v>2586032.1677464345</v>
      </c>
      <c r="AF66" s="218">
        <f t="shared" si="139"/>
        <v>0</v>
      </c>
      <c r="AG66" s="218">
        <f t="shared" si="139"/>
        <v>1498141.1308195773</v>
      </c>
      <c r="AH66" s="218">
        <f t="shared" si="139"/>
        <v>0</v>
      </c>
      <c r="AI66" s="218">
        <f t="shared" si="139"/>
        <v>1385911.03154629</v>
      </c>
      <c r="AJ66" s="218">
        <f t="shared" si="139"/>
        <v>0</v>
      </c>
      <c r="AK66" s="218">
        <f t="shared" si="139"/>
        <v>1386013.6273756733</v>
      </c>
      <c r="AL66" s="218">
        <f t="shared" si="139"/>
        <v>0</v>
      </c>
      <c r="AM66" s="218">
        <f t="shared" si="139"/>
        <v>1681329.2939981371</v>
      </c>
      <c r="AN66" s="219">
        <f t="shared" si="139"/>
        <v>5951395.0837396774</v>
      </c>
      <c r="AO66" s="218">
        <f t="shared" si="139"/>
        <v>8537427.2514861114</v>
      </c>
      <c r="AP66" s="933">
        <v>43</v>
      </c>
      <c r="AQ66" s="216">
        <f>SUM(AQ35:AQ64)-AQ44-AQ46</f>
        <v>17845679.060782179</v>
      </c>
      <c r="AR66" s="216">
        <f t="shared" ref="AR66:BI66" si="140">SUM(AR35:AR64)-AR44-AR46</f>
        <v>39323857.522298805</v>
      </c>
      <c r="AS66" s="216">
        <f t="shared" si="140"/>
        <v>17095845.429010171</v>
      </c>
      <c r="AT66" s="216">
        <f t="shared" si="140"/>
        <v>37901655.446144015</v>
      </c>
      <c r="AU66" s="216">
        <f t="shared" si="140"/>
        <v>19048720.191013336</v>
      </c>
      <c r="AV66" s="216">
        <f t="shared" si="140"/>
        <v>42063289.13625861</v>
      </c>
      <c r="AW66" s="216">
        <f t="shared" si="140"/>
        <v>22740728.614510674</v>
      </c>
      <c r="AX66" s="216">
        <f t="shared" si="140"/>
        <v>44792531.175561257</v>
      </c>
      <c r="AY66" s="221">
        <f t="shared" si="140"/>
        <v>240812306.57557905</v>
      </c>
      <c r="AZ66" s="218">
        <f t="shared" si="140"/>
        <v>0</v>
      </c>
      <c r="BA66" s="218">
        <f t="shared" si="140"/>
        <v>30527982.348867167</v>
      </c>
      <c r="BB66" s="218">
        <f t="shared" si="140"/>
        <v>0</v>
      </c>
      <c r="BC66" s="218">
        <f t="shared" si="140"/>
        <v>31299444.528029788</v>
      </c>
      <c r="BD66" s="218">
        <f t="shared" si="140"/>
        <v>0</v>
      </c>
      <c r="BE66" s="218">
        <f t="shared" si="140"/>
        <v>33373770.901371658</v>
      </c>
      <c r="BF66" s="218">
        <f t="shared" si="140"/>
        <v>0</v>
      </c>
      <c r="BG66" s="218">
        <f t="shared" si="140"/>
        <v>38037006.897401877</v>
      </c>
      <c r="BH66" s="219">
        <f t="shared" si="140"/>
        <v>133238204.67567053</v>
      </c>
      <c r="BI66" s="218">
        <f t="shared" si="140"/>
        <v>374050511.25124943</v>
      </c>
      <c r="BJ66" s="933">
        <v>43</v>
      </c>
      <c r="BK66" s="216">
        <f>SUM(BK35:BK64)-BK44-BK46</f>
        <v>547520.47571355966</v>
      </c>
      <c r="BL66" s="216">
        <f t="shared" ref="BL66:CR66" si="141">SUM(BL35:BL64)-BL44-BL46</f>
        <v>4530579.854406151</v>
      </c>
      <c r="BM66" s="216">
        <f t="shared" si="141"/>
        <v>451780.82730164111</v>
      </c>
      <c r="BN66" s="216">
        <f t="shared" si="141"/>
        <v>3536190.5572217894</v>
      </c>
      <c r="BO66" s="216">
        <f t="shared" si="141"/>
        <v>469594.39425623731</v>
      </c>
      <c r="BP66" s="216">
        <f t="shared" si="141"/>
        <v>3939239.5926336208</v>
      </c>
      <c r="BQ66" s="216">
        <f t="shared" si="141"/>
        <v>617693.26455855928</v>
      </c>
      <c r="BR66" s="216">
        <f t="shared" si="141"/>
        <v>4008227.2278603762</v>
      </c>
      <c r="BS66" s="221">
        <f t="shared" si="141"/>
        <v>18100826.193951931</v>
      </c>
      <c r="BT66" s="218">
        <f t="shared" si="141"/>
        <v>0</v>
      </c>
      <c r="BU66" s="218">
        <f t="shared" si="141"/>
        <v>1564596.8469750269</v>
      </c>
      <c r="BV66" s="218">
        <f t="shared" si="141"/>
        <v>0</v>
      </c>
      <c r="BW66" s="218">
        <f t="shared" si="141"/>
        <v>2237288.7233308875</v>
      </c>
      <c r="BX66" s="218">
        <f t="shared" si="141"/>
        <v>0</v>
      </c>
      <c r="BY66" s="218">
        <f t="shared" si="141"/>
        <v>1981537.4998801858</v>
      </c>
      <c r="BZ66" s="218">
        <f t="shared" si="141"/>
        <v>0</v>
      </c>
      <c r="CA66" s="218">
        <f t="shared" si="141"/>
        <v>2037805.6237345808</v>
      </c>
      <c r="CB66" s="219">
        <f t="shared" si="141"/>
        <v>7821228.6939206831</v>
      </c>
      <c r="CC66" s="218">
        <f t="shared" si="141"/>
        <v>25922054.887872618</v>
      </c>
      <c r="CD66" s="933">
        <v>43</v>
      </c>
      <c r="CE66" s="219">
        <f t="shared" ref="CE66:CH66" si="142">SUM(CE35:CE64)-CE44-CE46</f>
        <v>67590669.481243998</v>
      </c>
      <c r="CF66" s="219">
        <f t="shared" si="142"/>
        <v>67366118.441305429</v>
      </c>
      <c r="CG66" s="219">
        <f t="shared" si="142"/>
        <v>73370264.859929115</v>
      </c>
      <c r="CH66" s="219">
        <f t="shared" si="142"/>
        <v>77828039.677313551</v>
      </c>
      <c r="CI66" s="216">
        <f>SUM(BS66,AY66,AE66,K66)</f>
        <v>286155092.45979208</v>
      </c>
      <c r="CJ66" s="219">
        <f t="shared" ref="CJ66:CM66" si="143">SUM(CJ35:CJ64)-CJ44-CJ46</f>
        <v>37749862.293342836</v>
      </c>
      <c r="CK66" s="219">
        <f t="shared" si="143"/>
        <v>43224016.005573556</v>
      </c>
      <c r="CL66" s="219">
        <f t="shared" si="143"/>
        <v>43919937.973188862</v>
      </c>
      <c r="CM66" s="219">
        <f t="shared" si="143"/>
        <v>48383343.322779469</v>
      </c>
      <c r="CN66" s="216">
        <f>SUM(BX66,BD66,AJ66,P66)</f>
        <v>0</v>
      </c>
      <c r="CO66" s="219">
        <f t="shared" si="141"/>
        <v>105340531.77458683</v>
      </c>
      <c r="CP66" s="219">
        <f t="shared" si="141"/>
        <v>110590134.44687897</v>
      </c>
      <c r="CQ66" s="219">
        <f t="shared" si="141"/>
        <v>117290202.83311796</v>
      </c>
      <c r="CR66" s="219">
        <f t="shared" si="141"/>
        <v>126211383.00009303</v>
      </c>
      <c r="CS66" s="216">
        <f>SUM(CC66,BI66,AO66,U66)</f>
        <v>459432252.05467671</v>
      </c>
      <c r="CT66" s="318"/>
      <c r="CU66" s="318"/>
      <c r="CV66" s="318"/>
      <c r="CW66" s="318"/>
      <c r="CX66" s="318"/>
      <c r="CY66" s="318"/>
      <c r="CZ66" s="318"/>
      <c r="DA66" s="318"/>
      <c r="DB66" s="318"/>
      <c r="DC66" s="318"/>
      <c r="DD66" s="318"/>
      <c r="DE66" s="318"/>
      <c r="DF66" s="318"/>
      <c r="DG66" s="318"/>
      <c r="DH66" s="318"/>
      <c r="DI66" s="318"/>
      <c r="DJ66" s="318"/>
      <c r="DK66" s="318"/>
      <c r="DL66" s="318"/>
      <c r="DM66" s="318"/>
      <c r="DN66" s="318"/>
      <c r="DO66" s="318"/>
      <c r="DP66" s="318"/>
      <c r="DQ66" s="318"/>
      <c r="DR66" s="318"/>
      <c r="DS66" s="318"/>
      <c r="DT66" s="318"/>
      <c r="DU66" s="318"/>
      <c r="DV66" s="318"/>
      <c r="DW66" s="318"/>
      <c r="DX66" s="318"/>
      <c r="DY66" s="318"/>
      <c r="DZ66" s="318"/>
      <c r="EA66" s="318"/>
    </row>
    <row r="67" spans="1:131" ht="15.75" customHeight="1">
      <c r="B67" s="933"/>
      <c r="C67" s="178"/>
      <c r="D67" s="178"/>
      <c r="E67" s="178"/>
      <c r="F67" s="178"/>
      <c r="G67" s="178"/>
      <c r="H67" s="178"/>
      <c r="I67" s="178"/>
      <c r="J67" s="178"/>
      <c r="K67" s="381"/>
      <c r="L67" s="382"/>
      <c r="M67" s="178"/>
      <c r="N67" s="178"/>
      <c r="O67" s="178"/>
      <c r="P67" s="178"/>
      <c r="Q67" s="178"/>
      <c r="R67" s="178"/>
      <c r="S67" s="178"/>
      <c r="T67" s="178"/>
      <c r="U67" s="383"/>
      <c r="V67" s="933"/>
      <c r="W67" s="178"/>
      <c r="X67" s="178"/>
      <c r="Y67" s="178"/>
      <c r="Z67" s="178"/>
      <c r="AA67" s="178"/>
      <c r="AB67" s="178"/>
      <c r="AC67" s="178"/>
      <c r="AD67" s="178"/>
      <c r="AE67" s="381"/>
      <c r="AF67" s="382"/>
      <c r="AG67" s="178"/>
      <c r="AH67" s="178"/>
      <c r="AI67" s="178"/>
      <c r="AJ67" s="178"/>
      <c r="AK67" s="178"/>
      <c r="AL67" s="178"/>
      <c r="AM67" s="178"/>
      <c r="AN67" s="178"/>
      <c r="AO67" s="383"/>
      <c r="AP67" s="933"/>
      <c r="AQ67" s="178"/>
      <c r="AR67" s="178"/>
      <c r="AS67" s="178"/>
      <c r="AT67" s="178"/>
      <c r="AU67" s="178"/>
      <c r="AV67" s="178"/>
      <c r="AW67" s="178"/>
      <c r="AX67" s="178"/>
      <c r="AY67" s="381"/>
      <c r="AZ67" s="382"/>
      <c r="BA67" s="178"/>
      <c r="BB67" s="178"/>
      <c r="BC67" s="178"/>
      <c r="BD67" s="178"/>
      <c r="BE67" s="178"/>
      <c r="BF67" s="178"/>
      <c r="BG67" s="178"/>
      <c r="BH67" s="178"/>
      <c r="BI67" s="383"/>
      <c r="BJ67" s="933"/>
      <c r="BK67" s="178"/>
      <c r="BL67" s="178"/>
      <c r="BM67" s="178"/>
      <c r="BN67" s="178"/>
      <c r="BO67" s="178"/>
      <c r="BP67" s="178"/>
      <c r="BQ67" s="178"/>
      <c r="BR67" s="178"/>
      <c r="BS67" s="381"/>
      <c r="BT67" s="382"/>
      <c r="BU67" s="178"/>
      <c r="BV67" s="178"/>
      <c r="BW67" s="178"/>
      <c r="BX67" s="178"/>
      <c r="BY67" s="178"/>
      <c r="BZ67" s="178"/>
      <c r="CA67" s="178"/>
      <c r="CB67" s="178"/>
      <c r="CC67" s="383"/>
      <c r="CD67" s="933"/>
      <c r="CE67" s="178"/>
      <c r="CF67" s="178"/>
      <c r="CG67" s="178"/>
      <c r="CH67" s="178"/>
      <c r="CI67" s="419"/>
      <c r="CJ67" s="178"/>
      <c r="CK67" s="178"/>
      <c r="CL67" s="178"/>
      <c r="CM67" s="178"/>
      <c r="CN67" s="419"/>
      <c r="CO67" s="178"/>
      <c r="CP67" s="178"/>
      <c r="CQ67" s="178"/>
      <c r="CR67" s="178"/>
      <c r="CS67" s="419"/>
    </row>
    <row r="68" spans="1:131" ht="15.75" customHeight="1">
      <c r="A68" s="16"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31" ht="15.75" customHeight="1">
      <c r="A69" s="88" t="s">
        <v>236</v>
      </c>
      <c r="B69" s="933">
        <v>44</v>
      </c>
      <c r="C69" s="420">
        <v>5642.7355861599626</v>
      </c>
      <c r="D69" s="420">
        <v>10708.185177147472</v>
      </c>
      <c r="E69" s="420">
        <v>5975.7703855630298</v>
      </c>
      <c r="F69" s="420">
        <v>11462.875296605902</v>
      </c>
      <c r="G69" s="420">
        <v>6004.0273378920301</v>
      </c>
      <c r="H69" s="420">
        <v>11856.770187392684</v>
      </c>
      <c r="I69" s="420">
        <v>5981.4663778506983</v>
      </c>
      <c r="J69" s="420">
        <v>11358.858646005798</v>
      </c>
      <c r="K69" s="412">
        <f>SUM(C69:J69)</f>
        <v>68990.68899461758</v>
      </c>
      <c r="L69" s="421">
        <v>0</v>
      </c>
      <c r="M69" s="420">
        <v>18514.646032636156</v>
      </c>
      <c r="N69" s="420">
        <v>0</v>
      </c>
      <c r="O69" s="420">
        <v>17841.732189427134</v>
      </c>
      <c r="P69" s="420">
        <v>0</v>
      </c>
      <c r="Q69" s="420">
        <v>19556.515674392031</v>
      </c>
      <c r="R69" s="420">
        <v>0</v>
      </c>
      <c r="S69" s="420">
        <v>18729.055939103528</v>
      </c>
      <c r="T69" s="414">
        <f>SUM(L69:S69)</f>
        <v>74641.949835558844</v>
      </c>
      <c r="U69" s="415">
        <f>SUM(T69,K69)</f>
        <v>143632.63883017644</v>
      </c>
      <c r="V69" s="933">
        <v>44</v>
      </c>
      <c r="W69" s="420">
        <v>862.92543867009954</v>
      </c>
      <c r="X69" s="420">
        <v>4878.0921648607437</v>
      </c>
      <c r="Y69" s="420">
        <v>926.42554302058363</v>
      </c>
      <c r="Z69" s="420">
        <v>4801.7492649092037</v>
      </c>
      <c r="AA69" s="420">
        <v>853.86837577792096</v>
      </c>
      <c r="AB69" s="420">
        <v>4848.3890830034061</v>
      </c>
      <c r="AC69" s="420">
        <v>867.09090156400168</v>
      </c>
      <c r="AD69" s="420">
        <v>4707.1230503351508</v>
      </c>
      <c r="AE69" s="412">
        <f>SUM(W69:AD69)</f>
        <v>22745.663822141112</v>
      </c>
      <c r="AF69" s="421">
        <v>0</v>
      </c>
      <c r="AG69" s="420">
        <v>5585.676146149468</v>
      </c>
      <c r="AH69" s="420">
        <v>0</v>
      </c>
      <c r="AI69" s="420">
        <v>4850.7125312049984</v>
      </c>
      <c r="AJ69" s="420">
        <v>0</v>
      </c>
      <c r="AK69" s="420">
        <v>5164.4627502022986</v>
      </c>
      <c r="AL69" s="420">
        <v>0</v>
      </c>
      <c r="AM69" s="420">
        <v>4909.176849455027</v>
      </c>
      <c r="AN69" s="414">
        <f>SUM(AF69:AM69)</f>
        <v>20510.028277011792</v>
      </c>
      <c r="AO69" s="415">
        <f>SUM(AN69,AE69)</f>
        <v>43255.692099152904</v>
      </c>
      <c r="AP69" s="933">
        <v>44</v>
      </c>
      <c r="AQ69" s="420">
        <v>93815.751055242174</v>
      </c>
      <c r="AR69" s="420">
        <v>211683.49062686012</v>
      </c>
      <c r="AS69" s="420">
        <v>103711.13801674248</v>
      </c>
      <c r="AT69" s="420">
        <v>231117.19683007427</v>
      </c>
      <c r="AU69" s="420">
        <v>108269.41410461783</v>
      </c>
      <c r="AV69" s="420">
        <v>240525.40410909121</v>
      </c>
      <c r="AW69" s="420">
        <v>111748.64642382316</v>
      </c>
      <c r="AX69" s="420">
        <v>238835.28148491136</v>
      </c>
      <c r="AY69" s="412">
        <f>SUM(AQ69:AX69)</f>
        <v>1339706.3226513627</v>
      </c>
      <c r="AZ69" s="421">
        <v>0</v>
      </c>
      <c r="BA69" s="420">
        <v>137812.87788799801</v>
      </c>
      <c r="BB69" s="420">
        <v>0</v>
      </c>
      <c r="BC69" s="420">
        <v>121876.29408044741</v>
      </c>
      <c r="BD69" s="420">
        <v>0</v>
      </c>
      <c r="BE69" s="420">
        <v>139197.31279214751</v>
      </c>
      <c r="BF69" s="420">
        <v>0</v>
      </c>
      <c r="BG69" s="420">
        <v>135114.67656878312</v>
      </c>
      <c r="BH69" s="414">
        <f>SUM(AZ69:BG69)</f>
        <v>534001.16132937605</v>
      </c>
      <c r="BI69" s="415">
        <f>SUM(BH69,AY69)</f>
        <v>1873707.4839807388</v>
      </c>
      <c r="BJ69" s="933">
        <v>44</v>
      </c>
      <c r="BK69" s="420">
        <v>1960.1792106582063</v>
      </c>
      <c r="BL69" s="420">
        <v>20149.499891632855</v>
      </c>
      <c r="BM69" s="420">
        <v>1976.7475315924639</v>
      </c>
      <c r="BN69" s="420">
        <v>19948.948591722088</v>
      </c>
      <c r="BO69" s="420">
        <v>1800.3230273685645</v>
      </c>
      <c r="BP69" s="420">
        <v>19171.410584979538</v>
      </c>
      <c r="BQ69" s="420">
        <v>1921.3926266598776</v>
      </c>
      <c r="BR69" s="420">
        <v>19423.052330077779</v>
      </c>
      <c r="BS69" s="412">
        <f>SUM(BK69:BR69)</f>
        <v>86351.553794691368</v>
      </c>
      <c r="BT69" s="421">
        <v>0</v>
      </c>
      <c r="BU69" s="420">
        <v>5127.8420845052115</v>
      </c>
      <c r="BV69" s="420">
        <v>0</v>
      </c>
      <c r="BW69" s="420">
        <v>4715.396748268281</v>
      </c>
      <c r="BX69" s="420">
        <v>0</v>
      </c>
      <c r="BY69" s="420">
        <v>5187.0384737756876</v>
      </c>
      <c r="BZ69" s="420">
        <v>0</v>
      </c>
      <c r="CA69" s="420">
        <v>5708.3613267862556</v>
      </c>
      <c r="CB69" s="414">
        <f>SUM(BT69:CA69)</f>
        <v>20738.638633335435</v>
      </c>
      <c r="CC69" s="415">
        <f>SUM(CB69,BS69)</f>
        <v>107090.1924280268</v>
      </c>
      <c r="CD69" s="933">
        <v>44</v>
      </c>
      <c r="CE69" s="414">
        <f t="shared" ref="CE69:CE71" si="144">+C69+D69+W69+X69+AQ69+AR69+BK69+BL69</f>
        <v>349700.85915123165</v>
      </c>
      <c r="CF69" s="414">
        <f t="shared" ref="CF69:CF71" si="145">+E69+F69+Y69+Z69+AS69+AT69+BM69+BN69</f>
        <v>379920.85146022995</v>
      </c>
      <c r="CG69" s="414">
        <f t="shared" ref="CG69:CG71" si="146">+G69+H69+AA69+AB69+AU69+AV69+BO69+BP69</f>
        <v>393329.60681012319</v>
      </c>
      <c r="CH69" s="414">
        <f t="shared" ref="CH69:CH71" si="147">+I69+J69+AC69+AD69+AW69+AX69+BQ69+BR69</f>
        <v>394842.91184122785</v>
      </c>
      <c r="CI69" s="416">
        <f t="shared" ref="CI69:CI71" si="148">SUM(K69,AE69,AY69,BS69)</f>
        <v>1517794.2292628128</v>
      </c>
      <c r="CJ69" s="414">
        <f t="shared" ref="CJ69:CJ71" si="149">L69+M69+AF69+AG69+AZ69+BA69+BT69+BU69</f>
        <v>167041.04215128886</v>
      </c>
      <c r="CK69" s="414">
        <f t="shared" ref="CK69:CK71" si="150">N69+O69+AH69+AI69+BB69+BC69+BV69+BW69</f>
        <v>149284.13554934782</v>
      </c>
      <c r="CL69" s="414">
        <f t="shared" ref="CL69:CL71" si="151">P69+Q69+AJ69+AK69+BD69+BE69+BX69+BY69</f>
        <v>169105.32969051754</v>
      </c>
      <c r="CM69" s="414">
        <f t="shared" ref="CM69:CM71" si="152">+R69+S69+AL69+AM69+BF69+BG69+BZ69+CA69</f>
        <v>164461.27068412793</v>
      </c>
      <c r="CN69" s="416">
        <f t="shared" ref="CN69:CN71" si="153">SUM(T69,AN69,BH69,CB69)</f>
        <v>649891.77807528211</v>
      </c>
      <c r="CO69" s="414">
        <f t="shared" ref="CO69:CO71" si="154">+C69+D69+L69+M69+W69+X69+AF69+AG69+AQ69+AR69+AZ69+BA69+BK69+BL69+BT69+BU69</f>
        <v>516741.90130252042</v>
      </c>
      <c r="CP69" s="414">
        <f t="shared" ref="CP69:CP71" si="155">+E69+F69+N69+O69+Y69+Z69+AH69+AI69+AS69+AT69+BB69+BC69+BM69+BN69+BV69+BW69</f>
        <v>529204.9870095778</v>
      </c>
      <c r="CQ69" s="414">
        <f t="shared" ref="CQ69:CQ71" si="156">+G69+H69+P69+Q69+AA69+AB69+AJ69+AK69+AU69+AV69+BD69+BE69+BO69+BP69+BX69+BY69</f>
        <v>562434.9365006407</v>
      </c>
      <c r="CR69" s="414">
        <f t="shared" ref="CR69:CR71" si="157">+I69+J69+R69+S69+AC69+AD69+AL69+AM69+AW69+AX69+BF69+BG69+BQ69+BR69+BZ69+CA69</f>
        <v>559304.1825253556</v>
      </c>
      <c r="CS69" s="416">
        <f t="shared" ref="CS69:CS71" si="158">SUM(CC69,BI69,AO69,U69)</f>
        <v>2167686.007338095</v>
      </c>
    </row>
    <row r="70" spans="1:131" ht="15.75" customHeight="1">
      <c r="A70" s="88" t="s">
        <v>238</v>
      </c>
      <c r="B70" s="933">
        <v>45</v>
      </c>
      <c r="C70" s="232">
        <f t="shared" ref="C70:J70" si="159">IF(ABS(C62)&lt;C83, -C62, C83)</f>
        <v>0</v>
      </c>
      <c r="D70" s="232">
        <f t="shared" si="159"/>
        <v>0</v>
      </c>
      <c r="E70" s="232">
        <f t="shared" si="159"/>
        <v>0</v>
      </c>
      <c r="F70" s="232">
        <f t="shared" si="159"/>
        <v>0</v>
      </c>
      <c r="G70" s="232">
        <f t="shared" si="159"/>
        <v>0</v>
      </c>
      <c r="H70" s="232">
        <f t="shared" si="159"/>
        <v>0</v>
      </c>
      <c r="I70" s="232">
        <f t="shared" si="159"/>
        <v>0</v>
      </c>
      <c r="J70" s="232">
        <f t="shared" si="159"/>
        <v>0</v>
      </c>
      <c r="K70" s="412">
        <f t="shared" ref="K70" si="160">SUM(C70:J70)</f>
        <v>0</v>
      </c>
      <c r="L70" s="418">
        <f t="shared" ref="L70:S70" si="161">IF(ABS(L62)&lt;L83, -L62, L83)</f>
        <v>0</v>
      </c>
      <c r="M70" s="232">
        <f t="shared" si="161"/>
        <v>0</v>
      </c>
      <c r="N70" s="232">
        <f t="shared" si="161"/>
        <v>0</v>
      </c>
      <c r="O70" s="232">
        <f t="shared" si="161"/>
        <v>0</v>
      </c>
      <c r="P70" s="232">
        <f t="shared" si="161"/>
        <v>0</v>
      </c>
      <c r="Q70" s="232">
        <f t="shared" si="161"/>
        <v>0</v>
      </c>
      <c r="R70" s="232">
        <f t="shared" si="161"/>
        <v>0</v>
      </c>
      <c r="S70" s="232">
        <f t="shared" si="161"/>
        <v>0</v>
      </c>
      <c r="T70" s="414">
        <f t="shared" ref="T70" si="162">SUM(L70:S70)</f>
        <v>0</v>
      </c>
      <c r="U70" s="415">
        <f t="shared" ref="U70" si="163">SUM(T70,K70)</f>
        <v>0</v>
      </c>
      <c r="V70" s="933">
        <v>45</v>
      </c>
      <c r="W70" s="232">
        <f t="shared" ref="W70:AD70" si="164">IF(ABS(W62)&lt;W83, -W62, W83)</f>
        <v>0</v>
      </c>
      <c r="X70" s="232">
        <f t="shared" si="164"/>
        <v>0</v>
      </c>
      <c r="Y70" s="232">
        <f t="shared" si="164"/>
        <v>0</v>
      </c>
      <c r="Z70" s="232">
        <f t="shared" si="164"/>
        <v>0</v>
      </c>
      <c r="AA70" s="232">
        <f t="shared" si="164"/>
        <v>0</v>
      </c>
      <c r="AB70" s="232">
        <f t="shared" si="164"/>
        <v>0</v>
      </c>
      <c r="AC70" s="232">
        <f t="shared" si="164"/>
        <v>0</v>
      </c>
      <c r="AD70" s="232">
        <f t="shared" si="164"/>
        <v>0</v>
      </c>
      <c r="AE70" s="412">
        <f t="shared" ref="AE70" si="165">SUM(W70:AD70)</f>
        <v>0</v>
      </c>
      <c r="AF70" s="418">
        <f t="shared" ref="AF70:AM70" si="166">IF(ABS(AF62)&lt;AF83, -AF62, AF83)</f>
        <v>0</v>
      </c>
      <c r="AG70" s="232">
        <f t="shared" si="166"/>
        <v>0</v>
      </c>
      <c r="AH70" s="232">
        <f t="shared" si="166"/>
        <v>0</v>
      </c>
      <c r="AI70" s="232">
        <f t="shared" si="166"/>
        <v>0</v>
      </c>
      <c r="AJ70" s="232">
        <f t="shared" si="166"/>
        <v>0</v>
      </c>
      <c r="AK70" s="232">
        <f t="shared" si="166"/>
        <v>0</v>
      </c>
      <c r="AL70" s="232">
        <f t="shared" si="166"/>
        <v>0</v>
      </c>
      <c r="AM70" s="232">
        <f t="shared" si="166"/>
        <v>0</v>
      </c>
      <c r="AN70" s="414">
        <f t="shared" ref="AN70" si="167">SUM(AF70:AM70)</f>
        <v>0</v>
      </c>
      <c r="AO70" s="415">
        <f t="shared" ref="AO70" si="168">SUM(AN70,AE70)</f>
        <v>0</v>
      </c>
      <c r="AP70" s="933">
        <v>45</v>
      </c>
      <c r="AQ70" s="232">
        <f t="shared" ref="AQ70:AX70" si="169">IF(ABS(AQ62)&lt;AQ83, -AQ62, AQ83)</f>
        <v>0</v>
      </c>
      <c r="AR70" s="232">
        <f t="shared" si="169"/>
        <v>0</v>
      </c>
      <c r="AS70" s="232">
        <f t="shared" si="169"/>
        <v>0</v>
      </c>
      <c r="AT70" s="232">
        <f t="shared" si="169"/>
        <v>0</v>
      </c>
      <c r="AU70" s="232">
        <f t="shared" si="169"/>
        <v>0</v>
      </c>
      <c r="AV70" s="232">
        <f t="shared" si="169"/>
        <v>0</v>
      </c>
      <c r="AW70" s="232">
        <f t="shared" si="169"/>
        <v>0</v>
      </c>
      <c r="AX70" s="232">
        <f t="shared" si="169"/>
        <v>0</v>
      </c>
      <c r="AY70" s="412">
        <f t="shared" ref="AY70" si="170">SUM(AQ70:AX70)</f>
        <v>0</v>
      </c>
      <c r="AZ70" s="418">
        <f t="shared" ref="AZ70:BG70" si="171">IF(ABS(AZ62)&lt;AZ83, -AZ62, AZ83)</f>
        <v>0</v>
      </c>
      <c r="BA70" s="232">
        <f t="shared" si="171"/>
        <v>0</v>
      </c>
      <c r="BB70" s="232">
        <f t="shared" si="171"/>
        <v>0</v>
      </c>
      <c r="BC70" s="232">
        <f t="shared" si="171"/>
        <v>0</v>
      </c>
      <c r="BD70" s="232">
        <f t="shared" si="171"/>
        <v>0</v>
      </c>
      <c r="BE70" s="232">
        <f t="shared" si="171"/>
        <v>0</v>
      </c>
      <c r="BF70" s="232">
        <f t="shared" si="171"/>
        <v>0</v>
      </c>
      <c r="BG70" s="232">
        <f t="shared" si="171"/>
        <v>0</v>
      </c>
      <c r="BH70" s="414">
        <f t="shared" ref="BH70" si="172">SUM(AZ70:BG70)</f>
        <v>0</v>
      </c>
      <c r="BI70" s="415">
        <f t="shared" ref="BI70" si="173">SUM(BH70,AY70)</f>
        <v>0</v>
      </c>
      <c r="BJ70" s="933">
        <v>45</v>
      </c>
      <c r="BK70" s="232">
        <f t="shared" ref="BK70:BR70" si="174">IF(ABS(BK62)&lt;BK83, -BK62, BK83)</f>
        <v>0</v>
      </c>
      <c r="BL70" s="232">
        <f t="shared" si="174"/>
        <v>0</v>
      </c>
      <c r="BM70" s="232">
        <f t="shared" si="174"/>
        <v>0</v>
      </c>
      <c r="BN70" s="232">
        <f t="shared" si="174"/>
        <v>0</v>
      </c>
      <c r="BO70" s="232">
        <f t="shared" si="174"/>
        <v>0</v>
      </c>
      <c r="BP70" s="232">
        <f t="shared" si="174"/>
        <v>0</v>
      </c>
      <c r="BQ70" s="232">
        <f t="shared" si="174"/>
        <v>0</v>
      </c>
      <c r="BR70" s="232">
        <f t="shared" si="174"/>
        <v>0</v>
      </c>
      <c r="BS70" s="412">
        <f t="shared" ref="BS70" si="175">SUM(BK70:BR70)</f>
        <v>0</v>
      </c>
      <c r="BT70" s="418">
        <f t="shared" ref="BT70:CA70" si="176">IF(ABS(BT62)&lt;BT83, -BT62, BT83)</f>
        <v>0</v>
      </c>
      <c r="BU70" s="232">
        <f t="shared" si="176"/>
        <v>0</v>
      </c>
      <c r="BV70" s="232">
        <f t="shared" si="176"/>
        <v>0</v>
      </c>
      <c r="BW70" s="232">
        <f t="shared" si="176"/>
        <v>0</v>
      </c>
      <c r="BX70" s="232">
        <f t="shared" si="176"/>
        <v>0</v>
      </c>
      <c r="BY70" s="232">
        <f t="shared" si="176"/>
        <v>0</v>
      </c>
      <c r="BZ70" s="232">
        <f t="shared" si="176"/>
        <v>0</v>
      </c>
      <c r="CA70" s="232">
        <f t="shared" si="176"/>
        <v>0</v>
      </c>
      <c r="CB70" s="414">
        <f t="shared" ref="CB70" si="177">SUM(BT70:CA70)</f>
        <v>0</v>
      </c>
      <c r="CC70" s="415">
        <f t="shared" ref="CC70" si="178">SUM(CB70,BS70)</f>
        <v>0</v>
      </c>
      <c r="CD70" s="933">
        <v>45</v>
      </c>
      <c r="CE70" s="414">
        <f t="shared" si="144"/>
        <v>0</v>
      </c>
      <c r="CF70" s="414">
        <f t="shared" si="145"/>
        <v>0</v>
      </c>
      <c r="CG70" s="414">
        <f t="shared" si="146"/>
        <v>0</v>
      </c>
      <c r="CH70" s="414">
        <f t="shared" si="147"/>
        <v>0</v>
      </c>
      <c r="CI70" s="416">
        <f t="shared" si="148"/>
        <v>0</v>
      </c>
      <c r="CJ70" s="414">
        <f t="shared" si="149"/>
        <v>0</v>
      </c>
      <c r="CK70" s="414">
        <f t="shared" si="150"/>
        <v>0</v>
      </c>
      <c r="CL70" s="414">
        <f t="shared" si="151"/>
        <v>0</v>
      </c>
      <c r="CM70" s="414">
        <f t="shared" si="152"/>
        <v>0</v>
      </c>
      <c r="CN70" s="416">
        <f t="shared" si="153"/>
        <v>0</v>
      </c>
      <c r="CO70" s="414">
        <f t="shared" si="154"/>
        <v>0</v>
      </c>
      <c r="CP70" s="414">
        <f t="shared" si="155"/>
        <v>0</v>
      </c>
      <c r="CQ70" s="414">
        <f t="shared" si="156"/>
        <v>0</v>
      </c>
      <c r="CR70" s="414">
        <f t="shared" si="157"/>
        <v>0</v>
      </c>
      <c r="CS70" s="416">
        <f t="shared" si="158"/>
        <v>0</v>
      </c>
    </row>
    <row r="71" spans="1:131" ht="15.75" customHeight="1">
      <c r="A71" s="88" t="s">
        <v>1342</v>
      </c>
      <c r="B71" s="300">
        <v>46</v>
      </c>
      <c r="C71" s="420">
        <v>37154.820780362352</v>
      </c>
      <c r="D71" s="420">
        <v>70508.478567680373</v>
      </c>
      <c r="E71" s="420">
        <v>41768.034786012431</v>
      </c>
      <c r="F71" s="420">
        <v>80120.510535855807</v>
      </c>
      <c r="G71" s="420">
        <v>39795.017716007264</v>
      </c>
      <c r="H71" s="420">
        <v>78587.313665959795</v>
      </c>
      <c r="I71" s="420">
        <v>41277.388618662539</v>
      </c>
      <c r="J71" s="420">
        <v>78386.133596242289</v>
      </c>
      <c r="K71" s="412">
        <f>SUM(C71:J71)</f>
        <v>467597.69826678286</v>
      </c>
      <c r="L71" s="421">
        <v>0</v>
      </c>
      <c r="M71" s="420">
        <v>161647.73440680711</v>
      </c>
      <c r="N71" s="420">
        <v>0</v>
      </c>
      <c r="O71" s="420">
        <v>159570.20387143872</v>
      </c>
      <c r="P71" s="420">
        <v>0</v>
      </c>
      <c r="Q71" s="420">
        <v>164836.73675565692</v>
      </c>
      <c r="R71" s="420">
        <v>0</v>
      </c>
      <c r="S71" s="420">
        <v>163664.58459035953</v>
      </c>
      <c r="T71" s="414">
        <f>SUM(L71:S71)</f>
        <v>649719.25962426234</v>
      </c>
      <c r="U71" s="415">
        <f>SUM(T71,K71)</f>
        <v>1117316.9578910451</v>
      </c>
      <c r="V71" s="300">
        <v>46</v>
      </c>
      <c r="W71" s="420">
        <v>5681.9674661420868</v>
      </c>
      <c r="X71" s="420">
        <v>32119.995234232247</v>
      </c>
      <c r="Y71" s="420">
        <v>6475.3114344918722</v>
      </c>
      <c r="Z71" s="420">
        <v>33562.137998972117</v>
      </c>
      <c r="AA71" s="420">
        <v>5659.4857466373114</v>
      </c>
      <c r="AB71" s="420">
        <v>32135.384899822453</v>
      </c>
      <c r="AC71" s="420">
        <v>5983.6912640850669</v>
      </c>
      <c r="AD71" s="420">
        <v>32483.296762150261</v>
      </c>
      <c r="AE71" s="412">
        <f>SUM(W71:AD71)</f>
        <v>154101.2708065334</v>
      </c>
      <c r="AF71" s="421">
        <v>0</v>
      </c>
      <c r="AG71" s="420">
        <v>48767.440250471176</v>
      </c>
      <c r="AH71" s="420">
        <v>0</v>
      </c>
      <c r="AI71" s="420">
        <v>43383.073981169138</v>
      </c>
      <c r="AJ71" s="420">
        <v>0</v>
      </c>
      <c r="AK71" s="420">
        <v>43529.90077645603</v>
      </c>
      <c r="AL71" s="420">
        <v>0</v>
      </c>
      <c r="AM71" s="420">
        <v>42899.033051055354</v>
      </c>
      <c r="AN71" s="414">
        <f>SUM(AF71:AM71)</f>
        <v>178579.44805915171</v>
      </c>
      <c r="AO71" s="415">
        <f>SUM(AN71,AE71)</f>
        <v>332680.71886568511</v>
      </c>
      <c r="AP71" s="300">
        <v>46</v>
      </c>
      <c r="AQ71" s="420">
        <v>617733.60874503315</v>
      </c>
      <c r="AR71" s="420">
        <v>1393838.5090545935</v>
      </c>
      <c r="AS71" s="420">
        <v>724895.72739366523</v>
      </c>
      <c r="AT71" s="420">
        <v>1615408.6408952107</v>
      </c>
      <c r="AU71" s="420">
        <v>717615.52869739337</v>
      </c>
      <c r="AV71" s="420">
        <v>1594215.3789445683</v>
      </c>
      <c r="AW71" s="420">
        <v>771164.12843619916</v>
      </c>
      <c r="AX71" s="420">
        <v>1648173.8936469234</v>
      </c>
      <c r="AY71" s="412">
        <f>SUM(AQ71:AX71)</f>
        <v>9083045.4158135876</v>
      </c>
      <c r="AZ71" s="421">
        <v>0</v>
      </c>
      <c r="BA71" s="420">
        <v>1203217.1418999021</v>
      </c>
      <c r="BB71" s="420">
        <v>0</v>
      </c>
      <c r="BC71" s="420">
        <v>1090018.8886949574</v>
      </c>
      <c r="BD71" s="420">
        <v>0</v>
      </c>
      <c r="BE71" s="420">
        <v>1173257.6082486308</v>
      </c>
      <c r="BF71" s="420">
        <v>0</v>
      </c>
      <c r="BG71" s="420">
        <v>1180704.8622520766</v>
      </c>
      <c r="BH71" s="414">
        <f>SUM(AZ71:BG71)</f>
        <v>4647198.5010955669</v>
      </c>
      <c r="BI71" s="415">
        <f>SUM(BH71,AY71)</f>
        <v>13730243.916909155</v>
      </c>
      <c r="BJ71" s="300">
        <v>46</v>
      </c>
      <c r="BK71" s="420">
        <v>12906.87932428191</v>
      </c>
      <c r="BL71" s="420">
        <v>132675.19731453995</v>
      </c>
      <c r="BM71" s="420">
        <v>13816.605112905299</v>
      </c>
      <c r="BN71" s="420">
        <v>139434.47036325777</v>
      </c>
      <c r="BO71" s="420">
        <v>11932.638333692446</v>
      </c>
      <c r="BP71" s="420">
        <v>127069.14558086735</v>
      </c>
      <c r="BQ71" s="420">
        <v>13259.302172684082</v>
      </c>
      <c r="BR71" s="420">
        <v>134036.17583775896</v>
      </c>
      <c r="BS71" s="412">
        <f>SUM(BK71:BR71)</f>
        <v>585130.41403998772</v>
      </c>
      <c r="BT71" s="421">
        <v>0</v>
      </c>
      <c r="BU71" s="420">
        <v>44770.181071516025</v>
      </c>
      <c r="BV71" s="420">
        <v>0</v>
      </c>
      <c r="BW71" s="420">
        <v>42172.857011146982</v>
      </c>
      <c r="BX71" s="420">
        <v>0</v>
      </c>
      <c r="BY71" s="420">
        <v>43720.185624007274</v>
      </c>
      <c r="BZ71" s="420">
        <v>0</v>
      </c>
      <c r="CA71" s="420">
        <v>49882.737724625775</v>
      </c>
      <c r="CB71" s="414">
        <f>SUM(BT71:CA71)</f>
        <v>180545.96143129605</v>
      </c>
      <c r="CC71" s="415">
        <f>SUM(CB71,BS71)</f>
        <v>765676.3754712838</v>
      </c>
      <c r="CD71" s="300">
        <v>46</v>
      </c>
      <c r="CE71" s="414">
        <f t="shared" si="144"/>
        <v>2302619.4564868654</v>
      </c>
      <c r="CF71" s="414">
        <f t="shared" si="145"/>
        <v>2655481.438520371</v>
      </c>
      <c r="CG71" s="414">
        <f t="shared" si="146"/>
        <v>2607009.893584948</v>
      </c>
      <c r="CH71" s="414">
        <f t="shared" si="147"/>
        <v>2724764.0103347059</v>
      </c>
      <c r="CI71" s="416">
        <f t="shared" si="148"/>
        <v>10289874.798926892</v>
      </c>
      <c r="CJ71" s="414">
        <f t="shared" si="149"/>
        <v>1458402.4976286965</v>
      </c>
      <c r="CK71" s="414">
        <f t="shared" si="150"/>
        <v>1335145.0235587123</v>
      </c>
      <c r="CL71" s="414">
        <f t="shared" si="151"/>
        <v>1425344.431404751</v>
      </c>
      <c r="CM71" s="414">
        <f t="shared" si="152"/>
        <v>1437151.2176181173</v>
      </c>
      <c r="CN71" s="416">
        <f t="shared" si="153"/>
        <v>5656043.1702102767</v>
      </c>
      <c r="CO71" s="414">
        <f t="shared" si="154"/>
        <v>3761021.9541155626</v>
      </c>
      <c r="CP71" s="414">
        <f t="shared" si="155"/>
        <v>3990626.4620790831</v>
      </c>
      <c r="CQ71" s="414">
        <f t="shared" si="156"/>
        <v>4032354.3249896988</v>
      </c>
      <c r="CR71" s="414">
        <f t="shared" si="157"/>
        <v>4161915.227952823</v>
      </c>
      <c r="CS71" s="416">
        <f t="shared" si="158"/>
        <v>15945917.969137169</v>
      </c>
    </row>
    <row r="72" spans="1:131" s="14"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c r="CT72" s="318"/>
      <c r="CU72" s="318"/>
      <c r="CV72" s="318"/>
      <c r="CW72" s="318"/>
      <c r="CX72" s="318"/>
      <c r="CY72" s="318"/>
      <c r="CZ72" s="318"/>
      <c r="DA72" s="318"/>
      <c r="DB72" s="318"/>
      <c r="DC72" s="318"/>
      <c r="DD72" s="318"/>
      <c r="DE72" s="318"/>
      <c r="DF72" s="318"/>
      <c r="DG72" s="318"/>
      <c r="DH72" s="318"/>
      <c r="DI72" s="318"/>
      <c r="DJ72" s="318"/>
      <c r="DK72" s="318"/>
      <c r="DL72" s="318"/>
      <c r="DM72" s="318"/>
      <c r="DN72" s="318"/>
      <c r="DO72" s="318"/>
      <c r="DP72" s="318"/>
      <c r="DQ72" s="318"/>
      <c r="DR72" s="318"/>
      <c r="DS72" s="318"/>
      <c r="DT72" s="318"/>
      <c r="DU72" s="318"/>
      <c r="DV72" s="318"/>
      <c r="DW72" s="318"/>
      <c r="DX72" s="318"/>
      <c r="DY72" s="318"/>
      <c r="DZ72" s="318"/>
      <c r="EA72" s="318"/>
    </row>
    <row r="73" spans="1:131" s="14" customFormat="1">
      <c r="A73" s="16" t="s">
        <v>241</v>
      </c>
      <c r="B73" s="300">
        <v>47</v>
      </c>
      <c r="C73" s="216">
        <f t="shared" ref="C73:U73" si="179">SUM(C69:C71)</f>
        <v>42797.556366522316</v>
      </c>
      <c r="D73" s="216">
        <f t="shared" si="179"/>
        <v>81216.663744827849</v>
      </c>
      <c r="E73" s="216">
        <f t="shared" si="179"/>
        <v>47743.805171575463</v>
      </c>
      <c r="F73" s="216">
        <f t="shared" si="179"/>
        <v>91583.385832461703</v>
      </c>
      <c r="G73" s="216">
        <f t="shared" si="179"/>
        <v>45799.045053899295</v>
      </c>
      <c r="H73" s="216">
        <f t="shared" si="179"/>
        <v>90444.08385335248</v>
      </c>
      <c r="I73" s="216">
        <f t="shared" si="179"/>
        <v>47258.854996513241</v>
      </c>
      <c r="J73" s="216">
        <f t="shared" si="179"/>
        <v>89744.992242248089</v>
      </c>
      <c r="K73" s="221">
        <f t="shared" si="179"/>
        <v>536588.38726140046</v>
      </c>
      <c r="L73" s="218">
        <f t="shared" si="179"/>
        <v>0</v>
      </c>
      <c r="M73" s="216">
        <f t="shared" si="179"/>
        <v>180162.38043944328</v>
      </c>
      <c r="N73" s="216">
        <f t="shared" si="179"/>
        <v>0</v>
      </c>
      <c r="O73" s="216">
        <f t="shared" si="179"/>
        <v>177411.93606086585</v>
      </c>
      <c r="P73" s="216">
        <f t="shared" si="179"/>
        <v>0</v>
      </c>
      <c r="Q73" s="216">
        <f t="shared" si="179"/>
        <v>184393.25243004895</v>
      </c>
      <c r="R73" s="216">
        <f t="shared" si="179"/>
        <v>0</v>
      </c>
      <c r="S73" s="216">
        <f t="shared" si="179"/>
        <v>182393.64052946307</v>
      </c>
      <c r="T73" s="219">
        <f t="shared" si="179"/>
        <v>724361.20945982123</v>
      </c>
      <c r="U73" s="218">
        <f t="shared" si="179"/>
        <v>1260949.5967212217</v>
      </c>
      <c r="V73" s="300">
        <v>47</v>
      </c>
      <c r="W73" s="216">
        <f t="shared" ref="W73:AO73" si="180">SUM(W69:W71)</f>
        <v>6544.8929048121863</v>
      </c>
      <c r="X73" s="216">
        <f t="shared" si="180"/>
        <v>36998.08739909299</v>
      </c>
      <c r="Y73" s="216">
        <f t="shared" si="180"/>
        <v>7401.7369775124562</v>
      </c>
      <c r="Z73" s="216">
        <f t="shared" si="180"/>
        <v>38363.887263881319</v>
      </c>
      <c r="AA73" s="216">
        <f t="shared" si="180"/>
        <v>6513.3541224152323</v>
      </c>
      <c r="AB73" s="216">
        <f t="shared" si="180"/>
        <v>36983.773982825856</v>
      </c>
      <c r="AC73" s="216">
        <f t="shared" si="180"/>
        <v>6850.7821656490687</v>
      </c>
      <c r="AD73" s="216">
        <f t="shared" si="180"/>
        <v>37190.419812485416</v>
      </c>
      <c r="AE73" s="221">
        <f t="shared" si="180"/>
        <v>176846.93462867453</v>
      </c>
      <c r="AF73" s="218">
        <f t="shared" si="180"/>
        <v>0</v>
      </c>
      <c r="AG73" s="216">
        <f t="shared" si="180"/>
        <v>54353.116396620644</v>
      </c>
      <c r="AH73" s="216">
        <f t="shared" si="180"/>
        <v>0</v>
      </c>
      <c r="AI73" s="216">
        <f t="shared" si="180"/>
        <v>48233.786512374136</v>
      </c>
      <c r="AJ73" s="216">
        <f t="shared" si="180"/>
        <v>0</v>
      </c>
      <c r="AK73" s="216">
        <f t="shared" si="180"/>
        <v>48694.36352665833</v>
      </c>
      <c r="AL73" s="216">
        <f t="shared" si="180"/>
        <v>0</v>
      </c>
      <c r="AM73" s="216">
        <f t="shared" si="180"/>
        <v>47808.209900510381</v>
      </c>
      <c r="AN73" s="219">
        <f t="shared" si="180"/>
        <v>199089.4763361635</v>
      </c>
      <c r="AO73" s="218">
        <f t="shared" si="180"/>
        <v>375936.410964838</v>
      </c>
      <c r="AP73" s="300">
        <v>47</v>
      </c>
      <c r="AQ73" s="216">
        <f t="shared" ref="AQ73:BI73" si="181">SUM(AQ69:AQ71)</f>
        <v>711549.3598002753</v>
      </c>
      <c r="AR73" s="216">
        <f t="shared" si="181"/>
        <v>1605521.9996814537</v>
      </c>
      <c r="AS73" s="216">
        <f t="shared" si="181"/>
        <v>828606.86541040777</v>
      </c>
      <c r="AT73" s="216">
        <f t="shared" si="181"/>
        <v>1846525.837725285</v>
      </c>
      <c r="AU73" s="216">
        <f t="shared" si="181"/>
        <v>825884.94280201115</v>
      </c>
      <c r="AV73" s="216">
        <f t="shared" si="181"/>
        <v>1834740.7830536596</v>
      </c>
      <c r="AW73" s="216">
        <f t="shared" si="181"/>
        <v>882912.77486002236</v>
      </c>
      <c r="AX73" s="216">
        <f t="shared" si="181"/>
        <v>1887009.1751318348</v>
      </c>
      <c r="AY73" s="221">
        <f t="shared" si="181"/>
        <v>10422751.73846495</v>
      </c>
      <c r="AZ73" s="218">
        <f t="shared" si="181"/>
        <v>0</v>
      </c>
      <c r="BA73" s="216">
        <f t="shared" si="181"/>
        <v>1341030.0197879001</v>
      </c>
      <c r="BB73" s="216">
        <f t="shared" si="181"/>
        <v>0</v>
      </c>
      <c r="BC73" s="216">
        <f t="shared" si="181"/>
        <v>1211895.1827754048</v>
      </c>
      <c r="BD73" s="216">
        <f t="shared" si="181"/>
        <v>0</v>
      </c>
      <c r="BE73" s="216">
        <f t="shared" si="181"/>
        <v>1312454.9210407783</v>
      </c>
      <c r="BF73" s="216">
        <f t="shared" si="181"/>
        <v>0</v>
      </c>
      <c r="BG73" s="216">
        <f t="shared" si="181"/>
        <v>1315819.5388208597</v>
      </c>
      <c r="BH73" s="219">
        <f t="shared" si="181"/>
        <v>5181199.6624249425</v>
      </c>
      <c r="BI73" s="218">
        <f t="shared" si="181"/>
        <v>15603951.400889894</v>
      </c>
      <c r="BJ73" s="300">
        <v>47</v>
      </c>
      <c r="BK73" s="216">
        <f t="shared" ref="BK73:CC73" si="182">SUM(BK69:BK71)</f>
        <v>14867.058534940117</v>
      </c>
      <c r="BL73" s="216">
        <f t="shared" si="182"/>
        <v>152824.6972061728</v>
      </c>
      <c r="BM73" s="216">
        <f t="shared" si="182"/>
        <v>15793.352644497763</v>
      </c>
      <c r="BN73" s="216">
        <f t="shared" si="182"/>
        <v>159383.41895497986</v>
      </c>
      <c r="BO73" s="216">
        <f t="shared" si="182"/>
        <v>13732.96136106101</v>
      </c>
      <c r="BP73" s="216">
        <f t="shared" si="182"/>
        <v>146240.55616584688</v>
      </c>
      <c r="BQ73" s="216">
        <f t="shared" si="182"/>
        <v>15180.694799343959</v>
      </c>
      <c r="BR73" s="216">
        <f t="shared" si="182"/>
        <v>153459.22816783673</v>
      </c>
      <c r="BS73" s="221">
        <f t="shared" si="182"/>
        <v>671481.96783467906</v>
      </c>
      <c r="BT73" s="218">
        <f t="shared" si="182"/>
        <v>0</v>
      </c>
      <c r="BU73" s="216">
        <f t="shared" si="182"/>
        <v>49898.023156021234</v>
      </c>
      <c r="BV73" s="216">
        <f t="shared" si="182"/>
        <v>0</v>
      </c>
      <c r="BW73" s="216">
        <f t="shared" si="182"/>
        <v>46888.25375941526</v>
      </c>
      <c r="BX73" s="216">
        <f t="shared" si="182"/>
        <v>0</v>
      </c>
      <c r="BY73" s="216">
        <f t="shared" si="182"/>
        <v>48907.224097782964</v>
      </c>
      <c r="BZ73" s="216">
        <f t="shared" si="182"/>
        <v>0</v>
      </c>
      <c r="CA73" s="216">
        <f t="shared" si="182"/>
        <v>55591.099051412028</v>
      </c>
      <c r="CB73" s="219">
        <f t="shared" si="182"/>
        <v>201284.60006463149</v>
      </c>
      <c r="CC73" s="218">
        <f t="shared" si="182"/>
        <v>872766.56789931061</v>
      </c>
      <c r="CD73" s="300">
        <v>47</v>
      </c>
      <c r="CE73" s="219">
        <f>SUM(CE69:CE71)</f>
        <v>2652320.315638097</v>
      </c>
      <c r="CF73" s="219">
        <f>SUM(CF69:CF71)</f>
        <v>3035402.2899806011</v>
      </c>
      <c r="CG73" s="219">
        <f>SUM(CG69:CG71)</f>
        <v>3000339.5003950712</v>
      </c>
      <c r="CH73" s="219">
        <f>SUM(CH69:CH71)</f>
        <v>3119606.9221759336</v>
      </c>
      <c r="CI73" s="216">
        <f>SUM(BS73,AY73,AE73,K73)</f>
        <v>11807669.028189704</v>
      </c>
      <c r="CJ73" s="219">
        <f>SUM(CJ69:CJ71)</f>
        <v>1625443.5397799853</v>
      </c>
      <c r="CK73" s="219">
        <f>SUM(CK69:CK71)</f>
        <v>1484429.1591080602</v>
      </c>
      <c r="CL73" s="219">
        <f>SUM(CL69:CL71)</f>
        <v>1594449.7610952687</v>
      </c>
      <c r="CM73" s="219">
        <f>SUM(CM69:CM71)</f>
        <v>1601612.4883022453</v>
      </c>
      <c r="CN73" s="216">
        <f>SUM(BX73,BD73,AJ73,P73)</f>
        <v>0</v>
      </c>
      <c r="CO73" s="219">
        <f>SUM(CO69:CO71)</f>
        <v>4277763.8554180833</v>
      </c>
      <c r="CP73" s="219">
        <f>SUM(CP69:CP71)</f>
        <v>4519831.449088661</v>
      </c>
      <c r="CQ73" s="219">
        <f>SUM(CQ69:CQ71)</f>
        <v>4594789.2614903394</v>
      </c>
      <c r="CR73" s="219">
        <f>SUM(CR69:CR71)</f>
        <v>4721219.4104781784</v>
      </c>
      <c r="CS73" s="216">
        <f>SUM(CC73,BI73,AO73,U73)</f>
        <v>18113603.976475265</v>
      </c>
      <c r="CT73" s="318"/>
      <c r="CU73" s="318"/>
      <c r="CV73" s="318"/>
      <c r="CW73" s="318"/>
      <c r="CX73" s="318"/>
      <c r="CY73" s="318"/>
      <c r="CZ73" s="318"/>
      <c r="DA73" s="318"/>
      <c r="DB73" s="318"/>
      <c r="DC73" s="318"/>
      <c r="DD73" s="318"/>
      <c r="DE73" s="318"/>
      <c r="DF73" s="318"/>
      <c r="DG73" s="318"/>
      <c r="DH73" s="318"/>
      <c r="DI73" s="318"/>
      <c r="DJ73" s="318"/>
      <c r="DK73" s="318"/>
      <c r="DL73" s="318"/>
      <c r="DM73" s="318"/>
      <c r="DN73" s="318"/>
      <c r="DO73" s="318"/>
      <c r="DP73" s="318"/>
      <c r="DQ73" s="318"/>
      <c r="DR73" s="318"/>
      <c r="DS73" s="318"/>
      <c r="DT73" s="318"/>
      <c r="DU73" s="318"/>
      <c r="DV73" s="318"/>
      <c r="DW73" s="318"/>
      <c r="DX73" s="318"/>
      <c r="DY73" s="318"/>
      <c r="DZ73" s="318"/>
      <c r="EA73" s="318"/>
    </row>
    <row r="74" spans="1:131" ht="15.75" customHeight="1">
      <c r="B74" s="300"/>
      <c r="C74" s="178"/>
      <c r="D74" s="178"/>
      <c r="E74" s="178"/>
      <c r="F74" s="178"/>
      <c r="G74" s="178"/>
      <c r="H74" s="178"/>
      <c r="I74" s="178"/>
      <c r="J74" s="178"/>
      <c r="K74" s="381"/>
      <c r="L74" s="382"/>
      <c r="M74" s="178"/>
      <c r="N74" s="178"/>
      <c r="O74" s="178"/>
      <c r="P74" s="178"/>
      <c r="Q74" s="178"/>
      <c r="R74" s="178"/>
      <c r="S74" s="178"/>
      <c r="T74" s="178"/>
      <c r="U74" s="383"/>
      <c r="V74" s="300"/>
      <c r="W74" s="178"/>
      <c r="X74" s="178"/>
      <c r="Y74" s="178"/>
      <c r="Z74" s="178"/>
      <c r="AA74" s="178"/>
      <c r="AB74" s="178"/>
      <c r="AC74" s="178"/>
      <c r="AD74" s="178"/>
      <c r="AE74" s="381"/>
      <c r="AF74" s="382"/>
      <c r="AG74" s="178"/>
      <c r="AH74" s="178"/>
      <c r="AI74" s="178"/>
      <c r="AJ74" s="178"/>
      <c r="AK74" s="178"/>
      <c r="AL74" s="178"/>
      <c r="AM74" s="178"/>
      <c r="AN74" s="178"/>
      <c r="AO74" s="383"/>
      <c r="AP74" s="300"/>
      <c r="AQ74" s="178"/>
      <c r="AR74" s="178"/>
      <c r="AS74" s="178"/>
      <c r="AT74" s="178"/>
      <c r="AU74" s="178"/>
      <c r="AV74" s="178"/>
      <c r="AW74" s="178"/>
      <c r="AX74" s="178"/>
      <c r="AY74" s="381"/>
      <c r="AZ74" s="382"/>
      <c r="BA74" s="178"/>
      <c r="BB74" s="178"/>
      <c r="BC74" s="178"/>
      <c r="BD74" s="178"/>
      <c r="BE74" s="178"/>
      <c r="BF74" s="178"/>
      <c r="BG74" s="178"/>
      <c r="BH74" s="178"/>
      <c r="BI74" s="383"/>
      <c r="BJ74" s="300"/>
      <c r="BK74" s="178"/>
      <c r="BL74" s="178"/>
      <c r="BM74" s="178"/>
      <c r="BN74" s="178"/>
      <c r="BO74" s="178"/>
      <c r="BP74" s="178"/>
      <c r="BQ74" s="178"/>
      <c r="BR74" s="178"/>
      <c r="BS74" s="381"/>
      <c r="BT74" s="382"/>
      <c r="BU74" s="178"/>
      <c r="BV74" s="178"/>
      <c r="BW74" s="178"/>
      <c r="BX74" s="178"/>
      <c r="BY74" s="178"/>
      <c r="BZ74" s="178"/>
      <c r="CA74" s="178"/>
      <c r="CB74" s="178"/>
      <c r="CC74" s="383"/>
      <c r="CD74" s="300"/>
      <c r="CE74" s="178"/>
      <c r="CF74" s="178"/>
      <c r="CG74" s="178"/>
      <c r="CH74" s="178"/>
      <c r="CI74" s="419"/>
      <c r="CJ74" s="178"/>
      <c r="CK74" s="178"/>
      <c r="CL74" s="178"/>
      <c r="CM74" s="178"/>
      <c r="CN74" s="419"/>
      <c r="CO74" s="178"/>
      <c r="CP74" s="178"/>
      <c r="CQ74" s="178"/>
      <c r="CR74" s="178"/>
      <c r="CS74" s="419"/>
    </row>
    <row r="75" spans="1:131"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31" s="14" customFormat="1" ht="15.75" customHeight="1">
      <c r="A76" s="88" t="s">
        <v>244</v>
      </c>
      <c r="B76" s="300">
        <v>48</v>
      </c>
      <c r="C76" s="420"/>
      <c r="D76" s="420"/>
      <c r="E76" s="420"/>
      <c r="F76" s="420"/>
      <c r="G76" s="420"/>
      <c r="H76" s="420"/>
      <c r="I76" s="420"/>
      <c r="J76" s="420"/>
      <c r="K76" s="412">
        <f t="shared" ref="K76:K86" si="183">SUM(C76:J76)</f>
        <v>0</v>
      </c>
      <c r="L76" s="421"/>
      <c r="M76" s="420"/>
      <c r="N76" s="420"/>
      <c r="O76" s="420"/>
      <c r="P76" s="420"/>
      <c r="Q76" s="420"/>
      <c r="R76" s="420"/>
      <c r="S76" s="420"/>
      <c r="T76" s="414">
        <f t="shared" ref="T76:T86" si="184">SUM(L76:S76)</f>
        <v>0</v>
      </c>
      <c r="U76" s="415">
        <f t="shared" ref="U76:U86" si="185">SUM(T76,K76)</f>
        <v>0</v>
      </c>
      <c r="V76" s="300">
        <v>48</v>
      </c>
      <c r="W76" s="420"/>
      <c r="X76" s="420"/>
      <c r="Y76" s="420"/>
      <c r="Z76" s="420"/>
      <c r="AA76" s="420"/>
      <c r="AB76" s="420"/>
      <c r="AC76" s="420"/>
      <c r="AD76" s="420"/>
      <c r="AE76" s="412">
        <f t="shared" ref="AE76:AE86" si="186">SUM(W76:AD76)</f>
        <v>0</v>
      </c>
      <c r="AF76" s="421"/>
      <c r="AG76" s="420"/>
      <c r="AH76" s="420"/>
      <c r="AI76" s="420"/>
      <c r="AJ76" s="420"/>
      <c r="AK76" s="420"/>
      <c r="AL76" s="420"/>
      <c r="AM76" s="420"/>
      <c r="AN76" s="414">
        <f t="shared" ref="AN76:AN86" si="187">SUM(AF76:AM76)</f>
        <v>0</v>
      </c>
      <c r="AO76" s="415">
        <f t="shared" ref="AO76:AO86" si="188">SUM(AN76,AE76)</f>
        <v>0</v>
      </c>
      <c r="AP76" s="300">
        <v>48</v>
      </c>
      <c r="AQ76" s="420"/>
      <c r="AR76" s="420"/>
      <c r="AS76" s="420"/>
      <c r="AT76" s="420"/>
      <c r="AU76" s="420"/>
      <c r="AV76" s="420"/>
      <c r="AW76" s="420"/>
      <c r="AX76" s="420"/>
      <c r="AY76" s="412">
        <f t="shared" ref="AY76:AY86" si="189">SUM(AQ76:AX76)</f>
        <v>0</v>
      </c>
      <c r="AZ76" s="421"/>
      <c r="BA76" s="420"/>
      <c r="BB76" s="420"/>
      <c r="BC76" s="420"/>
      <c r="BD76" s="420"/>
      <c r="BE76" s="420"/>
      <c r="BF76" s="420"/>
      <c r="BG76" s="420"/>
      <c r="BH76" s="414">
        <f t="shared" ref="BH76:BH86" si="190">SUM(AZ76:BG76)</f>
        <v>0</v>
      </c>
      <c r="BI76" s="415">
        <f t="shared" ref="BI76:BI86" si="191">SUM(BH76,AY76)</f>
        <v>0</v>
      </c>
      <c r="BJ76" s="300">
        <v>48</v>
      </c>
      <c r="BK76" s="420"/>
      <c r="BL76" s="420"/>
      <c r="BM76" s="420"/>
      <c r="BN76" s="420"/>
      <c r="BO76" s="420"/>
      <c r="BP76" s="420"/>
      <c r="BQ76" s="420"/>
      <c r="BR76" s="420"/>
      <c r="BS76" s="412">
        <f t="shared" ref="BS76:BS86" si="192">SUM(BK76:BR76)</f>
        <v>0</v>
      </c>
      <c r="BT76" s="421"/>
      <c r="BU76" s="420"/>
      <c r="BV76" s="420"/>
      <c r="BW76" s="420"/>
      <c r="BX76" s="420"/>
      <c r="BY76" s="420"/>
      <c r="BZ76" s="420"/>
      <c r="CA76" s="420"/>
      <c r="CB76" s="414">
        <f t="shared" ref="CB76:CB86" si="193">SUM(BT76:CA76)</f>
        <v>0</v>
      </c>
      <c r="CC76" s="415">
        <f t="shared" ref="CC76:CC86" si="194">SUM(CB76,BS76)</f>
        <v>0</v>
      </c>
      <c r="CD76" s="300">
        <v>48</v>
      </c>
      <c r="CE76" s="414">
        <f t="shared" ref="CE76:CE86" si="195">+C76+D76+W76+X76+AQ76+AR76+BK76+BL76</f>
        <v>0</v>
      </c>
      <c r="CF76" s="414">
        <f t="shared" ref="CF76:CF86" si="196">+E76+F76+Y76+Z76+AS76+AT76+BM76+BN76</f>
        <v>0</v>
      </c>
      <c r="CG76" s="414">
        <f t="shared" ref="CG76:CG86" si="197">+G76+H76+AA76+AB76+AU76+AV76+BO76+BP76</f>
        <v>0</v>
      </c>
      <c r="CH76" s="414">
        <f t="shared" ref="CH76:CH86" si="198">+I76+J76+AC76+AD76+AW76+AX76+BQ76+BR76</f>
        <v>0</v>
      </c>
      <c r="CI76" s="416">
        <f t="shared" ref="CI76:CI86" si="199">SUM(K76,AE76,AY76,BS76)</f>
        <v>0</v>
      </c>
      <c r="CJ76" s="414">
        <f t="shared" ref="CJ76:CJ86" si="200">L76+M76+AF76+AG76+AZ76+BA76+BT76+BU76</f>
        <v>0</v>
      </c>
      <c r="CK76" s="414">
        <f t="shared" ref="CK76:CK86" si="201">N76+O76+AH76+AI76+BB76+BC76+BV76+BW76</f>
        <v>0</v>
      </c>
      <c r="CL76" s="414">
        <f t="shared" ref="CL76:CL86" si="202">P76+Q76+AJ76+AK76+BD76+BE76+BX76+BY76</f>
        <v>0</v>
      </c>
      <c r="CM76" s="414">
        <f t="shared" ref="CM76:CM86" si="203">+R76+S76+AL76+AM76+BF76+BG76+BZ76+CA76</f>
        <v>0</v>
      </c>
      <c r="CN76" s="416">
        <f t="shared" ref="CN76:CN86" si="204">SUM(T76,AN76,BH76,CB76)</f>
        <v>0</v>
      </c>
      <c r="CO76" s="414">
        <f t="shared" ref="CO76:CO86" si="205">+C76+D76+L76+M76+W76+X76+AF76+AG76+AQ76+AR76+AZ76+BA76+BK76+BL76+BT76+BU76</f>
        <v>0</v>
      </c>
      <c r="CP76" s="414">
        <f t="shared" ref="CP76:CP86" si="206">+E76+F76+N76+O76+Y76+Z76+AH76+AI76+AS76+AT76+BB76+BC76+BM76+BN76+BV76+BW76</f>
        <v>0</v>
      </c>
      <c r="CQ76" s="414">
        <f t="shared" ref="CQ76:CQ86" si="207">+G76+H76+P76+Q76+AA76+AB76+AJ76+AK76+AU76+AV76+BD76+BE76+BO76+BP76+BX76+BY76</f>
        <v>0</v>
      </c>
      <c r="CR76" s="414">
        <f t="shared" ref="CR76:CR86" si="208">+I76+J76+R76+S76+AC76+AD76+AL76+AM76+AW76+AX76+BF76+BG76+BQ76+BR76+BZ76+CA76</f>
        <v>0</v>
      </c>
      <c r="CS76" s="416">
        <f t="shared" ref="CS76:CS86" si="209">SUM(CC76,BI76,AO76,U76)</f>
        <v>0</v>
      </c>
      <c r="CT76" s="318"/>
      <c r="CU76" s="318"/>
      <c r="CV76" s="318"/>
      <c r="CW76" s="318"/>
      <c r="CX76" s="318"/>
      <c r="CY76" s="318"/>
      <c r="CZ76" s="318"/>
      <c r="DA76" s="318"/>
      <c r="DB76" s="318"/>
      <c r="DC76" s="318"/>
      <c r="DD76" s="318"/>
      <c r="DE76" s="318"/>
      <c r="DF76" s="318"/>
      <c r="DG76" s="318"/>
      <c r="DH76" s="318"/>
      <c r="DI76" s="318"/>
      <c r="DJ76" s="318"/>
      <c r="DK76" s="318"/>
      <c r="DL76" s="318"/>
      <c r="DM76" s="318"/>
      <c r="DN76" s="318"/>
      <c r="DO76" s="318"/>
      <c r="DP76" s="318"/>
      <c r="DQ76" s="318"/>
      <c r="DR76" s="318"/>
      <c r="DS76" s="318"/>
      <c r="DT76" s="318"/>
      <c r="DU76" s="318"/>
      <c r="DV76" s="318"/>
      <c r="DW76" s="318"/>
      <c r="DX76" s="318"/>
      <c r="DY76" s="318"/>
      <c r="DZ76" s="318"/>
      <c r="EA76" s="318"/>
    </row>
    <row r="77" spans="1:131" ht="15.75" customHeight="1">
      <c r="A77" s="88" t="s">
        <v>246</v>
      </c>
      <c r="B77" s="300">
        <v>49</v>
      </c>
      <c r="C77" s="420"/>
      <c r="D77" s="420"/>
      <c r="E77" s="420"/>
      <c r="F77" s="420"/>
      <c r="G77" s="420"/>
      <c r="H77" s="420"/>
      <c r="I77" s="420"/>
      <c r="J77" s="420"/>
      <c r="K77" s="412">
        <f t="shared" si="183"/>
        <v>0</v>
      </c>
      <c r="L77" s="421"/>
      <c r="M77" s="420"/>
      <c r="N77" s="420"/>
      <c r="O77" s="420"/>
      <c r="P77" s="420"/>
      <c r="Q77" s="420"/>
      <c r="R77" s="420"/>
      <c r="S77" s="420"/>
      <c r="T77" s="414">
        <f t="shared" si="184"/>
        <v>0</v>
      </c>
      <c r="U77" s="415">
        <f t="shared" si="185"/>
        <v>0</v>
      </c>
      <c r="V77" s="300">
        <v>49</v>
      </c>
      <c r="W77" s="420"/>
      <c r="X77" s="420"/>
      <c r="Y77" s="420"/>
      <c r="Z77" s="420"/>
      <c r="AA77" s="420"/>
      <c r="AB77" s="420"/>
      <c r="AC77" s="420"/>
      <c r="AD77" s="420"/>
      <c r="AE77" s="412">
        <f t="shared" si="186"/>
        <v>0</v>
      </c>
      <c r="AF77" s="421"/>
      <c r="AG77" s="420"/>
      <c r="AH77" s="420"/>
      <c r="AI77" s="420"/>
      <c r="AJ77" s="420"/>
      <c r="AK77" s="420"/>
      <c r="AL77" s="420"/>
      <c r="AM77" s="420"/>
      <c r="AN77" s="414">
        <f t="shared" si="187"/>
        <v>0</v>
      </c>
      <c r="AO77" s="415">
        <f t="shared" si="188"/>
        <v>0</v>
      </c>
      <c r="AP77" s="300">
        <v>49</v>
      </c>
      <c r="AQ77" s="420"/>
      <c r="AR77" s="420"/>
      <c r="AS77" s="420"/>
      <c r="AT77" s="420"/>
      <c r="AU77" s="420"/>
      <c r="AV77" s="420"/>
      <c r="AW77" s="420"/>
      <c r="AX77" s="420"/>
      <c r="AY77" s="412">
        <f t="shared" si="189"/>
        <v>0</v>
      </c>
      <c r="AZ77" s="421"/>
      <c r="BA77" s="420"/>
      <c r="BB77" s="420"/>
      <c r="BC77" s="420"/>
      <c r="BD77" s="420"/>
      <c r="BE77" s="420"/>
      <c r="BF77" s="420"/>
      <c r="BG77" s="420"/>
      <c r="BH77" s="414">
        <f t="shared" si="190"/>
        <v>0</v>
      </c>
      <c r="BI77" s="415">
        <f t="shared" si="191"/>
        <v>0</v>
      </c>
      <c r="BJ77" s="300">
        <v>49</v>
      </c>
      <c r="BK77" s="420"/>
      <c r="BL77" s="420"/>
      <c r="BM77" s="420"/>
      <c r="BN77" s="420"/>
      <c r="BO77" s="420"/>
      <c r="BP77" s="420"/>
      <c r="BQ77" s="420"/>
      <c r="BR77" s="420"/>
      <c r="BS77" s="412">
        <f t="shared" si="192"/>
        <v>0</v>
      </c>
      <c r="BT77" s="421"/>
      <c r="BU77" s="420"/>
      <c r="BV77" s="420"/>
      <c r="BW77" s="420"/>
      <c r="BX77" s="420"/>
      <c r="BY77" s="420"/>
      <c r="BZ77" s="420"/>
      <c r="CA77" s="420"/>
      <c r="CB77" s="414">
        <f t="shared" si="193"/>
        <v>0</v>
      </c>
      <c r="CC77" s="415">
        <f t="shared" si="194"/>
        <v>0</v>
      </c>
      <c r="CD77" s="300">
        <v>49</v>
      </c>
      <c r="CE77" s="414">
        <f t="shared" si="195"/>
        <v>0</v>
      </c>
      <c r="CF77" s="414">
        <f t="shared" si="196"/>
        <v>0</v>
      </c>
      <c r="CG77" s="414">
        <f t="shared" si="197"/>
        <v>0</v>
      </c>
      <c r="CH77" s="414">
        <f t="shared" si="198"/>
        <v>0</v>
      </c>
      <c r="CI77" s="416">
        <f t="shared" si="199"/>
        <v>0</v>
      </c>
      <c r="CJ77" s="414">
        <f t="shared" si="200"/>
        <v>0</v>
      </c>
      <c r="CK77" s="414">
        <f t="shared" si="201"/>
        <v>0</v>
      </c>
      <c r="CL77" s="414">
        <f t="shared" si="202"/>
        <v>0</v>
      </c>
      <c r="CM77" s="414">
        <f t="shared" si="203"/>
        <v>0</v>
      </c>
      <c r="CN77" s="416">
        <f t="shared" si="204"/>
        <v>0</v>
      </c>
      <c r="CO77" s="414">
        <f t="shared" si="205"/>
        <v>0</v>
      </c>
      <c r="CP77" s="414">
        <f t="shared" si="206"/>
        <v>0</v>
      </c>
      <c r="CQ77" s="414">
        <f t="shared" si="207"/>
        <v>0</v>
      </c>
      <c r="CR77" s="414">
        <f t="shared" si="208"/>
        <v>0</v>
      </c>
      <c r="CS77" s="416">
        <f t="shared" si="209"/>
        <v>0</v>
      </c>
    </row>
    <row r="78" spans="1:131" ht="15.75" customHeight="1">
      <c r="A78" s="88" t="s">
        <v>248</v>
      </c>
      <c r="B78" s="300">
        <v>50</v>
      </c>
      <c r="C78" s="420"/>
      <c r="D78" s="420"/>
      <c r="E78" s="420"/>
      <c r="F78" s="420"/>
      <c r="G78" s="420"/>
      <c r="H78" s="420"/>
      <c r="I78" s="420"/>
      <c r="J78" s="420"/>
      <c r="K78" s="412">
        <f t="shared" si="183"/>
        <v>0</v>
      </c>
      <c r="L78" s="421"/>
      <c r="M78" s="420"/>
      <c r="N78" s="420"/>
      <c r="O78" s="420"/>
      <c r="P78" s="420"/>
      <c r="Q78" s="420"/>
      <c r="R78" s="420"/>
      <c r="S78" s="420"/>
      <c r="T78" s="414">
        <f t="shared" si="184"/>
        <v>0</v>
      </c>
      <c r="U78" s="415">
        <f t="shared" si="185"/>
        <v>0</v>
      </c>
      <c r="V78" s="300">
        <v>50</v>
      </c>
      <c r="W78" s="420"/>
      <c r="X78" s="420"/>
      <c r="Y78" s="420"/>
      <c r="Z78" s="420"/>
      <c r="AA78" s="420"/>
      <c r="AB78" s="420"/>
      <c r="AC78" s="420"/>
      <c r="AD78" s="420"/>
      <c r="AE78" s="412">
        <f t="shared" si="186"/>
        <v>0</v>
      </c>
      <c r="AF78" s="421"/>
      <c r="AG78" s="420"/>
      <c r="AH78" s="420"/>
      <c r="AI78" s="420"/>
      <c r="AJ78" s="420"/>
      <c r="AK78" s="420"/>
      <c r="AL78" s="420"/>
      <c r="AM78" s="420"/>
      <c r="AN78" s="414">
        <f t="shared" si="187"/>
        <v>0</v>
      </c>
      <c r="AO78" s="415">
        <f t="shared" si="188"/>
        <v>0</v>
      </c>
      <c r="AP78" s="300">
        <v>50</v>
      </c>
      <c r="AQ78" s="420"/>
      <c r="AR78" s="420"/>
      <c r="AS78" s="420"/>
      <c r="AT78" s="420"/>
      <c r="AU78" s="420"/>
      <c r="AV78" s="420"/>
      <c r="AW78" s="420"/>
      <c r="AX78" s="420"/>
      <c r="AY78" s="412">
        <f t="shared" si="189"/>
        <v>0</v>
      </c>
      <c r="AZ78" s="421"/>
      <c r="BA78" s="420"/>
      <c r="BB78" s="420"/>
      <c r="BC78" s="420"/>
      <c r="BD78" s="420"/>
      <c r="BE78" s="420"/>
      <c r="BF78" s="420"/>
      <c r="BG78" s="420"/>
      <c r="BH78" s="414">
        <f t="shared" si="190"/>
        <v>0</v>
      </c>
      <c r="BI78" s="415">
        <f t="shared" si="191"/>
        <v>0</v>
      </c>
      <c r="BJ78" s="300">
        <v>50</v>
      </c>
      <c r="BK78" s="420"/>
      <c r="BL78" s="420"/>
      <c r="BM78" s="420"/>
      <c r="BN78" s="420"/>
      <c r="BO78" s="420"/>
      <c r="BP78" s="420"/>
      <c r="BQ78" s="420"/>
      <c r="BR78" s="420"/>
      <c r="BS78" s="412">
        <f t="shared" si="192"/>
        <v>0</v>
      </c>
      <c r="BT78" s="421"/>
      <c r="BU78" s="420"/>
      <c r="BV78" s="420"/>
      <c r="BW78" s="420"/>
      <c r="BX78" s="420"/>
      <c r="BY78" s="420"/>
      <c r="BZ78" s="420"/>
      <c r="CA78" s="420"/>
      <c r="CB78" s="414">
        <f t="shared" si="193"/>
        <v>0</v>
      </c>
      <c r="CC78" s="415">
        <f t="shared" si="194"/>
        <v>0</v>
      </c>
      <c r="CD78" s="300">
        <v>50</v>
      </c>
      <c r="CE78" s="414">
        <f t="shared" si="195"/>
        <v>0</v>
      </c>
      <c r="CF78" s="414">
        <f t="shared" si="196"/>
        <v>0</v>
      </c>
      <c r="CG78" s="414">
        <f t="shared" si="197"/>
        <v>0</v>
      </c>
      <c r="CH78" s="414">
        <f t="shared" si="198"/>
        <v>0</v>
      </c>
      <c r="CI78" s="416">
        <f t="shared" si="199"/>
        <v>0</v>
      </c>
      <c r="CJ78" s="414">
        <f t="shared" si="200"/>
        <v>0</v>
      </c>
      <c r="CK78" s="414">
        <f t="shared" si="201"/>
        <v>0</v>
      </c>
      <c r="CL78" s="414">
        <f t="shared" si="202"/>
        <v>0</v>
      </c>
      <c r="CM78" s="414">
        <f t="shared" si="203"/>
        <v>0</v>
      </c>
      <c r="CN78" s="416">
        <f t="shared" si="204"/>
        <v>0</v>
      </c>
      <c r="CO78" s="414">
        <f t="shared" si="205"/>
        <v>0</v>
      </c>
      <c r="CP78" s="414">
        <f t="shared" si="206"/>
        <v>0</v>
      </c>
      <c r="CQ78" s="414">
        <f t="shared" si="207"/>
        <v>0</v>
      </c>
      <c r="CR78" s="414">
        <f t="shared" si="208"/>
        <v>0</v>
      </c>
      <c r="CS78" s="416">
        <f t="shared" si="209"/>
        <v>0</v>
      </c>
    </row>
    <row r="79" spans="1:131" ht="15.75" customHeight="1">
      <c r="A79" s="88" t="s">
        <v>250</v>
      </c>
      <c r="B79" s="300">
        <v>51</v>
      </c>
      <c r="C79" s="420">
        <v>10077.068284086099</v>
      </c>
      <c r="D79" s="420">
        <v>19123.191505449835</v>
      </c>
      <c r="E79" s="420">
        <v>10263.193267692233</v>
      </c>
      <c r="F79" s="420">
        <v>19687.1193138116</v>
      </c>
      <c r="G79" s="420">
        <v>10092.071688598664</v>
      </c>
      <c r="H79" s="420">
        <v>19929.851746547491</v>
      </c>
      <c r="I79" s="420">
        <v>10562.488957526059</v>
      </c>
      <c r="J79" s="420">
        <v>20058.261877524237</v>
      </c>
      <c r="K79" s="412">
        <f t="shared" si="183"/>
        <v>119793.24664123621</v>
      </c>
      <c r="L79" s="421">
        <v>0</v>
      </c>
      <c r="M79" s="420">
        <v>43841.827880546785</v>
      </c>
      <c r="N79" s="420">
        <v>0</v>
      </c>
      <c r="O79" s="420">
        <v>39209.406199931414</v>
      </c>
      <c r="P79" s="420">
        <v>0</v>
      </c>
      <c r="Q79" s="420">
        <v>41802.825070325503</v>
      </c>
      <c r="R79" s="420">
        <v>0</v>
      </c>
      <c r="S79" s="420">
        <v>41880.201856862885</v>
      </c>
      <c r="T79" s="414">
        <f t="shared" si="184"/>
        <v>166734.26100766659</v>
      </c>
      <c r="U79" s="415">
        <f t="shared" si="185"/>
        <v>286527.50764890283</v>
      </c>
      <c r="V79" s="300">
        <v>51</v>
      </c>
      <c r="W79" s="420">
        <v>1541.0537029028587</v>
      </c>
      <c r="X79" s="420">
        <v>8711.5313292253177</v>
      </c>
      <c r="Y79" s="420">
        <v>1591.106047032484</v>
      </c>
      <c r="Z79" s="420">
        <v>8246.8497865684058</v>
      </c>
      <c r="AA79" s="420">
        <v>1435.2534350723911</v>
      </c>
      <c r="AB79" s="420">
        <v>8149.5781824785254</v>
      </c>
      <c r="AC79" s="420">
        <v>1531.1693645650864</v>
      </c>
      <c r="AD79" s="420">
        <v>8312.1649609182878</v>
      </c>
      <c r="AE79" s="412">
        <f t="shared" si="186"/>
        <v>39518.70680876336</v>
      </c>
      <c r="AF79" s="421">
        <v>0</v>
      </c>
      <c r="AG79" s="420">
        <v>13226.623493870458</v>
      </c>
      <c r="AH79" s="420">
        <v>0</v>
      </c>
      <c r="AI79" s="420">
        <v>10660.038833439135</v>
      </c>
      <c r="AJ79" s="420">
        <v>0</v>
      </c>
      <c r="AK79" s="420">
        <v>11039.243213023443</v>
      </c>
      <c r="AL79" s="420">
        <v>0</v>
      </c>
      <c r="AM79" s="420">
        <v>10977.452257855537</v>
      </c>
      <c r="AN79" s="414">
        <f t="shared" si="187"/>
        <v>45903.357798188576</v>
      </c>
      <c r="AO79" s="415">
        <f t="shared" si="188"/>
        <v>85422.064606951928</v>
      </c>
      <c r="AP79" s="300">
        <v>51</v>
      </c>
      <c r="AQ79" s="420">
        <v>167540.67509830999</v>
      </c>
      <c r="AR79" s="420">
        <v>378034.5467352008</v>
      </c>
      <c r="AS79" s="420">
        <v>178120.54091797976</v>
      </c>
      <c r="AT79" s="420">
        <v>396936.34552707663</v>
      </c>
      <c r="AU79" s="420">
        <v>181988.29341273522</v>
      </c>
      <c r="AV79" s="420">
        <v>404295.23128226696</v>
      </c>
      <c r="AW79" s="420">
        <v>197333.52480938716</v>
      </c>
      <c r="AX79" s="420">
        <v>421751.93572825467</v>
      </c>
      <c r="AY79" s="412">
        <f t="shared" si="189"/>
        <v>2326001.0935112112</v>
      </c>
      <c r="AZ79" s="421">
        <v>0</v>
      </c>
      <c r="BA79" s="420">
        <v>326334.53869105113</v>
      </c>
      <c r="BB79" s="420">
        <v>0</v>
      </c>
      <c r="BC79" s="420">
        <v>267838.18241450662</v>
      </c>
      <c r="BD79" s="420">
        <v>0</v>
      </c>
      <c r="BE79" s="420">
        <v>297539.75676397776</v>
      </c>
      <c r="BF79" s="420">
        <v>0</v>
      </c>
      <c r="BG79" s="420">
        <v>302131.08161586442</v>
      </c>
      <c r="BH79" s="414">
        <f t="shared" si="190"/>
        <v>1193843.5594854001</v>
      </c>
      <c r="BI79" s="415">
        <f t="shared" si="191"/>
        <v>3519844.6529966113</v>
      </c>
      <c r="BJ79" s="300">
        <v>51</v>
      </c>
      <c r="BK79" s="420">
        <v>3500.5822004661932</v>
      </c>
      <c r="BL79" s="420">
        <v>35983.944878825947</v>
      </c>
      <c r="BM79" s="420">
        <v>3395.0002508765283</v>
      </c>
      <c r="BN79" s="420">
        <v>34261.677018035261</v>
      </c>
      <c r="BO79" s="420">
        <v>3026.1336320326486</v>
      </c>
      <c r="BP79" s="420">
        <v>32224.911564626862</v>
      </c>
      <c r="BQ79" s="420">
        <v>3392.9286098335256</v>
      </c>
      <c r="BR79" s="420">
        <v>34298.575432537211</v>
      </c>
      <c r="BS79" s="412">
        <f t="shared" si="192"/>
        <v>150083.75358723418</v>
      </c>
      <c r="BT79" s="421">
        <v>0</v>
      </c>
      <c r="BU79" s="420">
        <v>12142.493551927346</v>
      </c>
      <c r="BV79" s="420">
        <v>0</v>
      </c>
      <c r="BW79" s="420">
        <v>10362.665717303496</v>
      </c>
      <c r="BX79" s="420">
        <v>0</v>
      </c>
      <c r="BY79" s="420">
        <v>11087.499714288142</v>
      </c>
      <c r="BZ79" s="420">
        <v>0</v>
      </c>
      <c r="CA79" s="420">
        <v>12764.515489463643</v>
      </c>
      <c r="CB79" s="414">
        <f t="shared" si="193"/>
        <v>46357.174472982624</v>
      </c>
      <c r="CC79" s="415">
        <f t="shared" si="194"/>
        <v>196440.9280602168</v>
      </c>
      <c r="CD79" s="300">
        <v>51</v>
      </c>
      <c r="CE79" s="414">
        <f t="shared" si="195"/>
        <v>624512.59373446694</v>
      </c>
      <c r="CF79" s="414">
        <f t="shared" si="196"/>
        <v>652501.83212907286</v>
      </c>
      <c r="CG79" s="414">
        <f t="shared" si="197"/>
        <v>661141.32494435878</v>
      </c>
      <c r="CH79" s="414">
        <f t="shared" si="198"/>
        <v>697241.04974054615</v>
      </c>
      <c r="CI79" s="416">
        <f t="shared" si="199"/>
        <v>2635396.800548445</v>
      </c>
      <c r="CJ79" s="414">
        <f t="shared" si="200"/>
        <v>395545.48361739569</v>
      </c>
      <c r="CK79" s="414">
        <f t="shared" si="201"/>
        <v>328070.29316518072</v>
      </c>
      <c r="CL79" s="414">
        <f t="shared" si="202"/>
        <v>361469.32476161484</v>
      </c>
      <c r="CM79" s="414">
        <f t="shared" si="203"/>
        <v>367753.25122004648</v>
      </c>
      <c r="CN79" s="416">
        <f t="shared" si="204"/>
        <v>1452838.3527642377</v>
      </c>
      <c r="CO79" s="414">
        <f t="shared" si="205"/>
        <v>1020058.0773518628</v>
      </c>
      <c r="CP79" s="414">
        <f t="shared" si="206"/>
        <v>980572.1252942537</v>
      </c>
      <c r="CQ79" s="414">
        <f t="shared" si="207"/>
        <v>1022610.6497059736</v>
      </c>
      <c r="CR79" s="414">
        <f t="shared" si="208"/>
        <v>1064994.3009605927</v>
      </c>
      <c r="CS79" s="416">
        <f t="shared" si="209"/>
        <v>4088235.1533126831</v>
      </c>
    </row>
    <row r="80" spans="1:131" ht="15.75" customHeight="1">
      <c r="A80" s="88" t="s">
        <v>252</v>
      </c>
      <c r="B80" s="300">
        <v>52</v>
      </c>
      <c r="C80" s="420"/>
      <c r="D80" s="420"/>
      <c r="E80" s="420"/>
      <c r="F80" s="420"/>
      <c r="G80" s="420"/>
      <c r="H80" s="420"/>
      <c r="I80" s="420"/>
      <c r="J80" s="420"/>
      <c r="K80" s="412">
        <f t="shared" si="183"/>
        <v>0</v>
      </c>
      <c r="L80" s="421"/>
      <c r="M80" s="420"/>
      <c r="N80" s="420"/>
      <c r="O80" s="420"/>
      <c r="P80" s="420"/>
      <c r="Q80" s="420"/>
      <c r="R80" s="420"/>
      <c r="S80" s="420"/>
      <c r="T80" s="414">
        <f t="shared" si="184"/>
        <v>0</v>
      </c>
      <c r="U80" s="415">
        <f t="shared" si="185"/>
        <v>0</v>
      </c>
      <c r="V80" s="300">
        <v>52</v>
      </c>
      <c r="W80" s="420"/>
      <c r="X80" s="420"/>
      <c r="Y80" s="420"/>
      <c r="Z80" s="420"/>
      <c r="AA80" s="420"/>
      <c r="AB80" s="420"/>
      <c r="AC80" s="420"/>
      <c r="AD80" s="420"/>
      <c r="AE80" s="412">
        <f t="shared" si="186"/>
        <v>0</v>
      </c>
      <c r="AF80" s="421"/>
      <c r="AG80" s="420"/>
      <c r="AH80" s="420"/>
      <c r="AI80" s="420"/>
      <c r="AJ80" s="420"/>
      <c r="AK80" s="420"/>
      <c r="AL80" s="420"/>
      <c r="AM80" s="420"/>
      <c r="AN80" s="414">
        <f t="shared" si="187"/>
        <v>0</v>
      </c>
      <c r="AO80" s="415">
        <f t="shared" si="188"/>
        <v>0</v>
      </c>
      <c r="AP80" s="300">
        <v>52</v>
      </c>
      <c r="AQ80" s="420"/>
      <c r="AR80" s="420"/>
      <c r="AS80" s="420"/>
      <c r="AT80" s="420"/>
      <c r="AU80" s="420"/>
      <c r="AV80" s="420"/>
      <c r="AW80" s="420"/>
      <c r="AX80" s="420"/>
      <c r="AY80" s="412">
        <f t="shared" si="189"/>
        <v>0</v>
      </c>
      <c r="AZ80" s="421"/>
      <c r="BA80" s="420"/>
      <c r="BB80" s="420"/>
      <c r="BC80" s="420"/>
      <c r="BD80" s="420"/>
      <c r="BE80" s="420"/>
      <c r="BF80" s="420"/>
      <c r="BG80" s="420"/>
      <c r="BH80" s="414">
        <f t="shared" si="190"/>
        <v>0</v>
      </c>
      <c r="BI80" s="415">
        <f t="shared" si="191"/>
        <v>0</v>
      </c>
      <c r="BJ80" s="300">
        <v>52</v>
      </c>
      <c r="BK80" s="420"/>
      <c r="BL80" s="420"/>
      <c r="BM80" s="420"/>
      <c r="BN80" s="420"/>
      <c r="BO80" s="420"/>
      <c r="BP80" s="420"/>
      <c r="BQ80" s="420"/>
      <c r="BR80" s="420"/>
      <c r="BS80" s="412">
        <f t="shared" si="192"/>
        <v>0</v>
      </c>
      <c r="BT80" s="421"/>
      <c r="BU80" s="420"/>
      <c r="BV80" s="420"/>
      <c r="BW80" s="420"/>
      <c r="BX80" s="420"/>
      <c r="BY80" s="420"/>
      <c r="BZ80" s="420"/>
      <c r="CA80" s="420"/>
      <c r="CB80" s="414">
        <f t="shared" si="193"/>
        <v>0</v>
      </c>
      <c r="CC80" s="415">
        <f t="shared" si="194"/>
        <v>0</v>
      </c>
      <c r="CD80" s="300">
        <v>52</v>
      </c>
      <c r="CE80" s="414">
        <f t="shared" si="195"/>
        <v>0</v>
      </c>
      <c r="CF80" s="414">
        <f t="shared" si="196"/>
        <v>0</v>
      </c>
      <c r="CG80" s="414">
        <f t="shared" si="197"/>
        <v>0</v>
      </c>
      <c r="CH80" s="414">
        <f t="shared" si="198"/>
        <v>0</v>
      </c>
      <c r="CI80" s="416">
        <f t="shared" si="199"/>
        <v>0</v>
      </c>
      <c r="CJ80" s="414">
        <f t="shared" si="200"/>
        <v>0</v>
      </c>
      <c r="CK80" s="414">
        <f t="shared" si="201"/>
        <v>0</v>
      </c>
      <c r="CL80" s="414">
        <f t="shared" si="202"/>
        <v>0</v>
      </c>
      <c r="CM80" s="414">
        <f t="shared" si="203"/>
        <v>0</v>
      </c>
      <c r="CN80" s="416">
        <f t="shared" si="204"/>
        <v>0</v>
      </c>
      <c r="CO80" s="414">
        <f t="shared" si="205"/>
        <v>0</v>
      </c>
      <c r="CP80" s="414">
        <f t="shared" si="206"/>
        <v>0</v>
      </c>
      <c r="CQ80" s="414">
        <f t="shared" si="207"/>
        <v>0</v>
      </c>
      <c r="CR80" s="414">
        <f t="shared" si="208"/>
        <v>0</v>
      </c>
      <c r="CS80" s="416">
        <f t="shared" si="209"/>
        <v>0</v>
      </c>
    </row>
    <row r="81" spans="1:131" ht="15.75" customHeight="1">
      <c r="A81" s="88" t="s">
        <v>254</v>
      </c>
      <c r="B81" s="300">
        <v>53</v>
      </c>
      <c r="C81" s="420">
        <v>73085.334659404209</v>
      </c>
      <c r="D81" s="420">
        <v>138693.59733711768</v>
      </c>
      <c r="E81" s="420">
        <v>79360.670656282324</v>
      </c>
      <c r="F81" s="420">
        <v>152231.66428645578</v>
      </c>
      <c r="G81" s="420">
        <v>78055.457476843963</v>
      </c>
      <c r="H81" s="420">
        <v>154144.13844086058</v>
      </c>
      <c r="I81" s="420">
        <v>85233.071744586821</v>
      </c>
      <c r="J81" s="420">
        <v>161858.3726386363</v>
      </c>
      <c r="K81" s="412">
        <f t="shared" si="183"/>
        <v>922662.30724018766</v>
      </c>
      <c r="L81" s="421">
        <v>0</v>
      </c>
      <c r="M81" s="420">
        <v>317968.93425738573</v>
      </c>
      <c r="N81" s="420">
        <v>0</v>
      </c>
      <c r="O81" s="420">
        <v>303188.75333435484</v>
      </c>
      <c r="P81" s="420">
        <v>0</v>
      </c>
      <c r="Q81" s="420">
        <v>323317.02898771374</v>
      </c>
      <c r="R81" s="420">
        <v>0</v>
      </c>
      <c r="S81" s="420">
        <v>337948.58994861733</v>
      </c>
      <c r="T81" s="414">
        <f t="shared" si="184"/>
        <v>1282423.3065280716</v>
      </c>
      <c r="U81" s="415">
        <f t="shared" si="185"/>
        <v>2205085.6137682591</v>
      </c>
      <c r="V81" s="300">
        <v>53</v>
      </c>
      <c r="W81" s="420">
        <v>11176.70560818115</v>
      </c>
      <c r="X81" s="420">
        <v>63181.588597328664</v>
      </c>
      <c r="Y81" s="420">
        <v>12303.309475351756</v>
      </c>
      <c r="Z81" s="420">
        <v>63769.190815486982</v>
      </c>
      <c r="AA81" s="420">
        <v>11100.730050932001</v>
      </c>
      <c r="AB81" s="420">
        <v>63031.563082861561</v>
      </c>
      <c r="AC81" s="420">
        <v>12355.635951704375</v>
      </c>
      <c r="AD81" s="420">
        <v>67074.281006654608</v>
      </c>
      <c r="AE81" s="412">
        <f t="shared" si="186"/>
        <v>303993.00458850106</v>
      </c>
      <c r="AF81" s="421">
        <v>0</v>
      </c>
      <c r="AG81" s="420">
        <v>95927.920424043172</v>
      </c>
      <c r="AH81" s="420">
        <v>0</v>
      </c>
      <c r="AI81" s="420">
        <v>82429.299437130336</v>
      </c>
      <c r="AJ81" s="420">
        <v>0</v>
      </c>
      <c r="AK81" s="420">
        <v>85381.198804220694</v>
      </c>
      <c r="AL81" s="420">
        <v>0</v>
      </c>
      <c r="AM81" s="420">
        <v>88581.581446284719</v>
      </c>
      <c r="AN81" s="414">
        <f t="shared" si="187"/>
        <v>352320.00011167891</v>
      </c>
      <c r="AO81" s="415">
        <f t="shared" si="188"/>
        <v>656313.00470017991</v>
      </c>
      <c r="AP81" s="300">
        <v>53</v>
      </c>
      <c r="AQ81" s="420">
        <v>1215111.9714014111</v>
      </c>
      <c r="AR81" s="420">
        <v>2741747.9550664783</v>
      </c>
      <c r="AS81" s="420">
        <v>1377326.2586225464</v>
      </c>
      <c r="AT81" s="420">
        <v>3069330.7401747792</v>
      </c>
      <c r="AU81" s="420">
        <v>1407558.3226196463</v>
      </c>
      <c r="AV81" s="420">
        <v>3126954.525015438</v>
      </c>
      <c r="AW81" s="420">
        <v>1592365.4495947629</v>
      </c>
      <c r="AX81" s="420">
        <v>3403289.9954637433</v>
      </c>
      <c r="AY81" s="412">
        <f t="shared" si="189"/>
        <v>17933685.217958804</v>
      </c>
      <c r="AZ81" s="421">
        <v>0</v>
      </c>
      <c r="BA81" s="420">
        <v>2366786.4798358632</v>
      </c>
      <c r="BB81" s="420">
        <v>0</v>
      </c>
      <c r="BC81" s="420">
        <v>2071072.5433463929</v>
      </c>
      <c r="BD81" s="420">
        <v>0</v>
      </c>
      <c r="BE81" s="420">
        <v>2301271.983432177</v>
      </c>
      <c r="BF81" s="420">
        <v>0</v>
      </c>
      <c r="BG81" s="420">
        <v>2438020.0783344633</v>
      </c>
      <c r="BH81" s="414">
        <f t="shared" si="190"/>
        <v>9177151.0849488974</v>
      </c>
      <c r="BI81" s="415">
        <f t="shared" si="191"/>
        <v>27110836.302907702</v>
      </c>
      <c r="BJ81" s="300">
        <v>53</v>
      </c>
      <c r="BK81" s="420">
        <v>25388.457675518057</v>
      </c>
      <c r="BL81" s="420">
        <v>260978.54849189971</v>
      </c>
      <c r="BM81" s="420">
        <v>26252.014335143816</v>
      </c>
      <c r="BN81" s="420">
        <v>264930.18255044619</v>
      </c>
      <c r="BO81" s="420">
        <v>23405.129523725198</v>
      </c>
      <c r="BP81" s="420">
        <v>249238.24284457258</v>
      </c>
      <c r="BQ81" s="420">
        <v>27378.93774744698</v>
      </c>
      <c r="BR81" s="420">
        <v>276769.32514050911</v>
      </c>
      <c r="BS81" s="412">
        <f t="shared" si="192"/>
        <v>1154340.8383092617</v>
      </c>
      <c r="BT81" s="421">
        <v>0</v>
      </c>
      <c r="BU81" s="420">
        <v>88065.117733073945</v>
      </c>
      <c r="BV81" s="420">
        <v>0</v>
      </c>
      <c r="BW81" s="420">
        <v>80129.846497277482</v>
      </c>
      <c r="BX81" s="420">
        <v>0</v>
      </c>
      <c r="BY81" s="420">
        <v>85754.430723163896</v>
      </c>
      <c r="BZ81" s="420">
        <v>0</v>
      </c>
      <c r="CA81" s="420">
        <v>103002.13035708258</v>
      </c>
      <c r="CB81" s="414">
        <f t="shared" si="193"/>
        <v>356951.52531059791</v>
      </c>
      <c r="CC81" s="415">
        <f t="shared" si="194"/>
        <v>1511292.3636198596</v>
      </c>
      <c r="CD81" s="300">
        <v>53</v>
      </c>
      <c r="CE81" s="414">
        <f t="shared" si="195"/>
        <v>4529364.1588373398</v>
      </c>
      <c r="CF81" s="414">
        <f t="shared" si="196"/>
        <v>5045504.0309164915</v>
      </c>
      <c r="CG81" s="414">
        <f t="shared" si="197"/>
        <v>5113488.1090548802</v>
      </c>
      <c r="CH81" s="414">
        <f t="shared" si="198"/>
        <v>5626325.0692880442</v>
      </c>
      <c r="CI81" s="416">
        <f t="shared" si="199"/>
        <v>20314681.368096754</v>
      </c>
      <c r="CJ81" s="414">
        <f t="shared" si="200"/>
        <v>2868748.4522503661</v>
      </c>
      <c r="CK81" s="414">
        <f t="shared" si="201"/>
        <v>2536820.4426151556</v>
      </c>
      <c r="CL81" s="414">
        <f t="shared" si="202"/>
        <v>2795724.641947275</v>
      </c>
      <c r="CM81" s="414">
        <f t="shared" si="203"/>
        <v>2967552.3800864476</v>
      </c>
      <c r="CN81" s="416">
        <f t="shared" si="204"/>
        <v>11168845.916899245</v>
      </c>
      <c r="CO81" s="414">
        <f t="shared" si="205"/>
        <v>7398112.6110877059</v>
      </c>
      <c r="CP81" s="414">
        <f t="shared" si="206"/>
        <v>7582324.4735316476</v>
      </c>
      <c r="CQ81" s="414">
        <f t="shared" si="207"/>
        <v>7909212.7510021562</v>
      </c>
      <c r="CR81" s="414">
        <f t="shared" si="208"/>
        <v>8593877.4493744932</v>
      </c>
      <c r="CS81" s="416">
        <f t="shared" si="209"/>
        <v>31483527.284996003</v>
      </c>
    </row>
    <row r="82" spans="1:131" ht="15.75" customHeight="1">
      <c r="A82" s="88" t="s">
        <v>256</v>
      </c>
      <c r="B82" s="300">
        <v>54</v>
      </c>
      <c r="C82" s="420"/>
      <c r="D82" s="420"/>
      <c r="E82" s="420"/>
      <c r="F82" s="420"/>
      <c r="G82" s="420"/>
      <c r="H82" s="420"/>
      <c r="I82" s="420"/>
      <c r="J82" s="420"/>
      <c r="K82" s="412">
        <f t="shared" si="183"/>
        <v>0</v>
      </c>
      <c r="L82" s="421"/>
      <c r="M82" s="420"/>
      <c r="N82" s="420"/>
      <c r="O82" s="420"/>
      <c r="P82" s="420"/>
      <c r="Q82" s="420"/>
      <c r="R82" s="420"/>
      <c r="S82" s="420"/>
      <c r="T82" s="414">
        <f t="shared" si="184"/>
        <v>0</v>
      </c>
      <c r="U82" s="415">
        <f t="shared" si="185"/>
        <v>0</v>
      </c>
      <c r="V82" s="300">
        <v>54</v>
      </c>
      <c r="W82" s="420"/>
      <c r="X82" s="420"/>
      <c r="Y82" s="420"/>
      <c r="Z82" s="420"/>
      <c r="AA82" s="420"/>
      <c r="AB82" s="420"/>
      <c r="AC82" s="420"/>
      <c r="AD82" s="420"/>
      <c r="AE82" s="412">
        <f t="shared" si="186"/>
        <v>0</v>
      </c>
      <c r="AF82" s="421"/>
      <c r="AG82" s="420"/>
      <c r="AH82" s="420"/>
      <c r="AI82" s="420"/>
      <c r="AJ82" s="420"/>
      <c r="AK82" s="420"/>
      <c r="AL82" s="420"/>
      <c r="AM82" s="420"/>
      <c r="AN82" s="414">
        <f t="shared" si="187"/>
        <v>0</v>
      </c>
      <c r="AO82" s="415">
        <f t="shared" si="188"/>
        <v>0</v>
      </c>
      <c r="AP82" s="300">
        <v>54</v>
      </c>
      <c r="AQ82" s="420"/>
      <c r="AR82" s="420"/>
      <c r="AS82" s="420"/>
      <c r="AT82" s="420"/>
      <c r="AU82" s="420"/>
      <c r="AV82" s="420"/>
      <c r="AW82" s="420"/>
      <c r="AX82" s="420"/>
      <c r="AY82" s="412">
        <f t="shared" si="189"/>
        <v>0</v>
      </c>
      <c r="AZ82" s="421"/>
      <c r="BA82" s="420"/>
      <c r="BB82" s="420"/>
      <c r="BC82" s="420"/>
      <c r="BD82" s="420"/>
      <c r="BE82" s="420"/>
      <c r="BF82" s="420"/>
      <c r="BG82" s="420"/>
      <c r="BH82" s="414">
        <f t="shared" si="190"/>
        <v>0</v>
      </c>
      <c r="BI82" s="415">
        <f t="shared" si="191"/>
        <v>0</v>
      </c>
      <c r="BJ82" s="300">
        <v>54</v>
      </c>
      <c r="BK82" s="420"/>
      <c r="BL82" s="420"/>
      <c r="BM82" s="420"/>
      <c r="BN82" s="420"/>
      <c r="BO82" s="420"/>
      <c r="BP82" s="420"/>
      <c r="BQ82" s="420"/>
      <c r="BR82" s="420"/>
      <c r="BS82" s="412">
        <f t="shared" si="192"/>
        <v>0</v>
      </c>
      <c r="BT82" s="421"/>
      <c r="BU82" s="420"/>
      <c r="BV82" s="420"/>
      <c r="BW82" s="420"/>
      <c r="BX82" s="420"/>
      <c r="BY82" s="420"/>
      <c r="BZ82" s="420"/>
      <c r="CA82" s="420"/>
      <c r="CB82" s="414">
        <f t="shared" si="193"/>
        <v>0</v>
      </c>
      <c r="CC82" s="415">
        <f t="shared" si="194"/>
        <v>0</v>
      </c>
      <c r="CD82" s="300">
        <v>54</v>
      </c>
      <c r="CE82" s="414">
        <f t="shared" si="195"/>
        <v>0</v>
      </c>
      <c r="CF82" s="414">
        <f t="shared" si="196"/>
        <v>0</v>
      </c>
      <c r="CG82" s="414">
        <f t="shared" si="197"/>
        <v>0</v>
      </c>
      <c r="CH82" s="414">
        <f t="shared" si="198"/>
        <v>0</v>
      </c>
      <c r="CI82" s="416">
        <f t="shared" si="199"/>
        <v>0</v>
      </c>
      <c r="CJ82" s="414">
        <f t="shared" si="200"/>
        <v>0</v>
      </c>
      <c r="CK82" s="414">
        <f t="shared" si="201"/>
        <v>0</v>
      </c>
      <c r="CL82" s="414">
        <f t="shared" si="202"/>
        <v>0</v>
      </c>
      <c r="CM82" s="414">
        <f t="shared" si="203"/>
        <v>0</v>
      </c>
      <c r="CN82" s="416">
        <f t="shared" si="204"/>
        <v>0</v>
      </c>
      <c r="CO82" s="414">
        <f t="shared" si="205"/>
        <v>0</v>
      </c>
      <c r="CP82" s="414">
        <f t="shared" si="206"/>
        <v>0</v>
      </c>
      <c r="CQ82" s="414">
        <f t="shared" si="207"/>
        <v>0</v>
      </c>
      <c r="CR82" s="414">
        <f t="shared" si="208"/>
        <v>0</v>
      </c>
      <c r="CS82" s="416">
        <f t="shared" si="209"/>
        <v>0</v>
      </c>
    </row>
    <row r="83" spans="1:131" ht="15.75" customHeight="1">
      <c r="A83" s="88" t="s">
        <v>258</v>
      </c>
      <c r="B83" s="300">
        <v>55</v>
      </c>
      <c r="C83" s="420"/>
      <c r="D83" s="420"/>
      <c r="E83" s="420"/>
      <c r="F83" s="420"/>
      <c r="G83" s="420"/>
      <c r="H83" s="420"/>
      <c r="I83" s="420"/>
      <c r="J83" s="420"/>
      <c r="K83" s="412">
        <f t="shared" si="183"/>
        <v>0</v>
      </c>
      <c r="L83" s="421"/>
      <c r="M83" s="420"/>
      <c r="N83" s="420"/>
      <c r="O83" s="420"/>
      <c r="P83" s="420"/>
      <c r="Q83" s="420"/>
      <c r="R83" s="420"/>
      <c r="S83" s="420"/>
      <c r="T83" s="414">
        <f t="shared" si="184"/>
        <v>0</v>
      </c>
      <c r="U83" s="415">
        <f t="shared" si="185"/>
        <v>0</v>
      </c>
      <c r="V83" s="300">
        <v>55</v>
      </c>
      <c r="W83" s="420"/>
      <c r="X83" s="420"/>
      <c r="Y83" s="420"/>
      <c r="Z83" s="420"/>
      <c r="AA83" s="420"/>
      <c r="AB83" s="420"/>
      <c r="AC83" s="420"/>
      <c r="AD83" s="420"/>
      <c r="AE83" s="412">
        <f t="shared" si="186"/>
        <v>0</v>
      </c>
      <c r="AF83" s="421"/>
      <c r="AG83" s="420"/>
      <c r="AH83" s="420"/>
      <c r="AI83" s="420"/>
      <c r="AJ83" s="420"/>
      <c r="AK83" s="420"/>
      <c r="AL83" s="420"/>
      <c r="AM83" s="420"/>
      <c r="AN83" s="414">
        <f t="shared" si="187"/>
        <v>0</v>
      </c>
      <c r="AO83" s="415">
        <f t="shared" si="188"/>
        <v>0</v>
      </c>
      <c r="AP83" s="300">
        <v>55</v>
      </c>
      <c r="AQ83" s="420"/>
      <c r="AR83" s="420"/>
      <c r="AS83" s="420"/>
      <c r="AT83" s="420"/>
      <c r="AU83" s="420"/>
      <c r="AV83" s="420"/>
      <c r="AW83" s="420"/>
      <c r="AX83" s="420"/>
      <c r="AY83" s="412">
        <f t="shared" si="189"/>
        <v>0</v>
      </c>
      <c r="AZ83" s="421"/>
      <c r="BA83" s="420"/>
      <c r="BB83" s="420"/>
      <c r="BC83" s="420"/>
      <c r="BD83" s="420"/>
      <c r="BE83" s="420"/>
      <c r="BF83" s="420"/>
      <c r="BG83" s="420"/>
      <c r="BH83" s="414">
        <f t="shared" si="190"/>
        <v>0</v>
      </c>
      <c r="BI83" s="415">
        <f t="shared" si="191"/>
        <v>0</v>
      </c>
      <c r="BJ83" s="300">
        <v>55</v>
      </c>
      <c r="BK83" s="420"/>
      <c r="BL83" s="420"/>
      <c r="BM83" s="420"/>
      <c r="BN83" s="420"/>
      <c r="BO83" s="420"/>
      <c r="BP83" s="420"/>
      <c r="BQ83" s="420"/>
      <c r="BR83" s="420"/>
      <c r="BS83" s="412">
        <f t="shared" si="192"/>
        <v>0</v>
      </c>
      <c r="BT83" s="421"/>
      <c r="BU83" s="420"/>
      <c r="BV83" s="420"/>
      <c r="BW83" s="420"/>
      <c r="BX83" s="420"/>
      <c r="BY83" s="420"/>
      <c r="BZ83" s="420"/>
      <c r="CA83" s="420"/>
      <c r="CB83" s="414">
        <f t="shared" si="193"/>
        <v>0</v>
      </c>
      <c r="CC83" s="415">
        <f t="shared" si="194"/>
        <v>0</v>
      </c>
      <c r="CD83" s="300">
        <v>55</v>
      </c>
      <c r="CE83" s="414">
        <f t="shared" si="195"/>
        <v>0</v>
      </c>
      <c r="CF83" s="414">
        <f t="shared" si="196"/>
        <v>0</v>
      </c>
      <c r="CG83" s="414">
        <f t="shared" si="197"/>
        <v>0</v>
      </c>
      <c r="CH83" s="414">
        <f t="shared" si="198"/>
        <v>0</v>
      </c>
      <c r="CI83" s="416">
        <f t="shared" si="199"/>
        <v>0</v>
      </c>
      <c r="CJ83" s="414">
        <f t="shared" si="200"/>
        <v>0</v>
      </c>
      <c r="CK83" s="414">
        <f t="shared" si="201"/>
        <v>0</v>
      </c>
      <c r="CL83" s="414">
        <f t="shared" si="202"/>
        <v>0</v>
      </c>
      <c r="CM83" s="414">
        <f t="shared" si="203"/>
        <v>0</v>
      </c>
      <c r="CN83" s="416">
        <f t="shared" si="204"/>
        <v>0</v>
      </c>
      <c r="CO83" s="414">
        <f t="shared" si="205"/>
        <v>0</v>
      </c>
      <c r="CP83" s="414">
        <f t="shared" si="206"/>
        <v>0</v>
      </c>
      <c r="CQ83" s="414">
        <f t="shared" si="207"/>
        <v>0</v>
      </c>
      <c r="CR83" s="414">
        <f t="shared" si="208"/>
        <v>0</v>
      </c>
      <c r="CS83" s="416">
        <f t="shared" si="209"/>
        <v>0</v>
      </c>
    </row>
    <row r="84" spans="1:131" ht="15.75" customHeight="1">
      <c r="A84" s="88" t="s">
        <v>260</v>
      </c>
      <c r="B84" s="300">
        <v>56</v>
      </c>
      <c r="C84" s="420"/>
      <c r="D84" s="420"/>
      <c r="E84" s="420"/>
      <c r="F84" s="420"/>
      <c r="G84" s="420"/>
      <c r="H84" s="420"/>
      <c r="I84" s="420"/>
      <c r="J84" s="420"/>
      <c r="K84" s="412">
        <f t="shared" si="183"/>
        <v>0</v>
      </c>
      <c r="L84" s="421"/>
      <c r="M84" s="420"/>
      <c r="N84" s="420"/>
      <c r="O84" s="420"/>
      <c r="P84" s="420"/>
      <c r="Q84" s="420"/>
      <c r="R84" s="420"/>
      <c r="S84" s="420"/>
      <c r="T84" s="414">
        <f t="shared" si="184"/>
        <v>0</v>
      </c>
      <c r="U84" s="415">
        <f t="shared" si="185"/>
        <v>0</v>
      </c>
      <c r="V84" s="300">
        <v>56</v>
      </c>
      <c r="W84" s="420"/>
      <c r="X84" s="420"/>
      <c r="Y84" s="420"/>
      <c r="Z84" s="420"/>
      <c r="AA84" s="420"/>
      <c r="AB84" s="420"/>
      <c r="AC84" s="420"/>
      <c r="AD84" s="420"/>
      <c r="AE84" s="412">
        <f t="shared" si="186"/>
        <v>0</v>
      </c>
      <c r="AF84" s="421"/>
      <c r="AG84" s="420"/>
      <c r="AH84" s="420"/>
      <c r="AI84" s="420"/>
      <c r="AJ84" s="420"/>
      <c r="AK84" s="420"/>
      <c r="AL84" s="420"/>
      <c r="AM84" s="420"/>
      <c r="AN84" s="414">
        <f t="shared" si="187"/>
        <v>0</v>
      </c>
      <c r="AO84" s="415">
        <f t="shared" si="188"/>
        <v>0</v>
      </c>
      <c r="AP84" s="300">
        <v>56</v>
      </c>
      <c r="AQ84" s="420"/>
      <c r="AR84" s="420"/>
      <c r="AS84" s="420"/>
      <c r="AT84" s="420"/>
      <c r="AU84" s="420"/>
      <c r="AV84" s="420"/>
      <c r="AW84" s="420"/>
      <c r="AX84" s="420"/>
      <c r="AY84" s="412">
        <f t="shared" si="189"/>
        <v>0</v>
      </c>
      <c r="AZ84" s="421"/>
      <c r="BA84" s="420"/>
      <c r="BB84" s="420"/>
      <c r="BC84" s="420"/>
      <c r="BD84" s="420"/>
      <c r="BE84" s="420"/>
      <c r="BF84" s="420"/>
      <c r="BG84" s="420"/>
      <c r="BH84" s="414">
        <f t="shared" si="190"/>
        <v>0</v>
      </c>
      <c r="BI84" s="415">
        <f t="shared" si="191"/>
        <v>0</v>
      </c>
      <c r="BJ84" s="300">
        <v>56</v>
      </c>
      <c r="BK84" s="420"/>
      <c r="BL84" s="420"/>
      <c r="BM84" s="420"/>
      <c r="BN84" s="420"/>
      <c r="BO84" s="420"/>
      <c r="BP84" s="420"/>
      <c r="BQ84" s="420"/>
      <c r="BR84" s="420"/>
      <c r="BS84" s="412">
        <f t="shared" si="192"/>
        <v>0</v>
      </c>
      <c r="BT84" s="421"/>
      <c r="BU84" s="420"/>
      <c r="BV84" s="420"/>
      <c r="BW84" s="420"/>
      <c r="BX84" s="420"/>
      <c r="BY84" s="420"/>
      <c r="BZ84" s="420"/>
      <c r="CA84" s="420"/>
      <c r="CB84" s="414">
        <f t="shared" si="193"/>
        <v>0</v>
      </c>
      <c r="CC84" s="415">
        <f t="shared" si="194"/>
        <v>0</v>
      </c>
      <c r="CD84" s="300">
        <v>56</v>
      </c>
      <c r="CE84" s="414">
        <f t="shared" si="195"/>
        <v>0</v>
      </c>
      <c r="CF84" s="414">
        <f t="shared" si="196"/>
        <v>0</v>
      </c>
      <c r="CG84" s="414">
        <f t="shared" si="197"/>
        <v>0</v>
      </c>
      <c r="CH84" s="414">
        <f t="shared" si="198"/>
        <v>0</v>
      </c>
      <c r="CI84" s="416">
        <f t="shared" si="199"/>
        <v>0</v>
      </c>
      <c r="CJ84" s="414">
        <f t="shared" si="200"/>
        <v>0</v>
      </c>
      <c r="CK84" s="414">
        <f t="shared" si="201"/>
        <v>0</v>
      </c>
      <c r="CL84" s="414">
        <f t="shared" si="202"/>
        <v>0</v>
      </c>
      <c r="CM84" s="414">
        <f t="shared" si="203"/>
        <v>0</v>
      </c>
      <c r="CN84" s="416">
        <f t="shared" si="204"/>
        <v>0</v>
      </c>
      <c r="CO84" s="414">
        <f t="shared" si="205"/>
        <v>0</v>
      </c>
      <c r="CP84" s="414">
        <f t="shared" si="206"/>
        <v>0</v>
      </c>
      <c r="CQ84" s="414">
        <f t="shared" si="207"/>
        <v>0</v>
      </c>
      <c r="CR84" s="414">
        <f t="shared" si="208"/>
        <v>0</v>
      </c>
      <c r="CS84" s="416">
        <f t="shared" si="209"/>
        <v>0</v>
      </c>
    </row>
    <row r="85" spans="1:131" ht="15.75" customHeight="1">
      <c r="A85" s="88" t="s">
        <v>262</v>
      </c>
      <c r="B85" s="300">
        <v>57</v>
      </c>
      <c r="C85" s="420"/>
      <c r="D85" s="420"/>
      <c r="E85" s="420"/>
      <c r="F85" s="420"/>
      <c r="G85" s="420"/>
      <c r="H85" s="420"/>
      <c r="I85" s="420"/>
      <c r="J85" s="420"/>
      <c r="K85" s="412">
        <f t="shared" si="183"/>
        <v>0</v>
      </c>
      <c r="L85" s="421"/>
      <c r="M85" s="420"/>
      <c r="N85" s="420"/>
      <c r="O85" s="420"/>
      <c r="P85" s="420"/>
      <c r="Q85" s="420"/>
      <c r="R85" s="420"/>
      <c r="S85" s="420"/>
      <c r="T85" s="414">
        <f t="shared" si="184"/>
        <v>0</v>
      </c>
      <c r="U85" s="415">
        <f t="shared" si="185"/>
        <v>0</v>
      </c>
      <c r="V85" s="300">
        <v>57</v>
      </c>
      <c r="W85" s="420"/>
      <c r="X85" s="420"/>
      <c r="Y85" s="420"/>
      <c r="Z85" s="420"/>
      <c r="AA85" s="420"/>
      <c r="AB85" s="420"/>
      <c r="AC85" s="420"/>
      <c r="AD85" s="420"/>
      <c r="AE85" s="412">
        <f t="shared" si="186"/>
        <v>0</v>
      </c>
      <c r="AF85" s="421"/>
      <c r="AG85" s="420"/>
      <c r="AH85" s="420"/>
      <c r="AI85" s="420"/>
      <c r="AJ85" s="420"/>
      <c r="AK85" s="420"/>
      <c r="AL85" s="420"/>
      <c r="AM85" s="420"/>
      <c r="AN85" s="414">
        <f t="shared" si="187"/>
        <v>0</v>
      </c>
      <c r="AO85" s="415">
        <f t="shared" si="188"/>
        <v>0</v>
      </c>
      <c r="AP85" s="300">
        <v>57</v>
      </c>
      <c r="AQ85" s="420"/>
      <c r="AR85" s="420"/>
      <c r="AS85" s="420"/>
      <c r="AT85" s="420"/>
      <c r="AU85" s="420"/>
      <c r="AV85" s="420"/>
      <c r="AW85" s="420"/>
      <c r="AX85" s="420"/>
      <c r="AY85" s="412">
        <f t="shared" si="189"/>
        <v>0</v>
      </c>
      <c r="AZ85" s="421"/>
      <c r="BA85" s="420"/>
      <c r="BB85" s="420"/>
      <c r="BC85" s="420"/>
      <c r="BD85" s="420"/>
      <c r="BE85" s="420"/>
      <c r="BF85" s="420"/>
      <c r="BG85" s="420"/>
      <c r="BH85" s="414">
        <f t="shared" si="190"/>
        <v>0</v>
      </c>
      <c r="BI85" s="415">
        <f t="shared" si="191"/>
        <v>0</v>
      </c>
      <c r="BJ85" s="300">
        <v>57</v>
      </c>
      <c r="BK85" s="420"/>
      <c r="BL85" s="420"/>
      <c r="BM85" s="420"/>
      <c r="BN85" s="420"/>
      <c r="BO85" s="420"/>
      <c r="BP85" s="420"/>
      <c r="BQ85" s="420"/>
      <c r="BR85" s="420"/>
      <c r="BS85" s="412">
        <f t="shared" si="192"/>
        <v>0</v>
      </c>
      <c r="BT85" s="421"/>
      <c r="BU85" s="420"/>
      <c r="BV85" s="420"/>
      <c r="BW85" s="420"/>
      <c r="BX85" s="420"/>
      <c r="BY85" s="420"/>
      <c r="BZ85" s="420"/>
      <c r="CA85" s="420"/>
      <c r="CB85" s="414">
        <f t="shared" si="193"/>
        <v>0</v>
      </c>
      <c r="CC85" s="415">
        <f t="shared" si="194"/>
        <v>0</v>
      </c>
      <c r="CD85" s="300">
        <v>57</v>
      </c>
      <c r="CE85" s="414">
        <f t="shared" si="195"/>
        <v>0</v>
      </c>
      <c r="CF85" s="414">
        <f t="shared" si="196"/>
        <v>0</v>
      </c>
      <c r="CG85" s="414">
        <f t="shared" si="197"/>
        <v>0</v>
      </c>
      <c r="CH85" s="414">
        <f t="shared" si="198"/>
        <v>0</v>
      </c>
      <c r="CI85" s="416">
        <f t="shared" si="199"/>
        <v>0</v>
      </c>
      <c r="CJ85" s="414">
        <f t="shared" si="200"/>
        <v>0</v>
      </c>
      <c r="CK85" s="414">
        <f t="shared" si="201"/>
        <v>0</v>
      </c>
      <c r="CL85" s="414">
        <f t="shared" si="202"/>
        <v>0</v>
      </c>
      <c r="CM85" s="414">
        <f t="shared" si="203"/>
        <v>0</v>
      </c>
      <c r="CN85" s="416">
        <f t="shared" si="204"/>
        <v>0</v>
      </c>
      <c r="CO85" s="414">
        <f t="shared" si="205"/>
        <v>0</v>
      </c>
      <c r="CP85" s="414">
        <f t="shared" si="206"/>
        <v>0</v>
      </c>
      <c r="CQ85" s="414">
        <f t="shared" si="207"/>
        <v>0</v>
      </c>
      <c r="CR85" s="414">
        <f t="shared" si="208"/>
        <v>0</v>
      </c>
      <c r="CS85" s="416">
        <f t="shared" si="209"/>
        <v>0</v>
      </c>
    </row>
    <row r="86" spans="1:131" ht="15.75" customHeight="1">
      <c r="A86" s="88" t="s">
        <v>264</v>
      </c>
      <c r="B86" s="300">
        <v>58</v>
      </c>
      <c r="C86" s="420">
        <v>14180.106942731025</v>
      </c>
      <c r="D86" s="420">
        <v>26909.503140098728</v>
      </c>
      <c r="E86" s="420">
        <v>21017.382361498865</v>
      </c>
      <c r="F86" s="420">
        <v>40316.079354887523</v>
      </c>
      <c r="G86" s="420">
        <v>27758.179654788502</v>
      </c>
      <c r="H86" s="420">
        <v>54816.931780117251</v>
      </c>
      <c r="I86" s="420">
        <v>25605.077930840038</v>
      </c>
      <c r="J86" s="420">
        <v>48624.274126720549</v>
      </c>
      <c r="K86" s="412">
        <f t="shared" si="183"/>
        <v>259227.53529168246</v>
      </c>
      <c r="L86" s="421">
        <v>0</v>
      </c>
      <c r="M86" s="420">
        <v>61692.725541289823</v>
      </c>
      <c r="N86" s="420">
        <v>0</v>
      </c>
      <c r="O86" s="420">
        <v>80294.608196205576</v>
      </c>
      <c r="P86" s="420">
        <v>0</v>
      </c>
      <c r="Q86" s="420">
        <v>114978.40722739807</v>
      </c>
      <c r="R86" s="420">
        <v>0</v>
      </c>
      <c r="S86" s="420">
        <v>101523.97191764262</v>
      </c>
      <c r="T86" s="414">
        <f t="shared" si="184"/>
        <v>358489.71288253611</v>
      </c>
      <c r="U86" s="415">
        <f t="shared" si="185"/>
        <v>617717.24817421858</v>
      </c>
      <c r="V86" s="300">
        <v>58</v>
      </c>
      <c r="W86" s="420">
        <v>2168.518233240889</v>
      </c>
      <c r="X86" s="420">
        <v>12258.569893631506</v>
      </c>
      <c r="Y86" s="420">
        <v>3258.3313298253984</v>
      </c>
      <c r="Z86" s="420">
        <v>16888.23261155712</v>
      </c>
      <c r="AA86" s="420">
        <v>3947.6555389415539</v>
      </c>
      <c r="AB86" s="420">
        <v>22415.363493260629</v>
      </c>
      <c r="AC86" s="420">
        <v>3711.7871614027804</v>
      </c>
      <c r="AD86" s="420">
        <v>20149.950684366017</v>
      </c>
      <c r="AE86" s="412">
        <f t="shared" si="186"/>
        <v>84798.4089462259</v>
      </c>
      <c r="AF86" s="421">
        <v>0</v>
      </c>
      <c r="AG86" s="420">
        <v>18612.053659546214</v>
      </c>
      <c r="AH86" s="420">
        <v>0</v>
      </c>
      <c r="AI86" s="420">
        <v>21830.058765052887</v>
      </c>
      <c r="AJ86" s="420">
        <v>0</v>
      </c>
      <c r="AK86" s="420">
        <v>30363.368970732972</v>
      </c>
      <c r="AL86" s="420">
        <v>0</v>
      </c>
      <c r="AM86" s="420">
        <v>26611.012013810527</v>
      </c>
      <c r="AN86" s="414">
        <f t="shared" si="187"/>
        <v>97416.493409142597</v>
      </c>
      <c r="AO86" s="415">
        <f t="shared" si="188"/>
        <v>182214.90235536848</v>
      </c>
      <c r="AP86" s="300">
        <v>58</v>
      </c>
      <c r="AQ86" s="420">
        <v>235757.52621456483</v>
      </c>
      <c r="AR86" s="420">
        <v>531957.3262411562</v>
      </c>
      <c r="AS86" s="420">
        <v>364762.44939231972</v>
      </c>
      <c r="AT86" s="420">
        <v>812862.30606027506</v>
      </c>
      <c r="AU86" s="420">
        <v>500557.65550358634</v>
      </c>
      <c r="AV86" s="420">
        <v>1112011.4887992572</v>
      </c>
      <c r="AW86" s="420">
        <v>478366.44387793663</v>
      </c>
      <c r="AX86" s="420">
        <v>1022390.7665351951</v>
      </c>
      <c r="AY86" s="412">
        <f t="shared" si="189"/>
        <v>5058665.962624291</v>
      </c>
      <c r="AZ86" s="421">
        <v>0</v>
      </c>
      <c r="BA86" s="420">
        <v>459206.83747411659</v>
      </c>
      <c r="BB86" s="420">
        <v>0</v>
      </c>
      <c r="BC86" s="420">
        <v>548489.86509248044</v>
      </c>
      <c r="BD86" s="420">
        <v>0</v>
      </c>
      <c r="BE86" s="420">
        <v>818381.22811069677</v>
      </c>
      <c r="BF86" s="420">
        <v>0</v>
      </c>
      <c r="BG86" s="420">
        <v>732411.64286292833</v>
      </c>
      <c r="BH86" s="414">
        <f t="shared" si="190"/>
        <v>2558489.5735402219</v>
      </c>
      <c r="BI86" s="415">
        <f t="shared" si="191"/>
        <v>7617155.5361645129</v>
      </c>
      <c r="BJ86" s="300">
        <v>58</v>
      </c>
      <c r="BK86" s="420">
        <v>4925.8999309175661</v>
      </c>
      <c r="BL86" s="420">
        <v>50635.380471609664</v>
      </c>
      <c r="BM86" s="420">
        <v>6952.418855316083</v>
      </c>
      <c r="BN86" s="420">
        <v>70162.448221745697</v>
      </c>
      <c r="BO86" s="420">
        <v>8323.3615068606141</v>
      </c>
      <c r="BP86" s="420">
        <v>88634.416418299414</v>
      </c>
      <c r="BQ86" s="420">
        <v>8224.9744182371469</v>
      </c>
      <c r="BR86" s="420">
        <v>83144.957632467587</v>
      </c>
      <c r="BS86" s="412">
        <f t="shared" si="192"/>
        <v>321003.85745545378</v>
      </c>
      <c r="BT86" s="421">
        <v>0</v>
      </c>
      <c r="BU86" s="420">
        <v>17086.502965318254</v>
      </c>
      <c r="BV86" s="420">
        <v>0</v>
      </c>
      <c r="BW86" s="420">
        <v>21221.086067878052</v>
      </c>
      <c r="BX86" s="420">
        <v>0</v>
      </c>
      <c r="BY86" s="420">
        <v>30496.098173710234</v>
      </c>
      <c r="BZ86" s="420">
        <v>0</v>
      </c>
      <c r="CA86" s="420">
        <v>30943.124785399334</v>
      </c>
      <c r="CB86" s="414">
        <f t="shared" si="193"/>
        <v>99746.811992305855</v>
      </c>
      <c r="CC86" s="415">
        <f t="shared" si="194"/>
        <v>420750.66944775963</v>
      </c>
      <c r="CD86" s="300">
        <v>58</v>
      </c>
      <c r="CE86" s="414">
        <f t="shared" si="195"/>
        <v>878792.83106795035</v>
      </c>
      <c r="CF86" s="414">
        <f t="shared" si="196"/>
        <v>1336219.6481874252</v>
      </c>
      <c r="CG86" s="414">
        <f t="shared" si="197"/>
        <v>1818465.0526951116</v>
      </c>
      <c r="CH86" s="414">
        <f t="shared" si="198"/>
        <v>1690218.2323671659</v>
      </c>
      <c r="CI86" s="416">
        <f t="shared" si="199"/>
        <v>5723695.7643176531</v>
      </c>
      <c r="CJ86" s="414">
        <f t="shared" si="200"/>
        <v>556598.11964027095</v>
      </c>
      <c r="CK86" s="414">
        <f t="shared" si="201"/>
        <v>671835.61812161701</v>
      </c>
      <c r="CL86" s="414">
        <f t="shared" si="202"/>
        <v>994219.10248253809</v>
      </c>
      <c r="CM86" s="414">
        <f t="shared" si="203"/>
        <v>891489.75157978083</v>
      </c>
      <c r="CN86" s="416">
        <f t="shared" si="204"/>
        <v>3114142.5918242065</v>
      </c>
      <c r="CO86" s="414">
        <f t="shared" si="205"/>
        <v>1435390.9507082216</v>
      </c>
      <c r="CP86" s="414">
        <f t="shared" si="206"/>
        <v>2008055.266309042</v>
      </c>
      <c r="CQ86" s="414">
        <f t="shared" si="207"/>
        <v>2812684.1551776496</v>
      </c>
      <c r="CR86" s="414">
        <f t="shared" si="208"/>
        <v>2581707.9839469469</v>
      </c>
      <c r="CS86" s="416">
        <f t="shared" si="209"/>
        <v>8837838.3561418597</v>
      </c>
    </row>
    <row r="87" spans="1:131" ht="15.75" customHeight="1">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t="s">
        <v>1315</v>
      </c>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t="s">
        <v>1315</v>
      </c>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t="s">
        <v>1315</v>
      </c>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t="s">
        <v>1315</v>
      </c>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131" s="14" customFormat="1" ht="15.75" customHeight="1">
      <c r="A88" s="16" t="s">
        <v>266</v>
      </c>
      <c r="B88" s="300">
        <v>59</v>
      </c>
      <c r="C88" s="216">
        <f t="shared" ref="C88:U88" si="210">SUM(C76:C86)</f>
        <v>97342.509886221334</v>
      </c>
      <c r="D88" s="216">
        <f t="shared" si="210"/>
        <v>184726.29198266624</v>
      </c>
      <c r="E88" s="216">
        <f t="shared" si="210"/>
        <v>110641.24628547342</v>
      </c>
      <c r="F88" s="216">
        <f t="shared" si="210"/>
        <v>212234.86295515491</v>
      </c>
      <c r="G88" s="216">
        <f t="shared" si="210"/>
        <v>115905.70882023113</v>
      </c>
      <c r="H88" s="216">
        <f t="shared" si="210"/>
        <v>228890.92196752533</v>
      </c>
      <c r="I88" s="216">
        <f t="shared" si="210"/>
        <v>121400.63863295292</v>
      </c>
      <c r="J88" s="216">
        <f t="shared" si="210"/>
        <v>230540.90864288108</v>
      </c>
      <c r="K88" s="221">
        <f t="shared" si="210"/>
        <v>1301683.0891731065</v>
      </c>
      <c r="L88" s="218">
        <f t="shared" si="210"/>
        <v>0</v>
      </c>
      <c r="M88" s="216">
        <f t="shared" si="210"/>
        <v>423503.48767922237</v>
      </c>
      <c r="N88" s="216">
        <f t="shared" si="210"/>
        <v>0</v>
      </c>
      <c r="O88" s="216">
        <f t="shared" si="210"/>
        <v>422692.76773049182</v>
      </c>
      <c r="P88" s="216">
        <f t="shared" si="210"/>
        <v>0</v>
      </c>
      <c r="Q88" s="216">
        <f t="shared" si="210"/>
        <v>480098.26128543733</v>
      </c>
      <c r="R88" s="216">
        <f t="shared" si="210"/>
        <v>0</v>
      </c>
      <c r="S88" s="216">
        <f t="shared" si="210"/>
        <v>481352.76372312283</v>
      </c>
      <c r="T88" s="219">
        <f t="shared" si="210"/>
        <v>1807647.2804182745</v>
      </c>
      <c r="U88" s="220">
        <f t="shared" si="210"/>
        <v>3109330.3695913805</v>
      </c>
      <c r="V88" s="300">
        <v>59</v>
      </c>
      <c r="W88" s="216">
        <f t="shared" ref="W88:AO88" si="211">SUM(W76:W86)</f>
        <v>14886.277544324897</v>
      </c>
      <c r="X88" s="216">
        <f t="shared" si="211"/>
        <v>84151.689820185478</v>
      </c>
      <c r="Y88" s="216">
        <f t="shared" si="211"/>
        <v>17152.746852209639</v>
      </c>
      <c r="Z88" s="216">
        <f t="shared" si="211"/>
        <v>88904.273213612512</v>
      </c>
      <c r="AA88" s="216">
        <f t="shared" si="211"/>
        <v>16483.639024945947</v>
      </c>
      <c r="AB88" s="216">
        <f t="shared" si="211"/>
        <v>93596.504758600728</v>
      </c>
      <c r="AC88" s="216">
        <f t="shared" si="211"/>
        <v>17598.592477672242</v>
      </c>
      <c r="AD88" s="216">
        <f t="shared" si="211"/>
        <v>95536.396651938921</v>
      </c>
      <c r="AE88" s="221">
        <f t="shared" si="211"/>
        <v>428310.12034349033</v>
      </c>
      <c r="AF88" s="218">
        <f t="shared" si="211"/>
        <v>0</v>
      </c>
      <c r="AG88" s="216">
        <f t="shared" si="211"/>
        <v>127766.59757745985</v>
      </c>
      <c r="AH88" s="216">
        <f t="shared" si="211"/>
        <v>0</v>
      </c>
      <c r="AI88" s="216">
        <f t="shared" si="211"/>
        <v>114919.39703562236</v>
      </c>
      <c r="AJ88" s="216">
        <f t="shared" si="211"/>
        <v>0</v>
      </c>
      <c r="AK88" s="216">
        <f t="shared" si="211"/>
        <v>126783.81098797711</v>
      </c>
      <c r="AL88" s="216">
        <f t="shared" si="211"/>
        <v>0</v>
      </c>
      <c r="AM88" s="216">
        <f t="shared" si="211"/>
        <v>126170.04571795078</v>
      </c>
      <c r="AN88" s="219">
        <f t="shared" si="211"/>
        <v>495639.85131901008</v>
      </c>
      <c r="AO88" s="220">
        <f t="shared" si="211"/>
        <v>923949.97166250029</v>
      </c>
      <c r="AP88" s="300">
        <v>59</v>
      </c>
      <c r="AQ88" s="216">
        <f t="shared" ref="AQ88:BI88" si="212">SUM(AQ76:AQ86)</f>
        <v>1618410.172714286</v>
      </c>
      <c r="AR88" s="216">
        <f t="shared" si="212"/>
        <v>3651739.828042835</v>
      </c>
      <c r="AS88" s="216">
        <f t="shared" si="212"/>
        <v>1920209.2489328459</v>
      </c>
      <c r="AT88" s="216">
        <f t="shared" si="212"/>
        <v>4279129.3917621309</v>
      </c>
      <c r="AU88" s="216">
        <f t="shared" si="212"/>
        <v>2090104.2715359679</v>
      </c>
      <c r="AV88" s="216">
        <f t="shared" si="212"/>
        <v>4643261.245096962</v>
      </c>
      <c r="AW88" s="216">
        <f t="shared" si="212"/>
        <v>2268065.418282087</v>
      </c>
      <c r="AX88" s="216">
        <f t="shared" si="212"/>
        <v>4847432.6977271931</v>
      </c>
      <c r="AY88" s="221">
        <f t="shared" si="212"/>
        <v>25318352.274094306</v>
      </c>
      <c r="AZ88" s="218">
        <f t="shared" si="212"/>
        <v>0</v>
      </c>
      <c r="BA88" s="216">
        <f t="shared" si="212"/>
        <v>3152327.8560010311</v>
      </c>
      <c r="BB88" s="216">
        <f t="shared" si="212"/>
        <v>0</v>
      </c>
      <c r="BC88" s="216">
        <f t="shared" si="212"/>
        <v>2887400.59085338</v>
      </c>
      <c r="BD88" s="216">
        <f t="shared" si="212"/>
        <v>0</v>
      </c>
      <c r="BE88" s="216">
        <f t="shared" si="212"/>
        <v>3417192.9683068516</v>
      </c>
      <c r="BF88" s="216">
        <f t="shared" si="212"/>
        <v>0</v>
      </c>
      <c r="BG88" s="216">
        <f t="shared" si="212"/>
        <v>3472562.8028132562</v>
      </c>
      <c r="BH88" s="219">
        <f t="shared" si="212"/>
        <v>12929484.217974519</v>
      </c>
      <c r="BI88" s="220">
        <f t="shared" si="212"/>
        <v>38247836.492068827</v>
      </c>
      <c r="BJ88" s="300">
        <v>59</v>
      </c>
      <c r="BK88" s="216">
        <f t="shared" ref="BK88:CC88" si="213">SUM(BK76:BK86)</f>
        <v>33814.939806901813</v>
      </c>
      <c r="BL88" s="216">
        <f t="shared" si="213"/>
        <v>347597.87384233531</v>
      </c>
      <c r="BM88" s="216">
        <f t="shared" si="213"/>
        <v>36599.433441336427</v>
      </c>
      <c r="BN88" s="216">
        <f t="shared" si="213"/>
        <v>369354.30779022712</v>
      </c>
      <c r="BO88" s="216">
        <f t="shared" si="213"/>
        <v>34754.624662618458</v>
      </c>
      <c r="BP88" s="216">
        <f t="shared" si="213"/>
        <v>370097.57082749886</v>
      </c>
      <c r="BQ88" s="216">
        <f t="shared" si="213"/>
        <v>38996.840775517652</v>
      </c>
      <c r="BR88" s="216">
        <f t="shared" si="213"/>
        <v>394212.85820551391</v>
      </c>
      <c r="BS88" s="221">
        <f t="shared" si="213"/>
        <v>1625428.4493519496</v>
      </c>
      <c r="BT88" s="218">
        <f t="shared" si="213"/>
        <v>0</v>
      </c>
      <c r="BU88" s="216">
        <f t="shared" si="213"/>
        <v>117294.11425031954</v>
      </c>
      <c r="BV88" s="216">
        <f t="shared" si="213"/>
        <v>0</v>
      </c>
      <c r="BW88" s="216">
        <f t="shared" si="213"/>
        <v>111713.59828245902</v>
      </c>
      <c r="BX88" s="216">
        <f t="shared" si="213"/>
        <v>0</v>
      </c>
      <c r="BY88" s="216">
        <f t="shared" si="213"/>
        <v>127338.02861116227</v>
      </c>
      <c r="BZ88" s="216">
        <f t="shared" si="213"/>
        <v>0</v>
      </c>
      <c r="CA88" s="216">
        <f t="shared" si="213"/>
        <v>146709.77063194555</v>
      </c>
      <c r="CB88" s="219">
        <f t="shared" si="213"/>
        <v>503055.51177588641</v>
      </c>
      <c r="CC88" s="220">
        <f t="shared" si="213"/>
        <v>2128483.9611278363</v>
      </c>
      <c r="CD88" s="300">
        <v>59</v>
      </c>
      <c r="CE88" s="219">
        <f t="shared" ref="CE88:CH88" si="214">SUM(CE76:CE86)</f>
        <v>6032669.5836397568</v>
      </c>
      <c r="CF88" s="219">
        <f t="shared" si="214"/>
        <v>7034225.5112329889</v>
      </c>
      <c r="CG88" s="219">
        <f t="shared" si="214"/>
        <v>7593094.4866943499</v>
      </c>
      <c r="CH88" s="219">
        <f t="shared" si="214"/>
        <v>8013784.351395756</v>
      </c>
      <c r="CI88" s="216">
        <f>SUM(CI76:CI86)</f>
        <v>28673773.932962853</v>
      </c>
      <c r="CJ88" s="219">
        <f t="shared" ref="CJ88:CM88" si="215">SUM(CJ76:CJ86)</f>
        <v>3820892.0555080324</v>
      </c>
      <c r="CK88" s="219">
        <f t="shared" si="215"/>
        <v>3536726.3539019534</v>
      </c>
      <c r="CL88" s="219">
        <f t="shared" si="215"/>
        <v>4151413.0691914279</v>
      </c>
      <c r="CM88" s="219">
        <f t="shared" si="215"/>
        <v>4226795.3828862747</v>
      </c>
      <c r="CN88" s="216">
        <f>SUM(CN76:CN86)</f>
        <v>15735826.86148769</v>
      </c>
      <c r="CO88" s="219">
        <f t="shared" ref="CO88:CR88" si="216">SUM(CO76:CO86)</f>
        <v>9853561.6391477901</v>
      </c>
      <c r="CP88" s="219">
        <f t="shared" si="216"/>
        <v>10570951.865134943</v>
      </c>
      <c r="CQ88" s="219">
        <f t="shared" si="216"/>
        <v>11744507.555885779</v>
      </c>
      <c r="CR88" s="219">
        <f t="shared" si="216"/>
        <v>12240579.734282034</v>
      </c>
      <c r="CS88" s="216">
        <f>SUM(CS76:CS86)</f>
        <v>44409600.794450544</v>
      </c>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row>
    <row r="89" spans="1:131" ht="15.75" customHeight="1">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t="s">
        <v>1315</v>
      </c>
      <c r="U89" s="422"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t="s">
        <v>1315</v>
      </c>
      <c r="AO89" s="422"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t="s">
        <v>1315</v>
      </c>
      <c r="BI89" s="422"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t="s">
        <v>1315</v>
      </c>
      <c r="CC89" s="422" t="s">
        <v>1315</v>
      </c>
      <c r="CD89" s="300"/>
      <c r="CE89" s="380" t="s">
        <v>1315</v>
      </c>
      <c r="CF89" s="380"/>
      <c r="CG89" s="380"/>
      <c r="CH89" s="380"/>
      <c r="CI89" s="187"/>
      <c r="CJ89" s="380" t="s">
        <v>1315</v>
      </c>
      <c r="CK89" s="380"/>
      <c r="CL89" s="380"/>
      <c r="CM89" s="380"/>
      <c r="CN89" s="187"/>
      <c r="CO89" s="380" t="s">
        <v>1315</v>
      </c>
      <c r="CP89" s="380"/>
      <c r="CQ89" s="380"/>
      <c r="CR89" s="380"/>
      <c r="CS89" s="187"/>
    </row>
    <row r="90" spans="1:131" s="14" customFormat="1" ht="15.75" customHeight="1">
      <c r="A90" s="16" t="s">
        <v>268</v>
      </c>
      <c r="B90" s="300">
        <v>60</v>
      </c>
      <c r="C90" s="216">
        <f t="shared" ref="C90:U90" si="217">C88+C66+C73-C70</f>
        <v>1510413.9887920304</v>
      </c>
      <c r="D90" s="216">
        <f t="shared" si="217"/>
        <v>3434518.4023346617</v>
      </c>
      <c r="E90" s="216">
        <f t="shared" si="217"/>
        <v>2731742.4319526399</v>
      </c>
      <c r="F90" s="216">
        <f t="shared" si="217"/>
        <v>5533862.9318349771</v>
      </c>
      <c r="G90" s="216">
        <f t="shared" si="217"/>
        <v>2585449.0589037659</v>
      </c>
      <c r="H90" s="216">
        <f t="shared" si="217"/>
        <v>5118169.2999787405</v>
      </c>
      <c r="I90" s="216">
        <f t="shared" si="217"/>
        <v>2072647.3592260291</v>
      </c>
      <c r="J90" s="216">
        <f t="shared" si="217"/>
        <v>3507395.5259263129</v>
      </c>
      <c r="K90" s="221">
        <f t="shared" si="217"/>
        <v>26494198.998949166</v>
      </c>
      <c r="L90" s="218">
        <f t="shared" si="217"/>
        <v>0</v>
      </c>
      <c r="M90" s="216">
        <f t="shared" si="217"/>
        <v>4762807.8347997265</v>
      </c>
      <c r="N90" s="216">
        <f t="shared" si="217"/>
        <v>0</v>
      </c>
      <c r="O90" s="216">
        <f t="shared" si="217"/>
        <v>8901476.4264579359</v>
      </c>
      <c r="P90" s="216">
        <f t="shared" si="217"/>
        <v>0</v>
      </c>
      <c r="Q90" s="216">
        <f t="shared" si="217"/>
        <v>7843107.4582768381</v>
      </c>
      <c r="R90" s="216">
        <f t="shared" si="217"/>
        <v>0</v>
      </c>
      <c r="S90" s="216">
        <f t="shared" si="217"/>
        <v>7290947.911897473</v>
      </c>
      <c r="T90" s="219">
        <f t="shared" si="217"/>
        <v>28798339.631431974</v>
      </c>
      <c r="U90" s="220">
        <f t="shared" si="217"/>
        <v>55292538.630381145</v>
      </c>
      <c r="V90" s="300">
        <v>60</v>
      </c>
      <c r="W90" s="216">
        <f t="shared" ref="W90:AO90" si="218">W88+W66+W73-W70</f>
        <v>195586.13117371424</v>
      </c>
      <c r="X90" s="216">
        <f t="shared" si="218"/>
        <v>751178.01539153862</v>
      </c>
      <c r="Y90" s="216">
        <f t="shared" si="218"/>
        <v>127479.49458482768</v>
      </c>
      <c r="Z90" s="216">
        <f t="shared" si="218"/>
        <v>601587.26780724502</v>
      </c>
      <c r="AA90" s="216">
        <f t="shared" si="218"/>
        <v>144723.11469571845</v>
      </c>
      <c r="AB90" s="216">
        <f t="shared" si="218"/>
        <v>635697.1037728549</v>
      </c>
      <c r="AC90" s="216">
        <f t="shared" si="218"/>
        <v>237945.81360749918</v>
      </c>
      <c r="AD90" s="216">
        <f t="shared" si="218"/>
        <v>496992.28168520052</v>
      </c>
      <c r="AE90" s="221">
        <f t="shared" si="218"/>
        <v>3191189.2227185993</v>
      </c>
      <c r="AF90" s="218">
        <f t="shared" si="218"/>
        <v>0</v>
      </c>
      <c r="AG90" s="216">
        <f t="shared" si="218"/>
        <v>1680260.8447936578</v>
      </c>
      <c r="AH90" s="216">
        <f t="shared" si="218"/>
        <v>0</v>
      </c>
      <c r="AI90" s="216">
        <f t="shared" si="218"/>
        <v>1549064.2150942865</v>
      </c>
      <c r="AJ90" s="216">
        <f t="shared" si="218"/>
        <v>0</v>
      </c>
      <c r="AK90" s="216">
        <f t="shared" si="218"/>
        <v>1561491.8018903087</v>
      </c>
      <c r="AL90" s="216">
        <f t="shared" si="218"/>
        <v>0</v>
      </c>
      <c r="AM90" s="216">
        <f t="shared" si="218"/>
        <v>1855307.5496165981</v>
      </c>
      <c r="AN90" s="219">
        <f t="shared" si="218"/>
        <v>6646124.4113948513</v>
      </c>
      <c r="AO90" s="220">
        <f t="shared" si="218"/>
        <v>9837313.6341134496</v>
      </c>
      <c r="AP90" s="300">
        <v>60</v>
      </c>
      <c r="AQ90" s="216">
        <f t="shared" ref="AQ90:BI90" si="219">AQ88+AQ66+AQ73-AQ70</f>
        <v>20175638.59329674</v>
      </c>
      <c r="AR90" s="216">
        <f t="shared" si="219"/>
        <v>44581119.350023091</v>
      </c>
      <c r="AS90" s="216">
        <f t="shared" si="219"/>
        <v>19844661.543353423</v>
      </c>
      <c r="AT90" s="216">
        <f t="shared" si="219"/>
        <v>44027310.675631426</v>
      </c>
      <c r="AU90" s="216">
        <f t="shared" si="219"/>
        <v>21964709.405351315</v>
      </c>
      <c r="AV90" s="216">
        <f t="shared" si="219"/>
        <v>48541291.164409228</v>
      </c>
      <c r="AW90" s="216">
        <f t="shared" si="219"/>
        <v>25891706.807652783</v>
      </c>
      <c r="AX90" s="216">
        <f t="shared" si="219"/>
        <v>51526973.048420288</v>
      </c>
      <c r="AY90" s="221">
        <f t="shared" si="219"/>
        <v>276553410.58813828</v>
      </c>
      <c r="AZ90" s="218">
        <f t="shared" si="219"/>
        <v>0</v>
      </c>
      <c r="BA90" s="216">
        <f t="shared" si="219"/>
        <v>35021340.224656098</v>
      </c>
      <c r="BB90" s="216">
        <f t="shared" si="219"/>
        <v>0</v>
      </c>
      <c r="BC90" s="216">
        <f t="shared" si="219"/>
        <v>35398740.301658578</v>
      </c>
      <c r="BD90" s="216">
        <f t="shared" si="219"/>
        <v>0</v>
      </c>
      <c r="BE90" s="216">
        <f t="shared" si="219"/>
        <v>38103418.790719293</v>
      </c>
      <c r="BF90" s="216">
        <f t="shared" si="219"/>
        <v>0</v>
      </c>
      <c r="BG90" s="216">
        <f t="shared" si="219"/>
        <v>42825389.239035994</v>
      </c>
      <c r="BH90" s="219">
        <f t="shared" si="219"/>
        <v>151348888.55607</v>
      </c>
      <c r="BI90" s="220">
        <f t="shared" si="219"/>
        <v>427902299.14420813</v>
      </c>
      <c r="BJ90" s="300">
        <v>60</v>
      </c>
      <c r="BK90" s="216">
        <f t="shared" ref="BK90:CC90" si="220">BK88+BK66+BK73-BK70</f>
        <v>596202.47405540163</v>
      </c>
      <c r="BL90" s="216">
        <f t="shared" si="220"/>
        <v>5031002.4254546594</v>
      </c>
      <c r="BM90" s="216">
        <f t="shared" si="220"/>
        <v>504173.61338747531</v>
      </c>
      <c r="BN90" s="216">
        <f t="shared" si="220"/>
        <v>4064928.2839669967</v>
      </c>
      <c r="BO90" s="216">
        <f t="shared" si="220"/>
        <v>518081.98027991678</v>
      </c>
      <c r="BP90" s="216">
        <f t="shared" si="220"/>
        <v>4455577.7196269669</v>
      </c>
      <c r="BQ90" s="216">
        <f t="shared" si="220"/>
        <v>671870.80013342085</v>
      </c>
      <c r="BR90" s="216">
        <f t="shared" si="220"/>
        <v>4555899.3142337268</v>
      </c>
      <c r="BS90" s="221">
        <f t="shared" si="220"/>
        <v>20397736.611138556</v>
      </c>
      <c r="BT90" s="218">
        <f t="shared" si="220"/>
        <v>0</v>
      </c>
      <c r="BU90" s="216">
        <f t="shared" si="220"/>
        <v>1731788.9843813677</v>
      </c>
      <c r="BV90" s="216">
        <f t="shared" si="220"/>
        <v>0</v>
      </c>
      <c r="BW90" s="216">
        <f t="shared" si="220"/>
        <v>2395890.575372762</v>
      </c>
      <c r="BX90" s="216">
        <f t="shared" si="220"/>
        <v>0</v>
      </c>
      <c r="BY90" s="216">
        <f t="shared" si="220"/>
        <v>2157782.7525891308</v>
      </c>
      <c r="BZ90" s="216">
        <f t="shared" si="220"/>
        <v>0</v>
      </c>
      <c r="CA90" s="216">
        <f t="shared" si="220"/>
        <v>2240106.4934179387</v>
      </c>
      <c r="CB90" s="219">
        <f t="shared" si="220"/>
        <v>8525568.8057612013</v>
      </c>
      <c r="CC90" s="220">
        <f t="shared" si="220"/>
        <v>28923305.416899763</v>
      </c>
      <c r="CD90" s="300">
        <v>60</v>
      </c>
      <c r="CE90" s="219">
        <f t="shared" ref="CE90:CS90" si="221">CE88+CE66+CE73-CE70</f>
        <v>76275659.380521849</v>
      </c>
      <c r="CF90" s="219">
        <f t="shared" si="221"/>
        <v>77435746.242519021</v>
      </c>
      <c r="CG90" s="219">
        <f t="shared" si="221"/>
        <v>83963698.84701854</v>
      </c>
      <c r="CH90" s="219">
        <f t="shared" si="221"/>
        <v>88961430.950885236</v>
      </c>
      <c r="CI90" s="216">
        <f t="shared" si="221"/>
        <v>326636535.42094463</v>
      </c>
      <c r="CJ90" s="219">
        <f t="shared" si="221"/>
        <v>43196197.888630852</v>
      </c>
      <c r="CK90" s="219">
        <f t="shared" si="221"/>
        <v>48245171.518583566</v>
      </c>
      <c r="CL90" s="219">
        <f t="shared" si="221"/>
        <v>49665800.803475559</v>
      </c>
      <c r="CM90" s="219">
        <f t="shared" si="221"/>
        <v>54211751.193967991</v>
      </c>
      <c r="CN90" s="216">
        <f t="shared" si="221"/>
        <v>15735826.86148769</v>
      </c>
      <c r="CO90" s="219">
        <f t="shared" si="221"/>
        <v>119471857.2691527</v>
      </c>
      <c r="CP90" s="219">
        <f t="shared" si="221"/>
        <v>125680917.76110257</v>
      </c>
      <c r="CQ90" s="219">
        <f t="shared" si="221"/>
        <v>133629499.65049408</v>
      </c>
      <c r="CR90" s="219">
        <f t="shared" si="221"/>
        <v>143173182.14485323</v>
      </c>
      <c r="CS90" s="216">
        <f t="shared" si="221"/>
        <v>521955456.82560247</v>
      </c>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row>
    <row r="91" spans="1:131" ht="15.75" customHeight="1">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t="s">
        <v>1315</v>
      </c>
      <c r="U91" s="422"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422"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422"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422" t="s">
        <v>1315</v>
      </c>
      <c r="CD91" s="300"/>
      <c r="CE91" s="380" t="s">
        <v>1315</v>
      </c>
      <c r="CF91" s="380"/>
      <c r="CG91" s="380"/>
      <c r="CH91" s="380"/>
      <c r="CI91" s="187"/>
      <c r="CJ91" s="380" t="s">
        <v>1315</v>
      </c>
      <c r="CK91" s="380"/>
      <c r="CL91" s="380"/>
      <c r="CM91" s="380"/>
      <c r="CN91" s="187"/>
      <c r="CO91" s="380" t="s">
        <v>1315</v>
      </c>
      <c r="CP91" s="380"/>
      <c r="CQ91" s="380"/>
      <c r="CR91" s="380"/>
      <c r="CS91" s="187"/>
    </row>
    <row r="92" spans="1:131" s="14" customFormat="1" ht="15.75" customHeight="1">
      <c r="A92" s="16" t="s">
        <v>270</v>
      </c>
      <c r="B92" s="300">
        <v>61</v>
      </c>
      <c r="C92" s="216">
        <f t="shared" ref="C92:J92" si="222">C32-C90</f>
        <v>-360103.82879200042</v>
      </c>
      <c r="D92" s="216">
        <f t="shared" si="222"/>
        <v>-1251581.7723344215</v>
      </c>
      <c r="E92" s="216">
        <f t="shared" si="222"/>
        <v>-1552115.6319526099</v>
      </c>
      <c r="F92" s="216">
        <f t="shared" si="222"/>
        <v>-3271072.6918347171</v>
      </c>
      <c r="G92" s="216">
        <f t="shared" si="222"/>
        <v>-1386894.1489037259</v>
      </c>
      <c r="H92" s="216">
        <f t="shared" si="222"/>
        <v>-2751259.6699784603</v>
      </c>
      <c r="I92" s="216">
        <f t="shared" si="222"/>
        <v>-816826.10922598909</v>
      </c>
      <c r="J92" s="216">
        <f t="shared" si="222"/>
        <v>-1122579.6359260329</v>
      </c>
      <c r="K92" s="221">
        <f>SUM(C92:J92)</f>
        <v>-12512433.488947956</v>
      </c>
      <c r="L92" s="218">
        <f t="shared" ref="L92:U92" si="223">L32-L90</f>
        <v>0</v>
      </c>
      <c r="M92" s="216">
        <f t="shared" si="223"/>
        <v>1160738.8879548358</v>
      </c>
      <c r="N92" s="216">
        <f t="shared" si="223"/>
        <v>0</v>
      </c>
      <c r="O92" s="216">
        <f t="shared" si="223"/>
        <v>-3560732.9584090551</v>
      </c>
      <c r="P92" s="216">
        <f t="shared" si="223"/>
        <v>0</v>
      </c>
      <c r="Q92" s="216">
        <f t="shared" si="223"/>
        <v>-1750155.5304038944</v>
      </c>
      <c r="R92" s="216">
        <f t="shared" si="223"/>
        <v>0</v>
      </c>
      <c r="S92" s="216">
        <f t="shared" si="223"/>
        <v>-1084919.1179702915</v>
      </c>
      <c r="T92" s="219">
        <f t="shared" si="223"/>
        <v>-5235068.7188284062</v>
      </c>
      <c r="U92" s="220">
        <f t="shared" si="223"/>
        <v>-17747502.207776375</v>
      </c>
      <c r="V92" s="300">
        <v>61</v>
      </c>
      <c r="W92" s="216">
        <f t="shared" ref="W92:AD92" si="224">W32-W90</f>
        <v>-19672.891173714248</v>
      </c>
      <c r="X92" s="216">
        <f t="shared" si="224"/>
        <v>243254.36460848036</v>
      </c>
      <c r="Y92" s="216">
        <f t="shared" si="224"/>
        <v>55398.41541517232</v>
      </c>
      <c r="Z92" s="216">
        <f t="shared" si="224"/>
        <v>346285.85219277302</v>
      </c>
      <c r="AA92" s="216">
        <f t="shared" si="224"/>
        <v>25730.495304281532</v>
      </c>
      <c r="AB92" s="216">
        <f t="shared" si="224"/>
        <v>332163.33622716414</v>
      </c>
      <c r="AC92" s="216">
        <f t="shared" si="224"/>
        <v>-55898.283607499179</v>
      </c>
      <c r="AD92" s="216">
        <f t="shared" si="224"/>
        <v>491277.94831481844</v>
      </c>
      <c r="AE92" s="221">
        <f>SUM(W92:AD92)</f>
        <v>1418539.2372814761</v>
      </c>
      <c r="AF92" s="218">
        <f t="shared" ref="AF92:AM92" si="225">AF32-AF90</f>
        <v>0</v>
      </c>
      <c r="AG92" s="216">
        <f t="shared" si="225"/>
        <v>161579.92413010704</v>
      </c>
      <c r="AH92" s="216">
        <f t="shared" si="225"/>
        <v>0</v>
      </c>
      <c r="AI92" s="216">
        <f t="shared" si="225"/>
        <v>-86328.155768631725</v>
      </c>
      <c r="AJ92" s="216">
        <f t="shared" si="225"/>
        <v>0</v>
      </c>
      <c r="AK92" s="216">
        <f t="shared" si="225"/>
        <v>7221.6986096466426</v>
      </c>
      <c r="AL92" s="216">
        <f t="shared" si="225"/>
        <v>0</v>
      </c>
      <c r="AM92" s="216">
        <f t="shared" si="225"/>
        <v>-283342.07976439316</v>
      </c>
      <c r="AN92" s="219">
        <f>SUM(AF92:AM92)</f>
        <v>-200868.6127932712</v>
      </c>
      <c r="AO92" s="220">
        <f>AO32-AO90</f>
        <v>1217670.6244882047</v>
      </c>
      <c r="AP92" s="300">
        <v>61</v>
      </c>
      <c r="AQ92" s="216">
        <f t="shared" ref="AQ92:AX92" si="226">AQ32-AQ90</f>
        <v>-1050657.4632985406</v>
      </c>
      <c r="AR92" s="216">
        <f t="shared" si="226"/>
        <v>-1427995.0800166875</v>
      </c>
      <c r="AS92" s="216">
        <f t="shared" si="226"/>
        <v>628085.89664457738</v>
      </c>
      <c r="AT92" s="216">
        <f t="shared" si="226"/>
        <v>1595600.1343779713</v>
      </c>
      <c r="AU92" s="216">
        <f t="shared" si="226"/>
        <v>-351410.43535071239</v>
      </c>
      <c r="AV92" s="216">
        <f t="shared" si="226"/>
        <v>-526369.20439212769</v>
      </c>
      <c r="AW92" s="216">
        <f t="shared" si="226"/>
        <v>-2429847.1276515834</v>
      </c>
      <c r="AX92" s="216">
        <f t="shared" si="226"/>
        <v>-1383011.218400389</v>
      </c>
      <c r="AY92" s="221">
        <f>SUM(AQ92:AX92)</f>
        <v>-4945604.4980874918</v>
      </c>
      <c r="AZ92" s="218">
        <f t="shared" ref="AZ92:BG92" si="227">AZ32-AZ90</f>
        <v>0</v>
      </c>
      <c r="BA92" s="216">
        <f t="shared" si="227"/>
        <v>10172226.386198141</v>
      </c>
      <c r="BB92" s="216">
        <f t="shared" si="227"/>
        <v>0</v>
      </c>
      <c r="BC92" s="216">
        <f t="shared" si="227"/>
        <v>2779449.6570840925</v>
      </c>
      <c r="BD92" s="216">
        <f t="shared" si="227"/>
        <v>0</v>
      </c>
      <c r="BE92" s="216">
        <f t="shared" si="227"/>
        <v>5344356.8968727142</v>
      </c>
      <c r="BF92" s="216">
        <f t="shared" si="227"/>
        <v>0</v>
      </c>
      <c r="BG92" s="216">
        <f t="shared" si="227"/>
        <v>1401934.5028061569</v>
      </c>
      <c r="BH92" s="219">
        <f>SUM(AZ92:BG92)</f>
        <v>19697967.442961104</v>
      </c>
      <c r="BI92" s="220">
        <f>BI32-BI90</f>
        <v>14752362.944873691</v>
      </c>
      <c r="BJ92" s="300">
        <v>61</v>
      </c>
      <c r="BK92" s="216">
        <f t="shared" ref="BK92:BR92" si="228">BK32-BK90</f>
        <v>-165900.14819175267</v>
      </c>
      <c r="BL92" s="216">
        <f t="shared" si="228"/>
        <v>-607745.29609884694</v>
      </c>
      <c r="BM92" s="216">
        <f t="shared" si="228"/>
        <v>-82812.77905297</v>
      </c>
      <c r="BN92" s="216">
        <f t="shared" si="228"/>
        <v>187362.65777635947</v>
      </c>
      <c r="BO92" s="216">
        <f t="shared" si="228"/>
        <v>-129367.9474608826</v>
      </c>
      <c r="BP92" s="216">
        <f t="shared" si="228"/>
        <v>-316211.50032720529</v>
      </c>
      <c r="BQ92" s="216">
        <f t="shared" si="228"/>
        <v>-137034.00736261928</v>
      </c>
      <c r="BR92" s="216">
        <f t="shared" si="228"/>
        <v>850680.72042419761</v>
      </c>
      <c r="BS92" s="221">
        <f>SUM(BK92:BR92)</f>
        <v>-401028.30029371963</v>
      </c>
      <c r="BT92" s="218">
        <f t="shared" ref="BT92:CA92" si="229">BT32-BT90</f>
        <v>0</v>
      </c>
      <c r="BU92" s="216">
        <f t="shared" si="229"/>
        <v>-97778.014384933049</v>
      </c>
      <c r="BV92" s="216">
        <f t="shared" si="229"/>
        <v>0</v>
      </c>
      <c r="BW92" s="216">
        <f t="shared" si="229"/>
        <v>-991494.28399855876</v>
      </c>
      <c r="BX92" s="216">
        <f t="shared" si="229"/>
        <v>0</v>
      </c>
      <c r="BY92" s="216">
        <f t="shared" si="229"/>
        <v>-612103.79229450179</v>
      </c>
      <c r="BZ92" s="216">
        <f t="shared" si="229"/>
        <v>0</v>
      </c>
      <c r="CA92" s="216">
        <f t="shared" si="229"/>
        <v>-496426.85736256209</v>
      </c>
      <c r="CB92" s="219">
        <f>SUM(BT92:CA92)</f>
        <v>-2197802.9480405557</v>
      </c>
      <c r="CC92" s="220">
        <f>CC32-CC90</f>
        <v>-2598831.2483342737</v>
      </c>
      <c r="CD92" s="300">
        <v>61</v>
      </c>
      <c r="CE92" s="219">
        <f t="shared" ref="CE92:CS92" si="230">CE32-CE90</f>
        <v>-4640402.1152975112</v>
      </c>
      <c r="CF92" s="219">
        <f t="shared" si="230"/>
        <v>-2093268.1464334428</v>
      </c>
      <c r="CG92" s="219">
        <f t="shared" si="230"/>
        <v>-5103619.0748817176</v>
      </c>
      <c r="CH92" s="219">
        <f t="shared" si="230"/>
        <v>-4603237.7134350687</v>
      </c>
      <c r="CI92" s="216">
        <f t="shared" si="230"/>
        <v>-16440527.050047755</v>
      </c>
      <c r="CJ92" s="219">
        <f t="shared" si="230"/>
        <v>11396767.183898143</v>
      </c>
      <c r="CK92" s="219">
        <f t="shared" si="230"/>
        <v>-1859105.7410921529</v>
      </c>
      <c r="CL92" s="219">
        <f t="shared" si="230"/>
        <v>2989319.2727839798</v>
      </c>
      <c r="CM92" s="219">
        <f t="shared" si="230"/>
        <v>-462753.55229107291</v>
      </c>
      <c r="CN92" s="216">
        <f t="shared" si="230"/>
        <v>-15735826.86148769</v>
      </c>
      <c r="CO92" s="219">
        <f t="shared" si="230"/>
        <v>6756365.0686006397</v>
      </c>
      <c r="CP92" s="219">
        <f t="shared" si="230"/>
        <v>-3952373.8875255883</v>
      </c>
      <c r="CQ92" s="219">
        <f t="shared" si="230"/>
        <v>-2114299.8020977229</v>
      </c>
      <c r="CR92" s="219">
        <f t="shared" si="230"/>
        <v>-5065991.2657261491</v>
      </c>
      <c r="CS92" s="216">
        <f t="shared" si="230"/>
        <v>-4376299.8867487311</v>
      </c>
      <c r="CT92" s="318"/>
      <c r="CU92" s="318"/>
      <c r="CV92" s="318"/>
      <c r="CW92" s="318"/>
      <c r="CX92" s="318"/>
      <c r="CY92" s="318"/>
      <c r="CZ92" s="318"/>
      <c r="DA92" s="318"/>
      <c r="DB92" s="318"/>
      <c r="DC92" s="318"/>
      <c r="DD92" s="318"/>
      <c r="DE92" s="318"/>
      <c r="DF92" s="318"/>
      <c r="DG92" s="318"/>
      <c r="DH92" s="318"/>
      <c r="DI92" s="318"/>
      <c r="DJ92" s="318"/>
      <c r="DK92" s="318"/>
      <c r="DL92" s="318"/>
      <c r="DM92" s="318"/>
      <c r="DN92" s="318"/>
      <c r="DO92" s="318"/>
      <c r="DP92" s="318"/>
      <c r="DQ92" s="318"/>
      <c r="DR92" s="318"/>
      <c r="DS92" s="318"/>
      <c r="DT92" s="318"/>
      <c r="DU92" s="318"/>
      <c r="DV92" s="318"/>
      <c r="DW92" s="318"/>
      <c r="DX92" s="318"/>
      <c r="DY92" s="318"/>
      <c r="DZ92" s="318"/>
      <c r="EA92" s="318"/>
    </row>
    <row r="93" spans="1:131" ht="15.75" customHeight="1">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t="s">
        <v>1320</v>
      </c>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t="s">
        <v>1320</v>
      </c>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t="s">
        <v>1320</v>
      </c>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t="s">
        <v>1320</v>
      </c>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131" ht="15.75" customHeight="1">
      <c r="A94" s="135" t="s">
        <v>272</v>
      </c>
      <c r="B94" s="300">
        <v>62</v>
      </c>
      <c r="C94" s="387">
        <f t="shared" ref="C94:U94" si="231">IF((C32-C28)=0,"",C92/(C32-C28))</f>
        <v>-0.3130493334006465</v>
      </c>
      <c r="D94" s="387">
        <f t="shared" si="231"/>
        <v>-0.57334773494285252</v>
      </c>
      <c r="E94" s="387">
        <f t="shared" si="231"/>
        <v>-1.3157683700917699</v>
      </c>
      <c r="F94" s="387">
        <f t="shared" si="231"/>
        <v>-1.4455925405769565</v>
      </c>
      <c r="G94" s="387">
        <f t="shared" si="231"/>
        <v>-1.1571385986009433</v>
      </c>
      <c r="H94" s="387">
        <f t="shared" si="231"/>
        <v>-1.1623847548324584</v>
      </c>
      <c r="I94" s="387">
        <f t="shared" si="231"/>
        <v>-0.65043182636538688</v>
      </c>
      <c r="J94" s="387">
        <f t="shared" si="231"/>
        <v>-0.47071962268999351</v>
      </c>
      <c r="K94" s="388">
        <f t="shared" si="231"/>
        <v>-0.89491083797663262</v>
      </c>
      <c r="L94" s="389" t="str">
        <f t="shared" si="231"/>
        <v/>
      </c>
      <c r="M94" s="387">
        <f t="shared" si="231"/>
        <v>0.1959533607620588</v>
      </c>
      <c r="N94" s="387" t="str">
        <f t="shared" si="231"/>
        <v/>
      </c>
      <c r="O94" s="387">
        <f t="shared" si="231"/>
        <v>-0.66671110112500642</v>
      </c>
      <c r="P94" s="387" t="str">
        <f t="shared" si="231"/>
        <v/>
      </c>
      <c r="Q94" s="387">
        <f t="shared" si="231"/>
        <v>-0.28724262904448611</v>
      </c>
      <c r="R94" s="387" t="str">
        <f t="shared" si="231"/>
        <v/>
      </c>
      <c r="S94" s="387">
        <f t="shared" si="231"/>
        <v>-0.1748169649215813</v>
      </c>
      <c r="T94" s="390">
        <f t="shared" si="231"/>
        <v>-0.22217071383023748</v>
      </c>
      <c r="U94" s="389">
        <f t="shared" si="231"/>
        <v>-0.47269902758946647</v>
      </c>
      <c r="V94" s="300">
        <v>62</v>
      </c>
      <c r="W94" s="387">
        <f t="shared" ref="W94:AO94" si="232">IF((W32-W28)=0,"",W92/(W32-W28))</f>
        <v>-0.11183291930564322</v>
      </c>
      <c r="X94" s="387">
        <f t="shared" si="232"/>
        <v>0.24461629518587852</v>
      </c>
      <c r="Y94" s="387">
        <f t="shared" si="232"/>
        <v>0.30292568093747529</v>
      </c>
      <c r="Z94" s="387">
        <f t="shared" si="232"/>
        <v>0.36532933035675325</v>
      </c>
      <c r="AA94" s="387">
        <f t="shared" si="232"/>
        <v>0.15095306754888638</v>
      </c>
      <c r="AB94" s="387">
        <f t="shared" si="232"/>
        <v>0.34319342179866097</v>
      </c>
      <c r="AC94" s="387">
        <f t="shared" si="232"/>
        <v>-0.30705323828067965</v>
      </c>
      <c r="AD94" s="387">
        <f t="shared" si="232"/>
        <v>0.49710892163048259</v>
      </c>
      <c r="AE94" s="388">
        <f t="shared" si="232"/>
        <v>0.30772728797163318</v>
      </c>
      <c r="AF94" s="389" t="str">
        <f t="shared" si="232"/>
        <v/>
      </c>
      <c r="AG94" s="387">
        <f t="shared" si="232"/>
        <v>8.772741208487983E-2</v>
      </c>
      <c r="AH94" s="387" t="str">
        <f t="shared" si="232"/>
        <v/>
      </c>
      <c r="AI94" s="387">
        <f t="shared" si="232"/>
        <v>-5.9018272789713284E-2</v>
      </c>
      <c r="AJ94" s="387" t="str">
        <f t="shared" si="232"/>
        <v/>
      </c>
      <c r="AK94" s="387">
        <f t="shared" si="232"/>
        <v>4.6035803270291602E-3</v>
      </c>
      <c r="AL94" s="387" t="str">
        <f t="shared" si="232"/>
        <v/>
      </c>
      <c r="AM94" s="387">
        <f t="shared" si="232"/>
        <v>-0.18024701254476841</v>
      </c>
      <c r="AN94" s="390">
        <f t="shared" si="232"/>
        <v>-3.1165343792383452E-2</v>
      </c>
      <c r="AO94" s="389">
        <f t="shared" si="232"/>
        <v>0.11014675335613983</v>
      </c>
      <c r="AP94" s="300">
        <v>62</v>
      </c>
      <c r="AQ94" s="387">
        <f t="shared" ref="AQ94:BI94" si="233">IF((AQ32-AQ28)=0,"",AQ92/(AQ32-AQ28))</f>
        <v>-5.4936392154162586E-2</v>
      </c>
      <c r="AR94" s="387">
        <f t="shared" si="233"/>
        <v>-3.3091348637512584E-2</v>
      </c>
      <c r="AS94" s="387">
        <f t="shared" si="233"/>
        <v>3.0679121035678575E-2</v>
      </c>
      <c r="AT94" s="387">
        <f t="shared" si="233"/>
        <v>3.4973659199927815E-2</v>
      </c>
      <c r="AU94" s="387">
        <f t="shared" si="233"/>
        <v>-1.6258991088702948E-2</v>
      </c>
      <c r="AV94" s="387">
        <f t="shared" si="233"/>
        <v>-1.0962617097044226E-2</v>
      </c>
      <c r="AW94" s="387">
        <f t="shared" si="233"/>
        <v>-0.10356583667247725</v>
      </c>
      <c r="AX94" s="387">
        <f t="shared" si="233"/>
        <v>-2.7580812682663134E-2</v>
      </c>
      <c r="AY94" s="388">
        <f t="shared" si="233"/>
        <v>-1.8208624300171224E-2</v>
      </c>
      <c r="AZ94" s="389" t="str">
        <f t="shared" si="233"/>
        <v/>
      </c>
      <c r="BA94" s="387">
        <f t="shared" si="233"/>
        <v>0.22508129251642323</v>
      </c>
      <c r="BB94" s="387" t="str">
        <f t="shared" si="233"/>
        <v/>
      </c>
      <c r="BC94" s="387">
        <f t="shared" si="233"/>
        <v>7.2802028071202687E-2</v>
      </c>
      <c r="BD94" s="387" t="str">
        <f t="shared" si="233"/>
        <v/>
      </c>
      <c r="BE94" s="387">
        <f t="shared" si="233"/>
        <v>0.12300645573437209</v>
      </c>
      <c r="BF94" s="387" t="str">
        <f t="shared" si="233"/>
        <v/>
      </c>
      <c r="BG94" s="387">
        <f t="shared" si="233"/>
        <v>3.1698379738944696E-2</v>
      </c>
      <c r="BH94" s="390">
        <f t="shared" si="233"/>
        <v>0.11516123653902582</v>
      </c>
      <c r="BI94" s="389">
        <f t="shared" si="233"/>
        <v>3.3327024898485894E-2</v>
      </c>
      <c r="BJ94" s="300">
        <v>62</v>
      </c>
      <c r="BK94" s="387">
        <f t="shared" ref="BK94:CC94" si="234">IF((BK32-BK28)=0,"",BK92/(BK32-BK28))</f>
        <v>-0.38554322907453187</v>
      </c>
      <c r="BL94" s="387">
        <f t="shared" si="234"/>
        <v>-0.1373976864391234</v>
      </c>
      <c r="BM94" s="387">
        <f t="shared" si="234"/>
        <v>-0.1965364891679218</v>
      </c>
      <c r="BN94" s="387">
        <f t="shared" si="234"/>
        <v>4.4061580061957012E-2</v>
      </c>
      <c r="BO94" s="387">
        <f t="shared" si="234"/>
        <v>-0.33281007768790749</v>
      </c>
      <c r="BP94" s="387">
        <f t="shared" si="234"/>
        <v>-7.6391283973104795E-2</v>
      </c>
      <c r="BQ94" s="387">
        <f t="shared" si="234"/>
        <v>-0.25621649298413862</v>
      </c>
      <c r="BR94" s="387">
        <f t="shared" si="234"/>
        <v>0.15734174190912914</v>
      </c>
      <c r="BS94" s="388">
        <f t="shared" si="234"/>
        <v>-2.0054715709196463E-2</v>
      </c>
      <c r="BT94" s="389" t="str">
        <f t="shared" si="234"/>
        <v/>
      </c>
      <c r="BU94" s="387">
        <f t="shared" si="234"/>
        <v>-5.9839264350316078E-2</v>
      </c>
      <c r="BV94" s="387" t="str">
        <f t="shared" si="234"/>
        <v/>
      </c>
      <c r="BW94" s="387">
        <f t="shared" si="234"/>
        <v>-0.70599323715699969</v>
      </c>
      <c r="BX94" s="387" t="str">
        <f t="shared" si="234"/>
        <v/>
      </c>
      <c r="BY94" s="387">
        <f t="shared" si="234"/>
        <v>-0.39600965531537408</v>
      </c>
      <c r="BZ94" s="387" t="str">
        <f t="shared" si="234"/>
        <v/>
      </c>
      <c r="CA94" s="387">
        <f t="shared" si="234"/>
        <v>-0.28470072546445474</v>
      </c>
      <c r="CB94" s="390">
        <f t="shared" si="234"/>
        <v>-0.34732684449108825</v>
      </c>
      <c r="CC94" s="389">
        <f t="shared" si="234"/>
        <v>-9.8723007027338203E-2</v>
      </c>
      <c r="CD94" s="300">
        <v>62</v>
      </c>
      <c r="CE94" s="390">
        <f t="shared" ref="CE94:CS94" si="235">IF((CE32-CE28)=0,"",CE92/(CE32-CE28))</f>
        <v>-6.4778187340303106E-2</v>
      </c>
      <c r="CF94" s="390">
        <f t="shared" si="235"/>
        <v>-2.7783372664804858E-2</v>
      </c>
      <c r="CG94" s="390">
        <f t="shared" si="235"/>
        <v>-6.4717396807464939E-2</v>
      </c>
      <c r="CH94" s="390">
        <f t="shared" si="235"/>
        <v>-5.456776083951851E-2</v>
      </c>
      <c r="CI94" s="423">
        <f t="shared" si="235"/>
        <v>-5.3000446834860798E-2</v>
      </c>
      <c r="CJ94" s="390">
        <f t="shared" si="235"/>
        <v>0.20875889720877169</v>
      </c>
      <c r="CK94" s="390">
        <f t="shared" si="235"/>
        <v>-4.0078970051266427E-2</v>
      </c>
      <c r="CL94" s="390">
        <f t="shared" si="235"/>
        <v>5.6771673266618673E-2</v>
      </c>
      <c r="CM94" s="390">
        <f t="shared" si="235"/>
        <v>-8.6095289697505784E-3</v>
      </c>
      <c r="CN94" s="423" t="str">
        <f t="shared" si="235"/>
        <v/>
      </c>
      <c r="CO94" s="390">
        <f t="shared" si="235"/>
        <v>5.3524995785192896E-2</v>
      </c>
      <c r="CP94" s="390">
        <f t="shared" si="235"/>
        <v>-3.2468751878198643E-2</v>
      </c>
      <c r="CQ94" s="390">
        <f t="shared" si="235"/>
        <v>-1.6076467241314875E-2</v>
      </c>
      <c r="CR94" s="390">
        <f t="shared" si="235"/>
        <v>-3.6681589376182155E-2</v>
      </c>
      <c r="CS94" s="423">
        <f t="shared" si="235"/>
        <v>-8.4553248098932672E-3</v>
      </c>
    </row>
    <row r="95" spans="1:131" s="317" customFormat="1" ht="15.75" customHeight="1">
      <c r="A95" s="135" t="s">
        <v>274</v>
      </c>
      <c r="B95" s="300">
        <v>63</v>
      </c>
      <c r="C95" s="392">
        <f>IF((C32-C28-C25)=0,"",(C73+C66-C64)/(C32-C28-C25))</f>
        <v>1.2284264957772539</v>
      </c>
      <c r="D95" s="392">
        <f t="shared" ref="D95:U95" si="236">IF((D32-D28-D25)=0,"",(D73+D66-D64)/(D32-D28-D25))</f>
        <v>1.48872489731946</v>
      </c>
      <c r="E95" s="392">
        <f t="shared" si="236"/>
        <v>2.2219749378931537</v>
      </c>
      <c r="F95" s="392">
        <f t="shared" si="236"/>
        <v>2.3517991083783403</v>
      </c>
      <c r="G95" s="392">
        <f t="shared" si="236"/>
        <v>2.0604340522733766</v>
      </c>
      <c r="H95" s="392">
        <f t="shared" si="236"/>
        <v>2.065680208504892</v>
      </c>
      <c r="I95" s="392">
        <f t="shared" si="236"/>
        <v>1.5537615091264094</v>
      </c>
      <c r="J95" s="392">
        <f t="shared" si="236"/>
        <v>1.3740493054510161</v>
      </c>
      <c r="K95" s="388">
        <f t="shared" si="236"/>
        <v>1.8018122169017765</v>
      </c>
      <c r="L95" s="393" t="str">
        <f t="shared" si="236"/>
        <v/>
      </c>
      <c r="M95" s="392">
        <f t="shared" si="236"/>
        <v>0.73255172115915113</v>
      </c>
      <c r="N95" s="392" t="str">
        <f t="shared" si="236"/>
        <v/>
      </c>
      <c r="O95" s="392">
        <f t="shared" si="236"/>
        <v>1.5875661711617419</v>
      </c>
      <c r="P95" s="392" t="str">
        <f t="shared" si="236"/>
        <v/>
      </c>
      <c r="Q95" s="392">
        <f t="shared" si="236"/>
        <v>1.2084469538169875</v>
      </c>
      <c r="R95" s="392" t="str">
        <f t="shared" si="236"/>
        <v/>
      </c>
      <c r="S95" s="392">
        <f t="shared" si="236"/>
        <v>1.0972548427164532</v>
      </c>
      <c r="T95" s="390">
        <f t="shared" si="236"/>
        <v>1.1454560978024857</v>
      </c>
      <c r="U95" s="394">
        <f t="shared" si="236"/>
        <v>1.3898830107239364</v>
      </c>
      <c r="V95" s="300">
        <v>63</v>
      </c>
      <c r="W95" s="392">
        <f>IF((W32-W28-W25)=0,"",(W73+W66-W64)/(W32-W28-W25))</f>
        <v>1.0272100816822505</v>
      </c>
      <c r="X95" s="392">
        <f t="shared" ref="X95:AO95" si="237">IF((X32-X28-X25)=0,"",(X73+X66-X64)/(X32-X28-X25))</f>
        <v>0.67076086719072892</v>
      </c>
      <c r="Y95" s="392">
        <f t="shared" si="237"/>
        <v>0.60328088686390846</v>
      </c>
      <c r="Z95" s="392">
        <f t="shared" si="237"/>
        <v>0.54087723744463057</v>
      </c>
      <c r="AA95" s="392">
        <f t="shared" si="237"/>
        <v>0.75234238612354709</v>
      </c>
      <c r="AB95" s="392">
        <f t="shared" si="237"/>
        <v>0.5601020318737725</v>
      </c>
      <c r="AC95" s="392">
        <f t="shared" si="237"/>
        <v>1.2103829210417023</v>
      </c>
      <c r="AD95" s="392">
        <f t="shared" si="237"/>
        <v>0.40622076113054006</v>
      </c>
      <c r="AE95" s="388">
        <f t="shared" si="237"/>
        <v>0.59935831933472805</v>
      </c>
      <c r="AF95" s="393" t="str">
        <f t="shared" si="237"/>
        <v/>
      </c>
      <c r="AG95" s="392">
        <f t="shared" si="237"/>
        <v>0.8429036176256216</v>
      </c>
      <c r="AH95" s="392" t="str">
        <f t="shared" si="237"/>
        <v/>
      </c>
      <c r="AI95" s="392">
        <f t="shared" si="237"/>
        <v>0.98045358827061968</v>
      </c>
      <c r="AJ95" s="392" t="str">
        <f t="shared" si="237"/>
        <v/>
      </c>
      <c r="AK95" s="392">
        <f t="shared" si="237"/>
        <v>0.91457617368951338</v>
      </c>
      <c r="AL95" s="392" t="str">
        <f t="shared" si="237"/>
        <v/>
      </c>
      <c r="AM95" s="392">
        <f t="shared" si="237"/>
        <v>1.0999844061849653</v>
      </c>
      <c r="AN95" s="390">
        <f t="shared" si="237"/>
        <v>0.95426539337822791</v>
      </c>
      <c r="AO95" s="394">
        <f t="shared" si="237"/>
        <v>0.80627556348763185</v>
      </c>
      <c r="AP95" s="300">
        <v>63</v>
      </c>
      <c r="AQ95" s="392">
        <f>IF((AQ32-AQ28-AQ25)=0,"",(AQ73+AQ66-AQ64)/(AQ32-AQ28-AQ25))</f>
        <v>0.97031355453076995</v>
      </c>
      <c r="AR95" s="392">
        <f t="shared" ref="AR95:BI95" si="238">IF((AR32-AR28-AR25)=0,"",(AR73+AR66-AR64)/(AR32-AR28-AR25))</f>
        <v>0.94846851101412</v>
      </c>
      <c r="AS95" s="392">
        <f t="shared" si="238"/>
        <v>0.87552744676570526</v>
      </c>
      <c r="AT95" s="392">
        <f t="shared" si="238"/>
        <v>0.87123290860145597</v>
      </c>
      <c r="AU95" s="392">
        <f t="shared" si="238"/>
        <v>0.91955444476113657</v>
      </c>
      <c r="AV95" s="392">
        <f t="shared" si="238"/>
        <v>0.91425807076947785</v>
      </c>
      <c r="AW95" s="392">
        <f t="shared" si="238"/>
        <v>1.0068955194334999</v>
      </c>
      <c r="AX95" s="392">
        <f t="shared" si="238"/>
        <v>0.93091049544368576</v>
      </c>
      <c r="AY95" s="388">
        <f t="shared" si="238"/>
        <v>0.92499203881771996</v>
      </c>
      <c r="AZ95" s="393" t="str">
        <f t="shared" si="238"/>
        <v/>
      </c>
      <c r="BA95" s="392">
        <f t="shared" si="238"/>
        <v>0.70516701288632122</v>
      </c>
      <c r="BB95" s="392" t="str">
        <f t="shared" si="238"/>
        <v/>
      </c>
      <c r="BC95" s="392">
        <f t="shared" si="238"/>
        <v>0.85156838880886265</v>
      </c>
      <c r="BD95" s="392" t="str">
        <f t="shared" si="238"/>
        <v/>
      </c>
      <c r="BE95" s="392">
        <f t="shared" si="238"/>
        <v>0.79834295941456612</v>
      </c>
      <c r="BF95" s="392" t="str">
        <f t="shared" si="238"/>
        <v/>
      </c>
      <c r="BG95" s="392">
        <f t="shared" si="238"/>
        <v>0.88978538846093924</v>
      </c>
      <c r="BH95" s="390">
        <f t="shared" si="238"/>
        <v>0.80924845726997519</v>
      </c>
      <c r="BI95" s="394">
        <f t="shared" si="238"/>
        <v>0.88026738680033034</v>
      </c>
      <c r="BJ95" s="300">
        <v>63</v>
      </c>
      <c r="BK95" s="392">
        <f>IF((BK32-BK28-BK25)=0,"",(BK73+BK66-BK64)/(BK32-BK28-BK25))</f>
        <v>1.4073906168071135</v>
      </c>
      <c r="BL95" s="392">
        <f t="shared" ref="BL95:CS95" si="239">IF((BL32-BL28-BL25)=0,"",(BL73+BL66-BL64)/(BL32-BL28-BL25))</f>
        <v>1.1401766602160326</v>
      </c>
      <c r="BM95" s="392">
        <f t="shared" si="239"/>
        <v>1.1982531700906125</v>
      </c>
      <c r="BN95" s="392">
        <f t="shared" si="239"/>
        <v>0.93845004609061644</v>
      </c>
      <c r="BO95" s="392">
        <f t="shared" si="239"/>
        <v>1.3448556301903036</v>
      </c>
      <c r="BP95" s="392">
        <f t="shared" si="239"/>
        <v>1.0675144487886379</v>
      </c>
      <c r="BQ95" s="392">
        <f t="shared" si="239"/>
        <v>1.5688482760845903</v>
      </c>
      <c r="BR95" s="392">
        <f t="shared" si="239"/>
        <v>1.0205439563406289</v>
      </c>
      <c r="BS95" s="388">
        <f t="shared" si="239"/>
        <v>1.0725088537738483</v>
      </c>
      <c r="BT95" s="393" t="str">
        <f t="shared" si="239"/>
        <v/>
      </c>
      <c r="BU95" s="392">
        <f t="shared" si="239"/>
        <v>0.98805632261732668</v>
      </c>
      <c r="BV95" s="392" t="str">
        <f t="shared" si="239"/>
        <v/>
      </c>
      <c r="BW95" s="392">
        <f t="shared" si="239"/>
        <v>1.6264475996694874</v>
      </c>
      <c r="BX95" s="392" t="str">
        <f t="shared" si="239"/>
        <v/>
      </c>
      <c r="BY95" s="392">
        <f t="shared" si="239"/>
        <v>1.3136264231680661</v>
      </c>
      <c r="BZ95" s="392" t="str">
        <f t="shared" si="239"/>
        <v/>
      </c>
      <c r="CA95" s="392">
        <f t="shared" si="239"/>
        <v>1.20056269483181</v>
      </c>
      <c r="CB95" s="390">
        <f t="shared" si="239"/>
        <v>1.2678271406324038</v>
      </c>
      <c r="CC95" s="394">
        <f t="shared" si="239"/>
        <v>1.1243711990675134</v>
      </c>
      <c r="CD95" s="300">
        <v>63</v>
      </c>
      <c r="CE95" s="390">
        <f t="shared" ref="CE95:CI95" si="240">IF((CE32-CE28-CE25)=0,"",(CE73+CE66-CE64)/(CE32-CE28-CE25))</f>
        <v>0.98532847479056263</v>
      </c>
      <c r="CF95" s="390">
        <f t="shared" si="240"/>
        <v>0.9387245619073008</v>
      </c>
      <c r="CG95" s="390">
        <f t="shared" si="240"/>
        <v>0.97264490259786618</v>
      </c>
      <c r="CH95" s="390">
        <f t="shared" si="240"/>
        <v>0.97647183070983867</v>
      </c>
      <c r="CI95" s="391">
        <f t="shared" si="240"/>
        <v>0.96834698268499786</v>
      </c>
      <c r="CJ95" s="390">
        <f t="shared" ref="CJ95:CN95" si="241">IF((CJ32-CJ28-CJ25)=0,"",(CJ73+CJ66-CJ64)/(CJ32-CJ28-CJ25))</f>
        <v>0.72125237712974755</v>
      </c>
      <c r="CK95" s="390">
        <f t="shared" si="241"/>
        <v>0.96383352231557751</v>
      </c>
      <c r="CL95" s="390">
        <f t="shared" si="241"/>
        <v>0.86438674279664351</v>
      </c>
      <c r="CM95" s="390">
        <f t="shared" si="241"/>
        <v>0.92997000882344705</v>
      </c>
      <c r="CN95" s="391" t="str">
        <f t="shared" si="241"/>
        <v/>
      </c>
      <c r="CO95" s="390">
        <f t="shared" si="239"/>
        <v>0.8708028726305469</v>
      </c>
      <c r="CP95" s="390">
        <f t="shared" si="239"/>
        <v>0.9483198537643992</v>
      </c>
      <c r="CQ95" s="390">
        <f t="shared" si="239"/>
        <v>0.92918839781654283</v>
      </c>
      <c r="CR95" s="390">
        <f t="shared" si="239"/>
        <v>0.95818072464818016</v>
      </c>
      <c r="CS95" s="391">
        <f t="shared" si="239"/>
        <v>0.92711936782858873</v>
      </c>
    </row>
    <row r="96" spans="1:131" s="317" customFormat="1" ht="15.75" customHeight="1">
      <c r="A96" s="135" t="s">
        <v>276</v>
      </c>
      <c r="B96" s="300">
        <v>64</v>
      </c>
      <c r="C96" s="392">
        <f>IF((C32-C28)=0,"",(C73)/(C32-C28))</f>
        <v>3.720523199284026E-2</v>
      </c>
      <c r="D96" s="392">
        <f t="shared" ref="D96:U96" si="242">IF((D32-D28)=0,"",(D73)/(D32-D28))</f>
        <v>3.7205231992840267E-2</v>
      </c>
      <c r="E96" s="392">
        <f t="shared" si="242"/>
        <v>4.0473652490409885E-2</v>
      </c>
      <c r="F96" s="392">
        <f t="shared" si="242"/>
        <v>4.0473652490409885E-2</v>
      </c>
      <c r="G96" s="392">
        <f t="shared" si="242"/>
        <v>3.8211887225006458E-2</v>
      </c>
      <c r="H96" s="392">
        <f t="shared" si="242"/>
        <v>3.8211887225006465E-2</v>
      </c>
      <c r="I96" s="392">
        <f t="shared" si="242"/>
        <v>3.7631832553010017E-2</v>
      </c>
      <c r="J96" s="392">
        <f t="shared" si="242"/>
        <v>3.7631832553010017E-2</v>
      </c>
      <c r="K96" s="388">
        <f t="shared" si="242"/>
        <v>3.8377727539313768E-2</v>
      </c>
      <c r="L96" s="393" t="str">
        <f t="shared" si="242"/>
        <v/>
      </c>
      <c r="M96" s="392">
        <f t="shared" si="242"/>
        <v>3.0414612878357502E-2</v>
      </c>
      <c r="N96" s="392" t="str">
        <f t="shared" si="242"/>
        <v/>
      </c>
      <c r="O96" s="392">
        <f t="shared" si="242"/>
        <v>3.3218584102051855E-2</v>
      </c>
      <c r="P96" s="392" t="str">
        <f t="shared" si="242"/>
        <v/>
      </c>
      <c r="Q96" s="392">
        <f t="shared" si="242"/>
        <v>3.0263368989753518E-2</v>
      </c>
      <c r="R96" s="392" t="str">
        <f t="shared" si="242"/>
        <v/>
      </c>
      <c r="S96" s="392">
        <f t="shared" si="242"/>
        <v>2.9389750931858662E-2</v>
      </c>
      <c r="T96" s="390">
        <f t="shared" si="242"/>
        <v>3.0741114514469783E-2</v>
      </c>
      <c r="U96" s="394">
        <f t="shared" si="242"/>
        <v>3.3584987973591121E-2</v>
      </c>
      <c r="V96" s="300">
        <v>64</v>
      </c>
      <c r="W96" s="392">
        <f t="shared" ref="W96:AO96" si="243">IF((W32-W28)=0,"",(W73)/(W32-W28))</f>
        <v>3.720523199284026E-2</v>
      </c>
      <c r="X96" s="392">
        <f t="shared" si="243"/>
        <v>3.720523199284026E-2</v>
      </c>
      <c r="Y96" s="392">
        <f t="shared" si="243"/>
        <v>4.0473652490409892E-2</v>
      </c>
      <c r="Z96" s="392">
        <f t="shared" si="243"/>
        <v>4.0473652490409885E-2</v>
      </c>
      <c r="AA96" s="392">
        <f t="shared" si="243"/>
        <v>3.8211887225006458E-2</v>
      </c>
      <c r="AB96" s="392">
        <f t="shared" si="243"/>
        <v>3.8211887225006458E-2</v>
      </c>
      <c r="AC96" s="392">
        <f t="shared" si="243"/>
        <v>3.7631832553010024E-2</v>
      </c>
      <c r="AD96" s="392">
        <f t="shared" si="243"/>
        <v>3.7631832553010024E-2</v>
      </c>
      <c r="AE96" s="388">
        <f t="shared" si="243"/>
        <v>3.8363850748091934E-2</v>
      </c>
      <c r="AF96" s="393" t="str">
        <f t="shared" si="243"/>
        <v/>
      </c>
      <c r="AG96" s="392">
        <f t="shared" si="243"/>
        <v>2.9510214625328646E-2</v>
      </c>
      <c r="AH96" s="392" t="str">
        <f t="shared" si="243"/>
        <v/>
      </c>
      <c r="AI96" s="392">
        <f t="shared" si="243"/>
        <v>3.2975044407266951E-2</v>
      </c>
      <c r="AJ96" s="392" t="str">
        <f t="shared" si="243"/>
        <v/>
      </c>
      <c r="AK96" s="392">
        <f t="shared" si="243"/>
        <v>3.1040953948021251E-2</v>
      </c>
      <c r="AL96" s="392" t="str">
        <f t="shared" si="243"/>
        <v/>
      </c>
      <c r="AM96" s="392">
        <f t="shared" si="243"/>
        <v>3.0413015309429969E-2</v>
      </c>
      <c r="AN96" s="390">
        <f t="shared" si="243"/>
        <v>3.0889305647009344E-2</v>
      </c>
      <c r="AO96" s="394">
        <f t="shared" si="243"/>
        <v>3.4006055745609012E-2</v>
      </c>
      <c r="AP96" s="300">
        <v>64</v>
      </c>
      <c r="AQ96" s="392">
        <f t="shared" ref="AQ96:BI96" si="244">IF((AQ32-AQ28)=0,"",(AQ73)/(AQ32-AQ28))</f>
        <v>3.720523199284026E-2</v>
      </c>
      <c r="AR96" s="392">
        <f t="shared" si="244"/>
        <v>3.720523199284026E-2</v>
      </c>
      <c r="AS96" s="392">
        <f t="shared" si="244"/>
        <v>4.0473652490409892E-2</v>
      </c>
      <c r="AT96" s="392">
        <f t="shared" si="244"/>
        <v>4.0473652490409885E-2</v>
      </c>
      <c r="AU96" s="392">
        <f t="shared" si="244"/>
        <v>3.8211887225006451E-2</v>
      </c>
      <c r="AV96" s="392">
        <f t="shared" si="244"/>
        <v>3.8211887225006458E-2</v>
      </c>
      <c r="AW96" s="392">
        <f t="shared" si="244"/>
        <v>3.7631832553010017E-2</v>
      </c>
      <c r="AX96" s="392">
        <f t="shared" si="244"/>
        <v>3.7631832553010024E-2</v>
      </c>
      <c r="AY96" s="388">
        <f t="shared" si="244"/>
        <v>3.8374271669531168E-2</v>
      </c>
      <c r="AZ96" s="393" t="str">
        <f t="shared" si="244"/>
        <v/>
      </c>
      <c r="BA96" s="392">
        <f t="shared" si="244"/>
        <v>2.9673029157778887E-2</v>
      </c>
      <c r="BB96" s="392" t="str">
        <f t="shared" si="244"/>
        <v/>
      </c>
      <c r="BC96" s="392">
        <f t="shared" si="244"/>
        <v>3.174312831711093E-2</v>
      </c>
      <c r="BD96" s="392" t="str">
        <f t="shared" si="244"/>
        <v/>
      </c>
      <c r="BE96" s="392">
        <f t="shared" si="244"/>
        <v>3.0207643550682263E-2</v>
      </c>
      <c r="BF96" s="392" t="str">
        <f t="shared" si="244"/>
        <v/>
      </c>
      <c r="BG96" s="392">
        <f t="shared" si="244"/>
        <v>2.9751281051989185E-2</v>
      </c>
      <c r="BH96" s="390">
        <f t="shared" si="244"/>
        <v>3.0291113111452293E-2</v>
      </c>
      <c r="BI96" s="394">
        <f t="shared" si="244"/>
        <v>3.5250846172607764E-2</v>
      </c>
      <c r="BJ96" s="300">
        <v>64</v>
      </c>
      <c r="BK96" s="392">
        <f t="shared" ref="BK96:CC96" si="245">IF((BK32-BK28)=0,"",(BK73)/(BK32-BK28))</f>
        <v>3.4550263015894277E-2</v>
      </c>
      <c r="BL96" s="392">
        <f t="shared" si="245"/>
        <v>3.4550263015894277E-2</v>
      </c>
      <c r="BM96" s="392">
        <f t="shared" si="245"/>
        <v>3.7481776561985612E-2</v>
      </c>
      <c r="BN96" s="392">
        <f t="shared" si="245"/>
        <v>3.7481776561985612E-2</v>
      </c>
      <c r="BO96" s="392">
        <f t="shared" si="245"/>
        <v>3.532921428502786E-2</v>
      </c>
      <c r="BP96" s="392">
        <f t="shared" si="245"/>
        <v>3.5329214285027853E-2</v>
      </c>
      <c r="BQ96" s="392">
        <f t="shared" si="245"/>
        <v>2.8383789231660954E-2</v>
      </c>
      <c r="BR96" s="392">
        <f t="shared" si="245"/>
        <v>2.8383789231660957E-2</v>
      </c>
      <c r="BS96" s="388">
        <f t="shared" si="245"/>
        <v>3.3579625076118814E-2</v>
      </c>
      <c r="BT96" s="393" t="str">
        <f t="shared" si="245"/>
        <v/>
      </c>
      <c r="BU96" s="392">
        <f t="shared" si="245"/>
        <v>3.0537140859054398E-2</v>
      </c>
      <c r="BV96" s="392" t="str">
        <f t="shared" si="245"/>
        <v/>
      </c>
      <c r="BW96" s="392">
        <f t="shared" si="245"/>
        <v>3.3386768426691769E-2</v>
      </c>
      <c r="BX96" s="392" t="str">
        <f t="shared" si="245"/>
        <v/>
      </c>
      <c r="BY96" s="392">
        <f t="shared" si="245"/>
        <v>3.1641256272557747E-2</v>
      </c>
      <c r="BZ96" s="392" t="str">
        <f t="shared" si="245"/>
        <v/>
      </c>
      <c r="CA96" s="392">
        <f t="shared" si="245"/>
        <v>3.1881486657246563E-2</v>
      </c>
      <c r="CB96" s="390">
        <f t="shared" si="245"/>
        <v>3.1809742109695761E-2</v>
      </c>
      <c r="CC96" s="394">
        <f t="shared" si="245"/>
        <v>3.3154188087885769E-2</v>
      </c>
      <c r="CD96" s="300">
        <v>64</v>
      </c>
      <c r="CE96" s="390">
        <f t="shared" ref="CE96:CS96" si="246">IF((CE32-CE28)=0,"",(CE73)/(CE32-CE28))</f>
        <v>3.7025347809083363E-2</v>
      </c>
      <c r="CF96" s="390">
        <f t="shared" si="246"/>
        <v>4.0288060157903212E-2</v>
      </c>
      <c r="CG96" s="390">
        <f t="shared" si="246"/>
        <v>3.8046366540135858E-2</v>
      </c>
      <c r="CH96" s="390">
        <f t="shared" si="246"/>
        <v>3.6980485267090905E-2</v>
      </c>
      <c r="CI96" s="391">
        <f t="shared" si="246"/>
        <v>3.8065186880391594E-2</v>
      </c>
      <c r="CJ96" s="390">
        <f t="shared" si="246"/>
        <v>2.9773864409462225E-2</v>
      </c>
      <c r="CK96" s="390">
        <f t="shared" si="246"/>
        <v>3.2001618033930597E-2</v>
      </c>
      <c r="CL96" s="390">
        <f t="shared" si="246"/>
        <v>3.0281001330659838E-2</v>
      </c>
      <c r="CM96" s="390">
        <f t="shared" si="246"/>
        <v>2.9797997331588499E-2</v>
      </c>
      <c r="CN96" s="391" t="str">
        <f t="shared" si="246"/>
        <v/>
      </c>
      <c r="CO96" s="390">
        <f t="shared" si="246"/>
        <v>3.3889123812358847E-2</v>
      </c>
      <c r="CP96" s="390">
        <f t="shared" si="246"/>
        <v>3.7130415802745495E-2</v>
      </c>
      <c r="CQ96" s="390">
        <f t="shared" si="246"/>
        <v>3.4937324862730428E-2</v>
      </c>
      <c r="CR96" s="390">
        <f t="shared" si="246"/>
        <v>3.4185181672475265E-2</v>
      </c>
      <c r="CS96" s="391">
        <f t="shared" si="246"/>
        <v>3.4996780170989741E-2</v>
      </c>
    </row>
    <row r="97" spans="1:102" ht="15.75" customHeight="1">
      <c r="A97" s="135" t="s">
        <v>278</v>
      </c>
      <c r="B97" s="300">
        <v>65</v>
      </c>
      <c r="C97" s="392">
        <f t="shared" ref="C97:U97" si="247">IF((C32-C28)=0,"",C88/(C32-C28))</f>
        <v>8.4622837623392635E-2</v>
      </c>
      <c r="D97" s="392">
        <f t="shared" si="247"/>
        <v>8.4622837623392635E-2</v>
      </c>
      <c r="E97" s="392">
        <f t="shared" si="247"/>
        <v>9.3793432198616203E-2</v>
      </c>
      <c r="F97" s="392">
        <f t="shared" si="247"/>
        <v>9.3793432198616217E-2</v>
      </c>
      <c r="G97" s="392">
        <f t="shared" si="247"/>
        <v>9.6704546327566476E-2</v>
      </c>
      <c r="H97" s="392">
        <f t="shared" si="247"/>
        <v>9.6704546327566476E-2</v>
      </c>
      <c r="I97" s="392">
        <f t="shared" si="247"/>
        <v>9.6670317238977316E-2</v>
      </c>
      <c r="J97" s="392">
        <f t="shared" si="247"/>
        <v>9.6670317238977316E-2</v>
      </c>
      <c r="K97" s="395">
        <f t="shared" si="247"/>
        <v>9.3098621074856988E-2</v>
      </c>
      <c r="L97" s="393" t="str">
        <f t="shared" si="247"/>
        <v/>
      </c>
      <c r="M97" s="392">
        <f t="shared" si="247"/>
        <v>7.1494918078789993E-2</v>
      </c>
      <c r="N97" s="392" t="str">
        <f t="shared" si="247"/>
        <v/>
      </c>
      <c r="O97" s="392">
        <f t="shared" si="247"/>
        <v>7.9144929963264651E-2</v>
      </c>
      <c r="P97" s="392" t="str">
        <f t="shared" si="247"/>
        <v/>
      </c>
      <c r="Q97" s="392">
        <f t="shared" si="247"/>
        <v>7.8795675227498502E-2</v>
      </c>
      <c r="R97" s="392" t="str">
        <f t="shared" si="247"/>
        <v/>
      </c>
      <c r="S97" s="392">
        <f t="shared" si="247"/>
        <v>7.756212220512794E-2</v>
      </c>
      <c r="T97" s="396">
        <f t="shared" si="247"/>
        <v>7.6714616027751759E-2</v>
      </c>
      <c r="U97" s="393">
        <f t="shared" si="247"/>
        <v>8.2816016865530154E-2</v>
      </c>
      <c r="V97" s="300">
        <v>65</v>
      </c>
      <c r="W97" s="392">
        <f t="shared" ref="W97:AO97" si="248">IF((W32-W28)=0,"",W88/(W32-W28))</f>
        <v>8.4622837623392635E-2</v>
      </c>
      <c r="X97" s="392">
        <f t="shared" si="248"/>
        <v>8.4622837623392622E-2</v>
      </c>
      <c r="Y97" s="392">
        <f t="shared" si="248"/>
        <v>9.3793432198616217E-2</v>
      </c>
      <c r="Z97" s="392">
        <f t="shared" si="248"/>
        <v>9.3793432198616231E-2</v>
      </c>
      <c r="AA97" s="392">
        <f t="shared" si="248"/>
        <v>9.6704546327566476E-2</v>
      </c>
      <c r="AB97" s="392">
        <f t="shared" si="248"/>
        <v>9.670454632756649E-2</v>
      </c>
      <c r="AC97" s="392">
        <f t="shared" si="248"/>
        <v>9.667031723897733E-2</v>
      </c>
      <c r="AD97" s="392">
        <f t="shared" si="248"/>
        <v>9.667031723897733E-2</v>
      </c>
      <c r="AE97" s="395">
        <f t="shared" si="248"/>
        <v>9.2914392693638923E-2</v>
      </c>
      <c r="AF97" s="393" t="str">
        <f t="shared" si="248"/>
        <v/>
      </c>
      <c r="AG97" s="392">
        <f t="shared" si="248"/>
        <v>6.936897028949858E-2</v>
      </c>
      <c r="AH97" s="392" t="str">
        <f t="shared" si="248"/>
        <v/>
      </c>
      <c r="AI97" s="392">
        <f t="shared" si="248"/>
        <v>7.856468451909368E-2</v>
      </c>
      <c r="AJ97" s="392" t="str">
        <f t="shared" si="248"/>
        <v/>
      </c>
      <c r="AK97" s="392">
        <f t="shared" si="248"/>
        <v>8.0820245983457523E-2</v>
      </c>
      <c r="AL97" s="392" t="str">
        <f t="shared" si="248"/>
        <v/>
      </c>
      <c r="AM97" s="392">
        <f t="shared" si="248"/>
        <v>8.0262606359803312E-2</v>
      </c>
      <c r="AN97" s="396">
        <f t="shared" si="248"/>
        <v>7.6899950414155566E-2</v>
      </c>
      <c r="AO97" s="393">
        <f t="shared" si="248"/>
        <v>8.357768315622828E-2</v>
      </c>
      <c r="AP97" s="300">
        <v>65</v>
      </c>
      <c r="AQ97" s="392">
        <f t="shared" ref="AQ97:BI97" si="249">IF((AQ32-AQ28)=0,"",AQ88/(AQ32-AQ28))</f>
        <v>8.4622837623392649E-2</v>
      </c>
      <c r="AR97" s="392">
        <f t="shared" si="249"/>
        <v>8.4622837623392622E-2</v>
      </c>
      <c r="AS97" s="392">
        <f t="shared" si="249"/>
        <v>9.3793432198616203E-2</v>
      </c>
      <c r="AT97" s="392">
        <f t="shared" si="249"/>
        <v>9.3793432198616203E-2</v>
      </c>
      <c r="AU97" s="392">
        <f t="shared" si="249"/>
        <v>9.6704546327566476E-2</v>
      </c>
      <c r="AV97" s="392">
        <f t="shared" si="249"/>
        <v>9.6704546327566462E-2</v>
      </c>
      <c r="AW97" s="392">
        <f t="shared" si="249"/>
        <v>9.667031723897733E-2</v>
      </c>
      <c r="AX97" s="392">
        <f t="shared" si="249"/>
        <v>9.6670317238977316E-2</v>
      </c>
      <c r="AY97" s="395">
        <f t="shared" si="249"/>
        <v>9.3216585482451417E-2</v>
      </c>
      <c r="AZ97" s="393" t="str">
        <f t="shared" si="249"/>
        <v/>
      </c>
      <c r="BA97" s="392">
        <f t="shared" si="249"/>
        <v>6.9751694597255567E-2</v>
      </c>
      <c r="BB97" s="392" t="str">
        <f t="shared" si="249"/>
        <v/>
      </c>
      <c r="BC97" s="392">
        <f t="shared" si="249"/>
        <v>7.5629583119934563E-2</v>
      </c>
      <c r="BD97" s="392" t="str">
        <f t="shared" si="249"/>
        <v/>
      </c>
      <c r="BE97" s="392">
        <f t="shared" si="249"/>
        <v>7.8650584851061717E-2</v>
      </c>
      <c r="BF97" s="392" t="str">
        <f t="shared" si="249"/>
        <v/>
      </c>
      <c r="BG97" s="392">
        <f t="shared" si="249"/>
        <v>7.851623180011609E-2</v>
      </c>
      <c r="BH97" s="396">
        <f t="shared" si="249"/>
        <v>7.5590306190999268E-2</v>
      </c>
      <c r="BI97" s="393">
        <f t="shared" si="249"/>
        <v>8.6405588301183778E-2</v>
      </c>
      <c r="BJ97" s="300">
        <v>65</v>
      </c>
      <c r="BK97" s="392">
        <f t="shared" ref="BK97:CC97" si="250">IF((BK32-BK28)=0,"",BK88/(BK32-BK28))</f>
        <v>7.858414369253687E-2</v>
      </c>
      <c r="BL97" s="392">
        <f t="shared" si="250"/>
        <v>7.858414369253687E-2</v>
      </c>
      <c r="BM97" s="392">
        <f t="shared" si="250"/>
        <v>8.6860074451725791E-2</v>
      </c>
      <c r="BN97" s="392">
        <f t="shared" si="250"/>
        <v>8.6860074451725791E-2</v>
      </c>
      <c r="BO97" s="392">
        <f t="shared" si="250"/>
        <v>8.9409235911991056E-2</v>
      </c>
      <c r="BP97" s="392">
        <f t="shared" si="250"/>
        <v>8.9409235911991042E-2</v>
      </c>
      <c r="BQ97" s="392">
        <f t="shared" si="250"/>
        <v>7.2913534189539803E-2</v>
      </c>
      <c r="BR97" s="392">
        <f t="shared" si="250"/>
        <v>7.2913534189539816E-2</v>
      </c>
      <c r="BS97" s="395">
        <f t="shared" si="250"/>
        <v>8.1284800682441746E-2</v>
      </c>
      <c r="BT97" s="393" t="str">
        <f t="shared" si="250"/>
        <v/>
      </c>
      <c r="BU97" s="392">
        <f t="shared" si="250"/>
        <v>7.1782941732989394E-2</v>
      </c>
      <c r="BV97" s="392" t="str">
        <f t="shared" si="250"/>
        <v/>
      </c>
      <c r="BW97" s="392">
        <f t="shared" si="250"/>
        <v>7.9545637487512255E-2</v>
      </c>
      <c r="BX97" s="392" t="str">
        <f t="shared" si="250"/>
        <v/>
      </c>
      <c r="BY97" s="392">
        <f t="shared" si="250"/>
        <v>8.2383232147308125E-2</v>
      </c>
      <c r="BZ97" s="392" t="str">
        <f t="shared" si="250"/>
        <v/>
      </c>
      <c r="CA97" s="392">
        <f t="shared" si="250"/>
        <v>8.4138030632644412E-2</v>
      </c>
      <c r="CB97" s="396">
        <f t="shared" si="250"/>
        <v>7.9499703858684573E-2</v>
      </c>
      <c r="CC97" s="393">
        <f t="shared" si="250"/>
        <v>8.0855706651473999E-2</v>
      </c>
      <c r="CD97" s="300">
        <v>65</v>
      </c>
      <c r="CE97" s="396">
        <f t="shared" ref="CE97:CS97" si="251">IF((CE32-CE28)=0,"",CE88/(CE32-CE28))</f>
        <v>8.4213693283800684E-2</v>
      </c>
      <c r="CF97" s="396">
        <f t="shared" si="251"/>
        <v>9.336334149060134E-2</v>
      </c>
      <c r="CG97" s="396">
        <f t="shared" si="251"/>
        <v>9.628565566550662E-2</v>
      </c>
      <c r="CH97" s="396">
        <f t="shared" si="251"/>
        <v>9.4997107498955999E-2</v>
      </c>
      <c r="CI97" s="423">
        <f t="shared" si="251"/>
        <v>9.2437598032138565E-2</v>
      </c>
      <c r="CJ97" s="396">
        <f t="shared" si="251"/>
        <v>6.9988725661480747E-2</v>
      </c>
      <c r="CK97" s="396">
        <f t="shared" si="251"/>
        <v>7.624544773568899E-2</v>
      </c>
      <c r="CL97" s="396">
        <f t="shared" si="251"/>
        <v>7.8841583936737875E-2</v>
      </c>
      <c r="CM97" s="396">
        <f t="shared" si="251"/>
        <v>7.8639520146303571E-2</v>
      </c>
      <c r="CN97" s="423" t="str">
        <f t="shared" si="251"/>
        <v/>
      </c>
      <c r="CO97" s="396">
        <f t="shared" si="251"/>
        <v>7.8061478302231535E-2</v>
      </c>
      <c r="CP97" s="396">
        <f t="shared" si="251"/>
        <v>8.684037062099062E-2</v>
      </c>
      <c r="CQ97" s="396">
        <f t="shared" si="251"/>
        <v>8.9301522329162067E-2</v>
      </c>
      <c r="CR97" s="396">
        <f t="shared" si="251"/>
        <v>8.8631009409170611E-2</v>
      </c>
      <c r="CS97" s="423">
        <f t="shared" si="251"/>
        <v>8.5802529331174451E-2</v>
      </c>
    </row>
    <row r="98" spans="1:102" s="317" customFormat="1" ht="15.75" customHeight="1">
      <c r="A98" s="316"/>
      <c r="AP98" s="424"/>
    </row>
    <row r="99" spans="1:102" s="317" customFormat="1" ht="15.75" customHeight="1">
      <c r="A99" s="316"/>
    </row>
    <row r="100" spans="1:102" s="317" customFormat="1" ht="15.75" customHeight="1">
      <c r="C100" s="319"/>
      <c r="D100" s="319"/>
      <c r="E100" s="319"/>
      <c r="F100" s="319"/>
      <c r="G100" s="319"/>
      <c r="H100" s="319"/>
      <c r="I100" s="319"/>
      <c r="J100" s="319"/>
      <c r="L100" s="319"/>
      <c r="M100" s="319"/>
      <c r="N100" s="319"/>
      <c r="O100" s="319"/>
      <c r="P100" s="319"/>
      <c r="Q100" s="319"/>
      <c r="R100" s="319"/>
      <c r="S100" s="319"/>
      <c r="W100" s="319"/>
      <c r="X100" s="319"/>
      <c r="Y100" s="319"/>
      <c r="Z100" s="319"/>
      <c r="AA100" s="319"/>
      <c r="AB100" s="319"/>
      <c r="AC100" s="319"/>
      <c r="AD100" s="319"/>
      <c r="AF100" s="319"/>
      <c r="AG100" s="319"/>
      <c r="AH100" s="319"/>
      <c r="AI100" s="319"/>
      <c r="AJ100" s="319"/>
      <c r="AK100" s="319"/>
      <c r="AL100" s="319"/>
      <c r="AM100" s="319"/>
      <c r="AQ100" s="319"/>
      <c r="AR100" s="319"/>
      <c r="AS100" s="319"/>
      <c r="AT100" s="319"/>
      <c r="AU100" s="319"/>
      <c r="AV100" s="319"/>
      <c r="AW100" s="319"/>
      <c r="AX100" s="319"/>
      <c r="AZ100" s="319"/>
      <c r="BA100" s="319"/>
      <c r="BB100" s="319"/>
      <c r="BC100" s="319"/>
      <c r="BD100" s="319"/>
      <c r="BE100" s="319"/>
      <c r="BF100" s="319"/>
      <c r="BG100" s="319"/>
      <c r="BK100" s="319"/>
      <c r="BL100" s="319"/>
      <c r="BM100" s="319"/>
      <c r="BN100" s="319"/>
      <c r="BO100" s="319"/>
      <c r="BP100" s="319"/>
      <c r="BQ100" s="319"/>
      <c r="BR100" s="319"/>
      <c r="BT100" s="319"/>
      <c r="BU100" s="319"/>
      <c r="BV100" s="319"/>
      <c r="BW100" s="319"/>
      <c r="BX100" s="319"/>
      <c r="BY100" s="319"/>
      <c r="BZ100" s="319"/>
      <c r="CA100" s="319"/>
      <c r="CT100" s="319"/>
      <c r="CU100" s="319"/>
      <c r="CV100" s="319"/>
      <c r="CW100" s="319"/>
      <c r="CX100" s="319"/>
    </row>
    <row r="101" spans="1:102" s="317" customFormat="1" ht="15.75" customHeight="1">
      <c r="C101" s="319"/>
      <c r="D101" s="319"/>
      <c r="F101" s="319"/>
      <c r="H101" s="319"/>
      <c r="J101" s="319"/>
      <c r="L101" s="319"/>
      <c r="M101" s="319"/>
      <c r="O101" s="319"/>
      <c r="Q101" s="319"/>
      <c r="S101" s="319"/>
      <c r="W101" s="319"/>
      <c r="X101" s="319"/>
      <c r="Z101" s="319"/>
      <c r="AB101" s="319"/>
      <c r="AD101" s="319"/>
      <c r="AF101" s="319"/>
      <c r="AG101" s="319"/>
      <c r="AI101" s="319"/>
      <c r="AK101" s="319"/>
      <c r="AM101" s="319"/>
      <c r="AQ101" s="319"/>
      <c r="AR101" s="319"/>
      <c r="AT101" s="319"/>
      <c r="AV101" s="319"/>
      <c r="AX101" s="319"/>
      <c r="AZ101" s="319"/>
      <c r="BA101" s="319"/>
      <c r="BC101" s="319"/>
      <c r="BE101" s="319"/>
      <c r="BG101" s="319"/>
      <c r="BK101" s="319"/>
      <c r="BL101" s="319"/>
      <c r="BN101" s="319"/>
      <c r="BP101" s="319"/>
      <c r="BR101" s="319"/>
      <c r="BT101" s="319"/>
      <c r="BU101" s="319"/>
      <c r="BW101" s="319"/>
      <c r="BY101" s="319"/>
      <c r="CA101" s="319"/>
      <c r="CT101" s="319"/>
      <c r="CV101" s="319"/>
      <c r="CX101" s="319"/>
    </row>
    <row r="102" spans="1:102" s="317" customFormat="1" ht="15.75" customHeight="1"/>
    <row r="103" spans="1:102" s="317" customFormat="1">
      <c r="C103" s="319"/>
      <c r="D103" s="319"/>
      <c r="E103" s="319"/>
      <c r="F103" s="319"/>
      <c r="G103" s="319"/>
      <c r="H103" s="319"/>
      <c r="I103" s="319"/>
      <c r="J103" s="319"/>
      <c r="L103" s="319"/>
      <c r="M103" s="319"/>
      <c r="N103" s="319"/>
      <c r="O103" s="319"/>
      <c r="P103" s="319"/>
      <c r="Q103" s="319"/>
      <c r="R103" s="319"/>
      <c r="S103" s="319"/>
      <c r="W103" s="319"/>
      <c r="X103" s="319"/>
      <c r="Y103" s="319"/>
      <c r="Z103" s="319"/>
      <c r="AA103" s="319"/>
      <c r="AB103" s="319"/>
      <c r="AC103" s="319"/>
      <c r="AD103" s="319"/>
      <c r="AF103" s="319"/>
      <c r="AG103" s="319"/>
      <c r="AH103" s="319"/>
      <c r="AI103" s="319"/>
      <c r="AJ103" s="319"/>
      <c r="AK103" s="319"/>
      <c r="AL103" s="319"/>
      <c r="AM103" s="319"/>
      <c r="AQ103" s="319"/>
      <c r="AR103" s="319"/>
      <c r="AS103" s="319"/>
      <c r="AT103" s="319"/>
      <c r="AU103" s="319"/>
      <c r="AV103" s="319"/>
      <c r="AW103" s="319"/>
      <c r="AX103" s="319"/>
      <c r="AZ103" s="319"/>
      <c r="BA103" s="319"/>
      <c r="BB103" s="319"/>
      <c r="BC103" s="319"/>
      <c r="BD103" s="319"/>
      <c r="BE103" s="319"/>
      <c r="BF103" s="319"/>
      <c r="BG103" s="319"/>
      <c r="BK103" s="319"/>
      <c r="BL103" s="319"/>
      <c r="BM103" s="319"/>
      <c r="BN103" s="319"/>
      <c r="BO103" s="319"/>
      <c r="BP103" s="319"/>
      <c r="BQ103" s="319"/>
      <c r="BR103" s="319"/>
      <c r="BT103" s="319"/>
      <c r="BU103" s="319"/>
      <c r="BV103" s="319"/>
      <c r="BW103" s="319"/>
      <c r="BX103" s="319"/>
      <c r="BY103" s="319"/>
      <c r="BZ103" s="319"/>
      <c r="CA103" s="319"/>
      <c r="CT103" s="319"/>
      <c r="CU103" s="319"/>
      <c r="CV103" s="319"/>
      <c r="CW103" s="319"/>
      <c r="CX103" s="319"/>
    </row>
    <row r="104" spans="1:102" s="317" customFormat="1">
      <c r="C104" s="319"/>
      <c r="D104" s="319"/>
      <c r="F104" s="319"/>
      <c r="H104" s="319"/>
      <c r="J104" s="319"/>
      <c r="L104" s="319"/>
      <c r="M104" s="319"/>
      <c r="O104" s="319"/>
      <c r="Q104" s="319"/>
      <c r="S104" s="319"/>
      <c r="W104" s="319"/>
      <c r="X104" s="319"/>
      <c r="Z104" s="319"/>
      <c r="AB104" s="319"/>
      <c r="AD104" s="319"/>
      <c r="AF104" s="319"/>
      <c r="AG104" s="319"/>
      <c r="AI104" s="319"/>
      <c r="AK104" s="319"/>
      <c r="AM104" s="319"/>
      <c r="AQ104" s="319"/>
      <c r="AR104" s="319"/>
      <c r="AT104" s="319"/>
      <c r="AV104" s="319"/>
      <c r="AX104" s="319"/>
      <c r="AZ104" s="319"/>
      <c r="BA104" s="319"/>
      <c r="BC104" s="319"/>
      <c r="BE104" s="319"/>
      <c r="BG104" s="319"/>
      <c r="BK104" s="319"/>
      <c r="BL104" s="319"/>
      <c r="BN104" s="319"/>
      <c r="BP104" s="319"/>
      <c r="BR104" s="319"/>
      <c r="BT104" s="319"/>
      <c r="BU104" s="319"/>
      <c r="BW104" s="319"/>
      <c r="BY104" s="319"/>
      <c r="CA104" s="319"/>
      <c r="CT104" s="319"/>
      <c r="CV104" s="319"/>
      <c r="CX104" s="319"/>
    </row>
    <row r="105" spans="1:102" s="317" customFormat="1"/>
    <row r="106" spans="1:102" s="317" customFormat="1">
      <c r="CT106" s="319"/>
      <c r="CV106" s="319"/>
      <c r="CX106" s="319"/>
    </row>
    <row r="107" spans="1:102" s="317" customFormat="1">
      <c r="CT107" s="319"/>
      <c r="CV107" s="319"/>
      <c r="CX107" s="319"/>
    </row>
    <row r="108" spans="1:102" s="317" customFormat="1">
      <c r="CT108" s="319"/>
      <c r="CV108" s="319"/>
      <c r="CX108" s="319"/>
    </row>
    <row r="109" spans="1:102" s="317" customFormat="1"/>
    <row r="110" spans="1:102" s="317" customFormat="1">
      <c r="CT110" s="319"/>
      <c r="CV110" s="319"/>
      <c r="CX110" s="319"/>
    </row>
    <row r="111" spans="1:102" s="317" customFormat="1"/>
    <row r="112" spans="1:102" s="317" customFormat="1"/>
    <row r="113" s="317" customFormat="1"/>
    <row r="114" s="317" customFormat="1"/>
    <row r="115" s="317" customFormat="1"/>
    <row r="116" s="317" customFormat="1"/>
    <row r="117" s="317" customFormat="1"/>
    <row r="118" s="317" customFormat="1"/>
    <row r="119" s="317" customFormat="1"/>
    <row r="120" s="317" customFormat="1"/>
    <row r="121" s="317" customFormat="1"/>
    <row r="122" s="317" customFormat="1"/>
    <row r="123" s="317" customFormat="1"/>
    <row r="124" s="317" customFormat="1"/>
    <row r="125" s="317" customFormat="1"/>
    <row r="126" s="317" customFormat="1"/>
    <row r="127" s="317" customFormat="1"/>
    <row r="128" s="317" customFormat="1"/>
    <row r="129" s="317" customFormat="1"/>
    <row r="130" s="317" customFormat="1"/>
    <row r="131" s="317" customFormat="1"/>
    <row r="132" s="317" customFormat="1"/>
    <row r="133" s="317" customFormat="1"/>
    <row r="134" s="317" customFormat="1"/>
    <row r="135" s="317" customFormat="1"/>
    <row r="136" s="317" customFormat="1"/>
    <row r="137" s="317" customFormat="1"/>
    <row r="138" s="317" customFormat="1"/>
    <row r="139" s="317" customFormat="1"/>
    <row r="140" s="317" customFormat="1"/>
    <row r="141" s="317" customFormat="1"/>
    <row r="142" s="317" customFormat="1"/>
    <row r="143" s="317" customFormat="1"/>
    <row r="144" s="317" customFormat="1"/>
    <row r="145" s="317" customFormat="1"/>
    <row r="146" s="317" customFormat="1"/>
    <row r="147" s="317" customFormat="1"/>
    <row r="148" s="317" customFormat="1"/>
    <row r="149" s="317" customFormat="1"/>
    <row r="150" s="317" customFormat="1"/>
    <row r="151" s="317" customFormat="1"/>
    <row r="152" s="317" customFormat="1"/>
    <row r="153" s="317" customFormat="1"/>
    <row r="154" s="317" customFormat="1"/>
    <row r="155" s="317" customFormat="1"/>
    <row r="156" s="317" customFormat="1"/>
    <row r="157" s="317" customFormat="1"/>
    <row r="158" s="317" customFormat="1"/>
    <row r="159" s="317" customFormat="1"/>
    <row r="160" s="317" customFormat="1"/>
    <row r="161" s="317" customFormat="1"/>
    <row r="162" s="317" customFormat="1"/>
    <row r="163" s="317" customFormat="1"/>
    <row r="164" s="317" customFormat="1"/>
    <row r="165" s="317" customFormat="1"/>
    <row r="166" s="317" customFormat="1"/>
    <row r="167" s="317" customFormat="1"/>
    <row r="168" s="317" customFormat="1"/>
    <row r="169" s="317" customFormat="1"/>
    <row r="170" s="317" customFormat="1"/>
    <row r="171" s="317" customFormat="1"/>
    <row r="172" s="317" customFormat="1"/>
    <row r="173" s="317" customFormat="1"/>
    <row r="174" s="317" customFormat="1"/>
    <row r="175" s="317" customFormat="1"/>
    <row r="176" s="317" customFormat="1"/>
    <row r="177" s="317" customFormat="1"/>
    <row r="178" s="317" customFormat="1"/>
    <row r="179" s="317" customFormat="1"/>
    <row r="180" s="317" customFormat="1"/>
    <row r="181" s="317" customFormat="1"/>
    <row r="182" s="317" customFormat="1"/>
    <row r="183" s="317" customFormat="1"/>
    <row r="184" s="317" customFormat="1"/>
    <row r="185" s="317" customFormat="1"/>
    <row r="186" s="317" customFormat="1"/>
    <row r="187" s="317" customFormat="1"/>
    <row r="188" s="317" customFormat="1"/>
    <row r="189" s="317" customFormat="1"/>
    <row r="190" s="317" customFormat="1"/>
    <row r="191" s="317" customFormat="1"/>
    <row r="192" s="317" customFormat="1"/>
    <row r="193" s="317" customFormat="1"/>
    <row r="194" s="317" customFormat="1"/>
    <row r="195" s="317" customFormat="1"/>
    <row r="196" s="317" customFormat="1"/>
    <row r="197" s="317" customFormat="1"/>
    <row r="198" s="317" customFormat="1"/>
    <row r="199" s="317" customFormat="1"/>
    <row r="200" s="317" customFormat="1"/>
    <row r="201" s="317" customFormat="1"/>
    <row r="202" s="317" customFormat="1"/>
    <row r="203" s="317" customFormat="1"/>
    <row r="204" s="317" customFormat="1"/>
    <row r="205" s="317" customFormat="1"/>
    <row r="206" s="317" customFormat="1"/>
    <row r="207" s="317" customFormat="1"/>
    <row r="208" s="317" customFormat="1"/>
    <row r="209" s="317" customFormat="1"/>
    <row r="210" s="317" customFormat="1"/>
    <row r="211" s="317" customFormat="1"/>
    <row r="212" s="317" customFormat="1"/>
    <row r="213" s="317" customFormat="1"/>
    <row r="214" s="317" customFormat="1"/>
    <row r="215" s="317" customFormat="1"/>
    <row r="216" s="317" customFormat="1"/>
    <row r="217" s="317" customFormat="1"/>
    <row r="218" s="317" customFormat="1"/>
    <row r="219" s="317" customFormat="1"/>
    <row r="220" s="317" customFormat="1"/>
    <row r="221" s="317" customFormat="1"/>
    <row r="222" s="317" customFormat="1"/>
    <row r="223" s="317" customFormat="1"/>
    <row r="224" s="317" customFormat="1"/>
    <row r="225" s="317" customFormat="1"/>
    <row r="226" s="317" customFormat="1"/>
    <row r="227" s="317" customFormat="1"/>
    <row r="228" s="317" customFormat="1"/>
    <row r="229" s="317" customFormat="1"/>
    <row r="230" s="317" customFormat="1"/>
    <row r="231" s="317" customFormat="1"/>
    <row r="232" s="317" customFormat="1"/>
    <row r="233" s="317" customFormat="1"/>
    <row r="234" s="317" customFormat="1"/>
    <row r="235" s="317" customFormat="1"/>
    <row r="236" s="317" customFormat="1"/>
    <row r="237" s="317" customFormat="1"/>
    <row r="238" s="317" customFormat="1"/>
    <row r="239" s="317" customFormat="1"/>
    <row r="240" s="317" customFormat="1"/>
    <row r="241" s="317" customFormat="1"/>
    <row r="242" s="317" customFormat="1"/>
    <row r="243" s="317" customFormat="1"/>
    <row r="244" s="317" customFormat="1"/>
    <row r="245" s="317" customFormat="1"/>
    <row r="246" s="317" customFormat="1"/>
    <row r="247" s="317" customFormat="1"/>
    <row r="248" s="317" customFormat="1"/>
    <row r="249" s="317" customFormat="1"/>
    <row r="250" s="317" customFormat="1"/>
    <row r="251" s="317" customFormat="1"/>
    <row r="252" s="317" customFormat="1"/>
    <row r="253" s="317" customFormat="1"/>
    <row r="254" s="317" customFormat="1"/>
    <row r="255" s="317" customFormat="1"/>
    <row r="256" s="317" customFormat="1"/>
    <row r="257" s="317" customFormat="1"/>
    <row r="258" s="317" customFormat="1"/>
    <row r="259" s="317" customFormat="1"/>
    <row r="260" s="317" customFormat="1"/>
    <row r="261" s="317" customFormat="1"/>
    <row r="262" s="317" customFormat="1"/>
    <row r="263" s="317" customFormat="1"/>
    <row r="264" s="317" customFormat="1"/>
    <row r="265" s="317" customFormat="1"/>
    <row r="266" s="317" customFormat="1"/>
    <row r="267" s="317" customFormat="1"/>
    <row r="268" s="317" customFormat="1"/>
    <row r="269" s="317" customFormat="1"/>
    <row r="270" s="317" customFormat="1"/>
    <row r="271" s="317" customFormat="1"/>
    <row r="272" s="317" customFormat="1"/>
    <row r="273" s="317" customFormat="1"/>
    <row r="274" s="317" customFormat="1"/>
    <row r="275" s="317" customFormat="1"/>
    <row r="276" s="317" customFormat="1"/>
    <row r="277" s="317" customFormat="1"/>
    <row r="278" s="317" customFormat="1"/>
    <row r="279" s="317" customFormat="1"/>
    <row r="280" s="317" customFormat="1"/>
    <row r="281" s="317" customFormat="1"/>
    <row r="282" s="317" customFormat="1"/>
    <row r="283" s="317" customFormat="1"/>
    <row r="284" s="317" customFormat="1"/>
    <row r="285" s="317" customFormat="1"/>
    <row r="286" s="317" customFormat="1"/>
    <row r="287" s="317" customFormat="1"/>
    <row r="288" s="317" customFormat="1"/>
    <row r="289" s="317" customFormat="1"/>
    <row r="290" s="317" customFormat="1"/>
    <row r="291" s="317" customFormat="1"/>
    <row r="292" s="317" customFormat="1"/>
    <row r="293" s="317" customFormat="1"/>
    <row r="294" s="317" customFormat="1"/>
    <row r="295" s="317" customFormat="1"/>
    <row r="296" s="317" customFormat="1"/>
    <row r="297" s="317" customFormat="1"/>
    <row r="298" s="317" customFormat="1"/>
    <row r="299" s="317" customFormat="1"/>
    <row r="300" s="317" customFormat="1"/>
    <row r="301" s="317" customFormat="1"/>
    <row r="302" s="317" customFormat="1"/>
    <row r="303" s="317" customFormat="1"/>
    <row r="304" s="317" customFormat="1"/>
    <row r="305" s="317" customFormat="1"/>
    <row r="306" s="317" customFormat="1"/>
    <row r="307" s="317" customFormat="1"/>
    <row r="308" s="317" customFormat="1"/>
    <row r="309" s="317" customFormat="1"/>
    <row r="310" s="317" customFormat="1"/>
    <row r="311" s="317" customFormat="1"/>
    <row r="312" s="317" customFormat="1"/>
    <row r="313" s="317" customFormat="1"/>
    <row r="314" s="317" customFormat="1"/>
    <row r="315" s="317" customFormat="1"/>
    <row r="316" s="317" customFormat="1"/>
    <row r="317" s="317" customFormat="1"/>
    <row r="318" s="317" customFormat="1"/>
    <row r="319" s="317" customFormat="1"/>
    <row r="320" s="317" customFormat="1"/>
    <row r="321" s="317" customFormat="1"/>
    <row r="322" s="317" customFormat="1"/>
    <row r="323" s="317" customFormat="1"/>
    <row r="324" s="317" customFormat="1"/>
    <row r="325" s="317" customFormat="1"/>
    <row r="326" s="317" customFormat="1"/>
    <row r="327" s="317" customFormat="1"/>
    <row r="328" s="317" customFormat="1"/>
    <row r="329" s="317" customFormat="1"/>
    <row r="330" s="317" customFormat="1"/>
    <row r="331" s="317" customFormat="1"/>
    <row r="332" s="317" customFormat="1"/>
    <row r="333" s="317" customFormat="1"/>
    <row r="334" s="317" customFormat="1"/>
    <row r="335" s="317" customFormat="1"/>
    <row r="336" s="317" customFormat="1"/>
    <row r="337" s="317" customFormat="1"/>
    <row r="338" s="317" customFormat="1"/>
    <row r="339" s="317" customFormat="1"/>
    <row r="340" s="317" customFormat="1"/>
    <row r="341" s="317" customFormat="1"/>
    <row r="342" s="317" customFormat="1"/>
  </sheetData>
  <sheetProtection formatColumns="0"/>
  <mergeCells count="13">
    <mergeCell ref="CS10:CS13"/>
    <mergeCell ref="BJ10:BJ13"/>
    <mergeCell ref="V10:V13"/>
    <mergeCell ref="AP10:AP13"/>
    <mergeCell ref="CD10:CD13"/>
    <mergeCell ref="CN10:CN13"/>
    <mergeCell ref="CI10:CI13"/>
    <mergeCell ref="G1:I1"/>
    <mergeCell ref="B10:B13"/>
    <mergeCell ref="U11:U13"/>
    <mergeCell ref="CC11:CC13"/>
    <mergeCell ref="AO11:AO13"/>
    <mergeCell ref="BI11:BI13"/>
  </mergeCells>
  <pageMargins left="0.25" right="0.25" top="0.5" bottom="0.75" header="0.3" footer="0.3"/>
  <pageSetup paperSize="9" scale="59" fitToHeight="0" orientation="portrait" r:id="rId1"/>
  <headerFooter alignWithMargins="0"/>
  <ignoredErrors>
    <ignoredError sqref="K16:K19 K21:K22 K24:K29 K31:K69 K71:K91 K93:K97 AY16 AY21 AY22 AY71:AY97 AY31:AY69 AY24:AY29 BS16:BS19 BS71:BS97 BS21:BS22 BS24:BS29 BS31:BS69" formulaRange="1"/>
    <ignoredError sqref="K20 K23 K30 K70 K92 AY70 AY30 AY23 BS70 BS20 BS23 BS30" formula="1" formulaRange="1"/>
    <ignoredError sqref="AY2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A342"/>
  <sheetViews>
    <sheetView topLeftCell="CP1" zoomScale="80" zoomScaleNormal="80" workbookViewId="0">
      <selection activeCell="CX25" sqref="CX25"/>
    </sheetView>
  </sheetViews>
  <sheetFormatPr defaultColWidth="9.28515625" defaultRowHeight="13.15"/>
  <cols>
    <col min="1" max="1" width="49.28515625" style="136" bestFit="1" customWidth="1"/>
    <col min="2" max="2" width="8.5703125" style="136" bestFit="1" customWidth="1"/>
    <col min="3" max="21" width="15.5703125" style="136" customWidth="1"/>
    <col min="22" max="22" width="7.28515625" style="136" bestFit="1" customWidth="1"/>
    <col min="23" max="41" width="15.5703125" style="136" customWidth="1"/>
    <col min="42" max="42" width="7.28515625" style="136" bestFit="1" customWidth="1"/>
    <col min="43" max="61" width="15.5703125" style="136" customWidth="1"/>
    <col min="62" max="62" width="7.28515625" style="136" bestFit="1" customWidth="1"/>
    <col min="63" max="81" width="15.5703125" style="136" customWidth="1"/>
    <col min="82" max="82" width="7.28515625" style="136" bestFit="1" customWidth="1"/>
    <col min="83" max="96" width="15.5703125" style="136" customWidth="1"/>
    <col min="97" max="97" width="18.5703125" style="136" customWidth="1"/>
    <col min="98" max="98" width="13.28515625" style="317" bestFit="1" customWidth="1"/>
    <col min="99" max="99" width="14.140625" style="317" customWidth="1"/>
    <col min="100" max="100" width="13.28515625" style="317" bestFit="1" customWidth="1"/>
    <col min="101" max="101" width="11.28515625" style="317" bestFit="1" customWidth="1"/>
    <col min="102" max="102" width="13.28515625" style="317" bestFit="1" customWidth="1"/>
    <col min="103" max="131" width="9.28515625" style="317"/>
    <col min="132" max="16384" width="9.28515625" style="136"/>
  </cols>
  <sheetData>
    <row r="1" spans="1:131" s="179" customFormat="1" ht="27" customHeight="1">
      <c r="A1" s="15" t="s">
        <v>1325</v>
      </c>
      <c r="G1" s="777"/>
      <c r="H1" s="777"/>
      <c r="I1" s="777"/>
      <c r="J1" s="710"/>
      <c r="K1" s="710"/>
      <c r="L1" s="180"/>
      <c r="M1" s="180"/>
      <c r="N1" s="180"/>
      <c r="O1" s="180"/>
      <c r="P1" s="180"/>
      <c r="Q1" s="180"/>
      <c r="R1" s="180"/>
      <c r="S1" s="180"/>
      <c r="T1" s="710"/>
      <c r="U1" s="180"/>
      <c r="V1" s="180"/>
      <c r="W1" s="180"/>
      <c r="X1" s="180"/>
      <c r="Y1" s="180"/>
      <c r="Z1" s="180"/>
      <c r="AA1" s="180"/>
      <c r="AB1" s="180"/>
      <c r="AC1" s="180"/>
      <c r="AD1" s="180"/>
      <c r="AE1" s="710"/>
      <c r="AF1" s="180"/>
      <c r="AG1" s="180"/>
      <c r="AH1" s="180"/>
      <c r="AI1" s="180"/>
      <c r="AJ1" s="180"/>
      <c r="AK1" s="180"/>
      <c r="AL1" s="180"/>
      <c r="AM1" s="180"/>
      <c r="AN1" s="710"/>
      <c r="AO1" s="180"/>
      <c r="AP1" s="180"/>
      <c r="AQ1" s="180"/>
      <c r="AR1" s="180"/>
      <c r="AS1" s="180"/>
      <c r="AT1" s="180"/>
      <c r="AU1" s="180"/>
      <c r="AV1" s="180"/>
      <c r="AW1" s="180"/>
      <c r="AX1" s="180"/>
      <c r="AY1" s="710"/>
      <c r="AZ1" s="180"/>
      <c r="BA1" s="180"/>
      <c r="BB1" s="180"/>
      <c r="BC1" s="180"/>
      <c r="BD1" s="180"/>
      <c r="BE1" s="180"/>
      <c r="BF1" s="180"/>
      <c r="BG1" s="180"/>
      <c r="BH1" s="710"/>
      <c r="BI1" s="180"/>
      <c r="BJ1" s="180"/>
      <c r="BK1" s="180"/>
      <c r="BL1" s="180"/>
      <c r="BM1" s="180"/>
      <c r="BN1" s="180"/>
      <c r="BO1" s="180"/>
      <c r="BP1" s="180"/>
      <c r="BQ1" s="180"/>
      <c r="BR1" s="180"/>
      <c r="BS1" s="710"/>
      <c r="BT1" s="180"/>
      <c r="BU1" s="180"/>
      <c r="BV1" s="180"/>
      <c r="BW1" s="180"/>
      <c r="BX1" s="180"/>
      <c r="BY1" s="180"/>
      <c r="BZ1" s="180"/>
      <c r="CA1" s="180"/>
      <c r="CB1" s="71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row>
    <row r="2" spans="1:131" s="179" customFormat="1" ht="15.6">
      <c r="A2" s="139" t="s">
        <v>1303</v>
      </c>
      <c r="B2" s="397" t="str">
        <f>'Schedule 3A_Income Statement'!B2</f>
        <v>Tufts Associated Health Plans, Inc. (TAHMO)</v>
      </c>
      <c r="C2" s="398"/>
      <c r="D2" s="398"/>
      <c r="E2" s="398"/>
      <c r="F2" s="399"/>
      <c r="G2" s="425"/>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row>
    <row r="3" spans="1:131" s="179" customFormat="1" ht="15.6">
      <c r="A3" s="139" t="s">
        <v>1285</v>
      </c>
      <c r="B3" s="520" t="str">
        <f>'Schedule 3A_Income Statement'!B3</f>
        <v>01/01/2024 - 12/31/2024</v>
      </c>
      <c r="C3" s="521"/>
      <c r="D3" s="521"/>
      <c r="E3" s="521"/>
      <c r="F3" s="522"/>
      <c r="G3" s="42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row>
    <row r="4" spans="1:131" s="179" customFormat="1" ht="15.6">
      <c r="A4" s="139" t="s">
        <v>1306</v>
      </c>
      <c r="B4" s="401">
        <f>'Schedule 3A_Income Statement'!B4</f>
        <v>45657</v>
      </c>
      <c r="C4" s="398"/>
      <c r="D4" s="398"/>
      <c r="E4" s="398"/>
      <c r="F4" s="399"/>
      <c r="G4" s="425"/>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row>
    <row r="5" spans="1:131" s="179" customFormat="1" ht="15.6">
      <c r="A5" s="139" t="s">
        <v>1307</v>
      </c>
      <c r="B5" s="397" t="str">
        <f>'Schedule 3A_Income Statement'!B5</f>
        <v>Roshni Parikh</v>
      </c>
      <c r="C5" s="398"/>
      <c r="D5" s="398"/>
      <c r="E5" s="398"/>
      <c r="F5" s="399"/>
      <c r="G5" s="425"/>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row>
    <row r="6" spans="1:131" s="179" customFormat="1" ht="15.6">
      <c r="A6" s="139" t="s">
        <v>1288</v>
      </c>
      <c r="B6" s="401">
        <f>'Schedule 3A_Income Statement'!B6</f>
        <v>45657</v>
      </c>
      <c r="C6" s="398"/>
      <c r="D6" s="398"/>
      <c r="E6" s="398"/>
      <c r="F6" s="399"/>
      <c r="G6" s="425"/>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row>
    <row r="7" spans="1:131" s="179" customFormat="1">
      <c r="A7" s="230" t="s">
        <v>1289</v>
      </c>
      <c r="B7" s="181"/>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row>
    <row r="8" spans="1:131" s="179" customFormat="1">
      <c r="A8" s="230"/>
      <c r="B8" s="181"/>
      <c r="G8" s="180"/>
      <c r="H8" s="180"/>
      <c r="I8" s="180"/>
      <c r="J8" s="180"/>
      <c r="K8" s="180"/>
      <c r="L8" s="180"/>
      <c r="M8" s="180"/>
      <c r="N8" s="180"/>
      <c r="O8" s="180"/>
      <c r="P8" s="180"/>
      <c r="Q8" s="180"/>
      <c r="R8" s="180"/>
      <c r="S8" s="180"/>
      <c r="T8" s="180"/>
      <c r="U8" s="180"/>
      <c r="V8" s="343"/>
      <c r="W8" s="180"/>
      <c r="X8" s="180"/>
      <c r="Y8" s="180"/>
      <c r="Z8" s="180"/>
      <c r="AA8" s="180"/>
      <c r="AB8" s="180"/>
      <c r="AC8" s="180"/>
      <c r="AD8" s="180"/>
      <c r="AE8" s="180"/>
      <c r="AF8" s="180"/>
      <c r="AG8" s="180"/>
      <c r="AH8" s="180"/>
      <c r="AI8" s="180"/>
      <c r="AJ8" s="180"/>
      <c r="AK8" s="180"/>
      <c r="AL8" s="180"/>
      <c r="AM8" s="180"/>
      <c r="AN8" s="180"/>
      <c r="AO8" s="180"/>
      <c r="AP8" s="343"/>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row>
    <row r="9" spans="1:131" s="179" customFormat="1">
      <c r="A9" s="230"/>
      <c r="B9" s="181"/>
      <c r="G9" s="180"/>
      <c r="H9" s="180"/>
      <c r="I9" s="180"/>
      <c r="J9" s="180"/>
      <c r="K9" s="180"/>
      <c r="L9" s="180"/>
      <c r="M9" s="180"/>
      <c r="N9" s="180"/>
      <c r="O9" s="180"/>
      <c r="P9" s="180"/>
      <c r="Q9" s="180"/>
      <c r="R9" s="180"/>
      <c r="S9" s="180"/>
      <c r="T9" s="180"/>
      <c r="U9" s="180"/>
      <c r="V9" s="343"/>
      <c r="W9" s="180"/>
      <c r="X9" s="180"/>
      <c r="Y9" s="180"/>
      <c r="Z9" s="180"/>
      <c r="AA9" s="180"/>
      <c r="AB9" s="180"/>
      <c r="AC9" s="180"/>
      <c r="AD9" s="180"/>
      <c r="AE9" s="180"/>
      <c r="AF9" s="180"/>
      <c r="AG9" s="180"/>
      <c r="AH9" s="180"/>
      <c r="AI9" s="180"/>
      <c r="AJ9" s="180"/>
      <c r="AK9" s="180"/>
      <c r="AL9" s="180"/>
      <c r="AM9" s="180"/>
      <c r="AN9" s="180"/>
      <c r="AO9" s="180"/>
      <c r="AP9" s="343"/>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row>
    <row r="10" spans="1:131" s="179" customFormat="1" ht="15.75" customHeight="1">
      <c r="A10" s="404"/>
      <c r="B10" s="773" t="s">
        <v>1326</v>
      </c>
      <c r="C10" s="405" t="s">
        <v>404</v>
      </c>
      <c r="D10" s="406"/>
      <c r="E10" s="406"/>
      <c r="F10" s="406"/>
      <c r="G10" s="406"/>
      <c r="H10" s="406"/>
      <c r="I10" s="406"/>
      <c r="J10" s="406"/>
      <c r="K10" s="406"/>
      <c r="L10" s="406"/>
      <c r="M10" s="406"/>
      <c r="N10" s="406"/>
      <c r="O10" s="406"/>
      <c r="P10" s="406"/>
      <c r="Q10" s="406"/>
      <c r="R10" s="406"/>
      <c r="S10" s="406"/>
      <c r="T10" s="406"/>
      <c r="U10" s="407"/>
      <c r="V10" s="773" t="s">
        <v>1326</v>
      </c>
      <c r="W10" s="405" t="s">
        <v>409</v>
      </c>
      <c r="X10" s="406"/>
      <c r="Y10" s="406"/>
      <c r="Z10" s="406"/>
      <c r="AA10" s="406"/>
      <c r="AB10" s="406"/>
      <c r="AC10" s="406"/>
      <c r="AD10" s="406"/>
      <c r="AE10" s="406"/>
      <c r="AF10" s="406"/>
      <c r="AG10" s="406"/>
      <c r="AH10" s="406"/>
      <c r="AI10" s="406"/>
      <c r="AJ10" s="406"/>
      <c r="AK10" s="406"/>
      <c r="AL10" s="406"/>
      <c r="AM10" s="406"/>
      <c r="AN10" s="406"/>
      <c r="AO10" s="407"/>
      <c r="AP10" s="773" t="s">
        <v>1326</v>
      </c>
      <c r="AQ10" s="405" t="s">
        <v>411</v>
      </c>
      <c r="AR10" s="406"/>
      <c r="AS10" s="406"/>
      <c r="AT10" s="406"/>
      <c r="AU10" s="406"/>
      <c r="AV10" s="406"/>
      <c r="AW10" s="406"/>
      <c r="AX10" s="406"/>
      <c r="AY10" s="406"/>
      <c r="AZ10" s="406"/>
      <c r="BA10" s="406"/>
      <c r="BB10" s="406"/>
      <c r="BC10" s="406"/>
      <c r="BD10" s="406"/>
      <c r="BE10" s="406"/>
      <c r="BF10" s="406"/>
      <c r="BG10" s="406"/>
      <c r="BH10" s="406"/>
      <c r="BI10" s="406"/>
      <c r="BJ10" s="773" t="s">
        <v>1326</v>
      </c>
      <c r="BK10" s="406" t="s">
        <v>1327</v>
      </c>
      <c r="BL10" s="406"/>
      <c r="BM10" s="406"/>
      <c r="BN10" s="406"/>
      <c r="BO10" s="406"/>
      <c r="BP10" s="406"/>
      <c r="BQ10" s="406"/>
      <c r="BR10" s="406"/>
      <c r="BS10" s="406"/>
      <c r="BT10" s="406"/>
      <c r="BU10" s="406"/>
      <c r="BV10" s="406"/>
      <c r="BW10" s="406"/>
      <c r="BX10" s="406"/>
      <c r="BY10" s="406"/>
      <c r="BZ10" s="406"/>
      <c r="CA10" s="406"/>
      <c r="CB10" s="406"/>
      <c r="CC10" s="406"/>
      <c r="CD10" s="773" t="s">
        <v>1326</v>
      </c>
      <c r="CE10" s="646"/>
      <c r="CF10" s="647"/>
      <c r="CG10" s="647"/>
      <c r="CH10" s="648"/>
      <c r="CI10" s="774" t="s">
        <v>1328</v>
      </c>
      <c r="CJ10" s="646"/>
      <c r="CK10" s="647"/>
      <c r="CL10" s="647"/>
      <c r="CM10" s="648"/>
      <c r="CN10" s="774" t="s">
        <v>1328</v>
      </c>
      <c r="CO10" s="646"/>
      <c r="CP10" s="647"/>
      <c r="CQ10" s="647"/>
      <c r="CR10" s="648"/>
      <c r="CS10" s="774" t="s">
        <v>1328</v>
      </c>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row>
    <row r="11" spans="1:131" s="179" customFormat="1" ht="32.1" customHeight="1">
      <c r="A11" s="138" t="s">
        <v>1329</v>
      </c>
      <c r="B11" s="773"/>
      <c r="C11" s="405" t="s">
        <v>1330</v>
      </c>
      <c r="D11" s="406"/>
      <c r="E11" s="406"/>
      <c r="F11" s="406"/>
      <c r="G11" s="406"/>
      <c r="H11" s="406"/>
      <c r="I11" s="406"/>
      <c r="J11" s="406"/>
      <c r="K11" s="408"/>
      <c r="L11" s="409" t="s">
        <v>1331</v>
      </c>
      <c r="M11" s="406"/>
      <c r="N11" s="406"/>
      <c r="O11" s="406"/>
      <c r="P11" s="406"/>
      <c r="Q11" s="406"/>
      <c r="R11" s="406"/>
      <c r="S11" s="406"/>
      <c r="T11" s="406"/>
      <c r="U11" s="769" t="s">
        <v>1332</v>
      </c>
      <c r="V11" s="773"/>
      <c r="W11" s="406" t="s">
        <v>1330</v>
      </c>
      <c r="X11" s="406"/>
      <c r="Y11" s="406"/>
      <c r="Z11" s="406"/>
      <c r="AA11" s="406"/>
      <c r="AB11" s="406"/>
      <c r="AC11" s="406"/>
      <c r="AD11" s="406"/>
      <c r="AE11" s="408"/>
      <c r="AF11" s="409" t="s">
        <v>1331</v>
      </c>
      <c r="AG11" s="406"/>
      <c r="AH11" s="406"/>
      <c r="AI11" s="406"/>
      <c r="AJ11" s="406"/>
      <c r="AK11" s="406"/>
      <c r="AL11" s="406"/>
      <c r="AM11" s="406"/>
      <c r="AN11" s="406"/>
      <c r="AO11" s="769" t="s">
        <v>1332</v>
      </c>
      <c r="AP11" s="773"/>
      <c r="AQ11" s="405" t="s">
        <v>1330</v>
      </c>
      <c r="AR11" s="406"/>
      <c r="AS11" s="406"/>
      <c r="AT11" s="406"/>
      <c r="AU11" s="406"/>
      <c r="AV11" s="406"/>
      <c r="AW11" s="406"/>
      <c r="AX11" s="406"/>
      <c r="AY11" s="408"/>
      <c r="AZ11" s="409" t="s">
        <v>1331</v>
      </c>
      <c r="BA11" s="406"/>
      <c r="BB11" s="406"/>
      <c r="BC11" s="406"/>
      <c r="BD11" s="406"/>
      <c r="BE11" s="406"/>
      <c r="BF11" s="406"/>
      <c r="BG11" s="406"/>
      <c r="BH11" s="406"/>
      <c r="BI11" s="778" t="s">
        <v>1332</v>
      </c>
      <c r="BJ11" s="773"/>
      <c r="BK11" s="406" t="s">
        <v>1330</v>
      </c>
      <c r="BL11" s="406"/>
      <c r="BM11" s="406"/>
      <c r="BN11" s="406"/>
      <c r="BO11" s="406"/>
      <c r="BP11" s="406"/>
      <c r="BQ11" s="406"/>
      <c r="BR11" s="406"/>
      <c r="BS11" s="408"/>
      <c r="BT11" s="409" t="s">
        <v>1331</v>
      </c>
      <c r="BU11" s="406"/>
      <c r="BV11" s="406"/>
      <c r="BW11" s="406"/>
      <c r="BX11" s="406"/>
      <c r="BY11" s="406"/>
      <c r="BZ11" s="406"/>
      <c r="CA11" s="406"/>
      <c r="CB11" s="406"/>
      <c r="CC11" s="778" t="s">
        <v>1332</v>
      </c>
      <c r="CD11" s="773"/>
      <c r="CE11" s="645" t="s">
        <v>1330</v>
      </c>
      <c r="CF11" s="645"/>
      <c r="CG11" s="645"/>
      <c r="CH11" s="645"/>
      <c r="CI11" s="775"/>
      <c r="CJ11" s="645" t="s">
        <v>1331</v>
      </c>
      <c r="CK11" s="645"/>
      <c r="CL11" s="645"/>
      <c r="CM11" s="645"/>
      <c r="CN11" s="775"/>
      <c r="CO11" s="645" t="s">
        <v>1333</v>
      </c>
      <c r="CP11" s="645"/>
      <c r="CQ11" s="645"/>
      <c r="CR11" s="645"/>
      <c r="CS11" s="775"/>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row>
    <row r="12" spans="1:131" ht="12.75" customHeight="1">
      <c r="A12" s="103" t="s">
        <v>1334</v>
      </c>
      <c r="B12" s="773"/>
      <c r="C12" s="174" t="s">
        <v>1291</v>
      </c>
      <c r="D12" s="175"/>
      <c r="E12" s="174" t="s">
        <v>1298</v>
      </c>
      <c r="F12" s="175"/>
      <c r="G12" s="174" t="s">
        <v>1299</v>
      </c>
      <c r="H12" s="175"/>
      <c r="I12" s="174" t="s">
        <v>1300</v>
      </c>
      <c r="J12" s="175"/>
      <c r="K12" s="79"/>
      <c r="L12" s="176" t="s">
        <v>1291</v>
      </c>
      <c r="M12" s="175"/>
      <c r="N12" s="174" t="s">
        <v>1298</v>
      </c>
      <c r="O12" s="175"/>
      <c r="P12" s="174" t="s">
        <v>1299</v>
      </c>
      <c r="Q12" s="175"/>
      <c r="R12" s="174" t="s">
        <v>1300</v>
      </c>
      <c r="S12" s="175"/>
      <c r="T12" s="411"/>
      <c r="U12" s="770"/>
      <c r="V12" s="773"/>
      <c r="W12" s="177" t="s">
        <v>1291</v>
      </c>
      <c r="X12" s="175"/>
      <c r="Y12" s="174" t="s">
        <v>1298</v>
      </c>
      <c r="Z12" s="175"/>
      <c r="AA12" s="174" t="s">
        <v>1299</v>
      </c>
      <c r="AB12" s="175"/>
      <c r="AC12" s="174" t="s">
        <v>1300</v>
      </c>
      <c r="AD12" s="175"/>
      <c r="AE12" s="79"/>
      <c r="AF12" s="176" t="s">
        <v>1291</v>
      </c>
      <c r="AG12" s="175"/>
      <c r="AH12" s="174" t="s">
        <v>1298</v>
      </c>
      <c r="AI12" s="175"/>
      <c r="AJ12" s="174" t="s">
        <v>1299</v>
      </c>
      <c r="AK12" s="175"/>
      <c r="AL12" s="174" t="s">
        <v>1300</v>
      </c>
      <c r="AM12" s="175"/>
      <c r="AN12" s="411"/>
      <c r="AO12" s="770"/>
      <c r="AP12" s="773"/>
      <c r="AQ12" s="174" t="s">
        <v>1291</v>
      </c>
      <c r="AR12" s="175"/>
      <c r="AS12" s="174" t="s">
        <v>1298</v>
      </c>
      <c r="AT12" s="175"/>
      <c r="AU12" s="174" t="s">
        <v>1299</v>
      </c>
      <c r="AV12" s="175"/>
      <c r="AW12" s="174" t="s">
        <v>1300</v>
      </c>
      <c r="AX12" s="175"/>
      <c r="AY12" s="79"/>
      <c r="AZ12" s="176" t="s">
        <v>1291</v>
      </c>
      <c r="BA12" s="175"/>
      <c r="BB12" s="174" t="s">
        <v>1298</v>
      </c>
      <c r="BC12" s="175"/>
      <c r="BD12" s="174" t="s">
        <v>1299</v>
      </c>
      <c r="BE12" s="175"/>
      <c r="BF12" s="174" t="s">
        <v>1300</v>
      </c>
      <c r="BG12" s="175"/>
      <c r="BH12" s="411"/>
      <c r="BI12" s="779"/>
      <c r="BJ12" s="773"/>
      <c r="BK12" s="177" t="s">
        <v>1291</v>
      </c>
      <c r="BL12" s="175"/>
      <c r="BM12" s="174" t="s">
        <v>1298</v>
      </c>
      <c r="BN12" s="175"/>
      <c r="BO12" s="174" t="s">
        <v>1299</v>
      </c>
      <c r="BP12" s="175"/>
      <c r="BQ12" s="174" t="s">
        <v>1300</v>
      </c>
      <c r="BR12" s="175"/>
      <c r="BS12" s="79"/>
      <c r="BT12" s="176" t="s">
        <v>1291</v>
      </c>
      <c r="BU12" s="175"/>
      <c r="BV12" s="174" t="s">
        <v>1298</v>
      </c>
      <c r="BW12" s="175"/>
      <c r="BX12" s="174" t="s">
        <v>1299</v>
      </c>
      <c r="BY12" s="175"/>
      <c r="BZ12" s="174" t="s">
        <v>1300</v>
      </c>
      <c r="CA12" s="175"/>
      <c r="CB12" s="411"/>
      <c r="CC12" s="779"/>
      <c r="CD12" s="773"/>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131" s="247" customFormat="1" ht="46.5" customHeight="1">
      <c r="A13" s="410"/>
      <c r="B13" s="773"/>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1"/>
      <c r="V13" s="773"/>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1"/>
      <c r="AP13" s="773"/>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80"/>
      <c r="BJ13" s="773"/>
      <c r="BK13" s="615"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80"/>
      <c r="CD13" s="773"/>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c r="DQ13" s="374"/>
      <c r="DR13" s="374"/>
      <c r="DS13" s="374"/>
      <c r="DT13" s="374"/>
      <c r="DU13" s="374"/>
      <c r="DV13" s="374"/>
      <c r="DW13" s="374"/>
      <c r="DX13" s="374"/>
      <c r="DY13" s="374"/>
      <c r="DZ13" s="374"/>
      <c r="EA13" s="374"/>
    </row>
    <row r="14" spans="1:131" ht="15.75" customHeight="1">
      <c r="A14" s="16" t="s">
        <v>1293</v>
      </c>
      <c r="B14" s="140"/>
      <c r="C14" s="637">
        <f>INDEX('Schedule 1_Enrollment'!$D$12:$K$35,MATCH(C12,'Schedule 1_Enrollment'!$B$10:$B$31,0)+1,MATCH(C10,'Schedule 1_Enrollment'!$D$10:$K$10,0)+IF(C13="Dual Eligible",1,0))</f>
        <v>109</v>
      </c>
      <c r="D14" s="637">
        <f>INDEX('Schedule 1_Enrollment'!$D$12:$K$35,MATCH(C12,'Schedule 1_Enrollment'!$B$10:$B$31,0)+1,MATCH(C10,'Schedule 1_Enrollment'!$D$10:$K$10,0)+IF(D13="Dual Eligible",1,0))</f>
        <v>430</v>
      </c>
      <c r="E14" s="637">
        <f>INDEX('Schedule 1_Enrollment'!$D$12:$K$35,MATCH(E12,'Schedule 1_Enrollment'!$B$10:$B$31,0)+1,MATCH(C10,'Schedule 1_Enrollment'!$D$10:$K$10,0)+IF(E13="Dual Eligible",1,0))</f>
        <v>126</v>
      </c>
      <c r="F14" s="637">
        <f>INDEX('Schedule 1_Enrollment'!$D$12:$K$35,MATCH(E12,'Schedule 1_Enrollment'!$B$10:$B$31,0)+1,MATCH(C10,'Schedule 1_Enrollment'!$D$10:$K$10,0)+IF(F13="Dual Eligible",1,0))</f>
        <v>558</v>
      </c>
      <c r="G14" s="637">
        <f>INDEX('Schedule 1_Enrollment'!$D$12:$K$35,MATCH(G12,'Schedule 1_Enrollment'!$B$10:$B$31,0)+1,MATCH(C10,'Schedule 1_Enrollment'!$D$10:$K$10,0)+IF(G13="Dual Eligible",1,0))</f>
        <v>136</v>
      </c>
      <c r="H14" s="637">
        <f>INDEX('Schedule 1_Enrollment'!$D$12:$K$35,MATCH(G12,'Schedule 1_Enrollment'!$B$10:$B$31,0)+1,MATCH(C10,'Schedule 1_Enrollment'!$D$10:$K$10,0)+IF(H13="Dual Eligible",1,0))</f>
        <v>583</v>
      </c>
      <c r="I14" s="637">
        <f>INDEX('Schedule 1_Enrollment'!$D$12:$K$35,MATCH(I12,'Schedule 1_Enrollment'!$B$10:$B$31,0)+1,MATCH(C10,'Schedule 1_Enrollment'!$D$10:$K$10,0)+IF(I13="Dual Eligible",1,0))</f>
        <v>108</v>
      </c>
      <c r="J14" s="637">
        <f>INDEX('Schedule 1_Enrollment'!$D$12:$K$35,MATCH(I12,'Schedule 1_Enrollment'!$B$10:$B$31,0)+1,MATCH(C10,'Schedule 1_Enrollment'!$D$10:$K$10,0)+IF(J13="Dual Eligible",1,0))</f>
        <v>561</v>
      </c>
      <c r="K14" s="640">
        <f>SUM(C14:J14)</f>
        <v>2611</v>
      </c>
      <c r="L14" s="639">
        <f>INDEX('Schedule 1_Enrollment'!$D$12:$K$35,MATCH(L12,'Schedule 1_Enrollment'!$B$10:$B$31,0)+1,MATCH(C10,'Schedule 1_Enrollment'!$D$10:$K$10,0)+IF(L13="Dual Eligible",1,0))</f>
        <v>109</v>
      </c>
      <c r="M14" s="637">
        <f>INDEX('Schedule 1_Enrollment'!$D$12:$K$35,MATCH(L12,'Schedule 1_Enrollment'!$B$10:$B$31,0)+1,MATCH(C10,'Schedule 1_Enrollment'!$D$10:$K$10,0)+IF(M13="Dual Eligible",1,0))</f>
        <v>430</v>
      </c>
      <c r="N14" s="637">
        <f>INDEX('Schedule 1_Enrollment'!$D$12:$K$35,MATCH(N12,'Schedule 1_Enrollment'!$B$10:$B$31,0)+1,MATCH(C10,'Schedule 1_Enrollment'!$D$10:$K$10,0)+IF(N13="Dual Eligible",1,0))</f>
        <v>126</v>
      </c>
      <c r="O14" s="637">
        <f>INDEX('Schedule 1_Enrollment'!$D$12:$K$35,MATCH(N12,'Schedule 1_Enrollment'!$B$10:$B$31,0)+1,MATCH(C10,'Schedule 1_Enrollment'!$D$10:$K$10,0)+IF(O13="Dual Eligible",1,0))</f>
        <v>558</v>
      </c>
      <c r="P14" s="637">
        <f>INDEX('Schedule 1_Enrollment'!$D$12:$K$35,MATCH(P12,'Schedule 1_Enrollment'!$B$10:$B$31,0)+1,MATCH(C10,'Schedule 1_Enrollment'!$D$10:$K$10,0)+IF(P13="Dual Eligible",1,0))</f>
        <v>136</v>
      </c>
      <c r="Q14" s="637">
        <f>INDEX('Schedule 1_Enrollment'!$D$12:$K$35,MATCH(P12,'Schedule 1_Enrollment'!$B$10:$B$31,0)+1,MATCH(C10,'Schedule 1_Enrollment'!$D$10:$K$10,0)+IF(Q13="Dual Eligible",1,0))</f>
        <v>583</v>
      </c>
      <c r="R14" s="637">
        <f>INDEX('Schedule 1_Enrollment'!$D$12:$K$35,MATCH(R12,'Schedule 1_Enrollment'!$B$10:$B$31,0)+1,MATCH(C10,'Schedule 1_Enrollment'!$D$10:$K$10,0)+IF(R13="Dual Eligible",1,0))</f>
        <v>108</v>
      </c>
      <c r="S14" s="637">
        <f>INDEX('Schedule 1_Enrollment'!$D$12:$K$35,MATCH(R12,'Schedule 1_Enrollment'!$B$10:$B$31,0)+1,MATCH(C10,'Schedule 1_Enrollment'!$D$10:$K$10,0)+IF(S13="Dual Eligible",1,0))</f>
        <v>561</v>
      </c>
      <c r="T14" s="640">
        <f>SUM(L14:S14)</f>
        <v>2611</v>
      </c>
      <c r="U14" s="637">
        <f>T14</f>
        <v>2611</v>
      </c>
      <c r="V14" s="140"/>
      <c r="W14" s="637">
        <f>INDEX('Schedule 1_Enrollment'!$D$12:$K$35,MATCH(W12,'Schedule 1_Enrollment'!$B$10:$B$31,0)+1,MATCH(W10,'Schedule 1_Enrollment'!$D$10:$K$10,0)+IF(W13="Dual Eligible",1,0))</f>
        <v>0</v>
      </c>
      <c r="X14" s="637">
        <f>INDEX('Schedule 1_Enrollment'!$D$12:$K$35,MATCH(W12,'Schedule 1_Enrollment'!$B$10:$B$31,0)+1,MATCH(W10,'Schedule 1_Enrollment'!$D$10:$K$10,0)+IF(X13="Dual Eligible",1,0))</f>
        <v>124</v>
      </c>
      <c r="Y14" s="637">
        <f>INDEX('Schedule 1_Enrollment'!$D$12:$K$35,MATCH(Y12,'Schedule 1_Enrollment'!$B$10:$B$31,0)+1,MATCH(W10,'Schedule 1_Enrollment'!$D$10:$K$10,0)+IF(Y13="Dual Eligible",1,0))</f>
        <v>2</v>
      </c>
      <c r="Z14" s="637">
        <f>INDEX('Schedule 1_Enrollment'!$D$12:$K$35,MATCH(Y12,'Schedule 1_Enrollment'!$B$10:$B$31,0)+1,MATCH(W10,'Schedule 1_Enrollment'!$D$10:$K$10,0)+IF(Z13="Dual Eligible",1,0))</f>
        <v>103</v>
      </c>
      <c r="AA14" s="637">
        <f>INDEX('Schedule 1_Enrollment'!$D$12:$K$35,MATCH(AA12,'Schedule 1_Enrollment'!$B$10:$B$31,0)+1,MATCH(W10,'Schedule 1_Enrollment'!$D$10:$K$10,0)+IF(AA13="Dual Eligible",1,0))</f>
        <v>8</v>
      </c>
      <c r="AB14" s="637">
        <f>INDEX('Schedule 1_Enrollment'!$D$12:$K$35,MATCH(AA12,'Schedule 1_Enrollment'!$B$10:$B$31,0)+1,MATCH(W10,'Schedule 1_Enrollment'!$D$10:$K$10,0)+IF(AB13="Dual Eligible",1,0))</f>
        <v>98</v>
      </c>
      <c r="AC14" s="637">
        <f>INDEX('Schedule 1_Enrollment'!$D$12:$K$35,MATCH(AC12,'Schedule 1_Enrollment'!$B$10:$B$31,0)+1,MATCH(W10,'Schedule 1_Enrollment'!$D$10:$K$10,0)+IF(AC13="Dual Eligible",1,0))</f>
        <v>9</v>
      </c>
      <c r="AD14" s="637">
        <f>INDEX('Schedule 1_Enrollment'!$D$12:$K$35,MATCH(AC12,'Schedule 1_Enrollment'!$B$10:$B$31,0)+1,MATCH(W10,'Schedule 1_Enrollment'!$D$10:$K$10,0)+IF(AD13="Dual Eligible",1,0))</f>
        <v>100</v>
      </c>
      <c r="AE14" s="640">
        <f>SUM(W14:AD14)</f>
        <v>444</v>
      </c>
      <c r="AF14" s="639">
        <f>INDEX('Schedule 1_Enrollment'!$D$12:$K$35,MATCH(AF12,'Schedule 1_Enrollment'!$B$10:$B$31,0)+1,MATCH(W10,'Schedule 1_Enrollment'!$D$10:$K$10,0)+IF(AF13="Dual Eligible",1,0))</f>
        <v>0</v>
      </c>
      <c r="AG14" s="637">
        <f>INDEX('Schedule 1_Enrollment'!$D$12:$K$35,MATCH(AF12,'Schedule 1_Enrollment'!$B$10:$B$31,0)+1,MATCH(W10,'Schedule 1_Enrollment'!$D$10:$K$10,0)+IF(AG13="Dual Eligible",1,0))</f>
        <v>124</v>
      </c>
      <c r="AH14" s="637">
        <f>INDEX('Schedule 1_Enrollment'!$D$12:$K$35,MATCH(AH12,'Schedule 1_Enrollment'!$B$10:$B$31,0)+1,MATCH(W10,'Schedule 1_Enrollment'!$D$10:$K$10,0)+IF(AH13="Dual Eligible",1,0))</f>
        <v>2</v>
      </c>
      <c r="AI14" s="637">
        <f>INDEX('Schedule 1_Enrollment'!$D$12:$K$35,MATCH(AH12,'Schedule 1_Enrollment'!$B$10:$B$31,0)+1,MATCH(W10,'Schedule 1_Enrollment'!$D$10:$K$10,0)+IF(AI13="Dual Eligible",1,0))</f>
        <v>103</v>
      </c>
      <c r="AJ14" s="637">
        <f>INDEX('Schedule 1_Enrollment'!$D$12:$K$35,MATCH(AJ12,'Schedule 1_Enrollment'!$B$10:$B$31,0)+1,MATCH(W10,'Schedule 1_Enrollment'!$D$10:$K$10,0)+IF(AJ13="Dual Eligible",1,0))</f>
        <v>8</v>
      </c>
      <c r="AK14" s="637">
        <f>INDEX('Schedule 1_Enrollment'!$D$12:$K$35,MATCH(AJ12,'Schedule 1_Enrollment'!$B$10:$B$31,0)+1,MATCH(W10,'Schedule 1_Enrollment'!$D$10:$K$10,0)+IF(AK13="Dual Eligible",1,0))</f>
        <v>98</v>
      </c>
      <c r="AL14" s="637">
        <f>INDEX('Schedule 1_Enrollment'!$D$12:$K$35,MATCH(AL12,'Schedule 1_Enrollment'!$B$10:$B$31,0)+1,MATCH(W10,'Schedule 1_Enrollment'!$D$10:$K$10,0)+IF(AL13="Dual Eligible",1,0))</f>
        <v>9</v>
      </c>
      <c r="AM14" s="637">
        <f>INDEX('Schedule 1_Enrollment'!$D$12:$K$35,MATCH(AL12,'Schedule 1_Enrollment'!$B$10:$B$31,0)+1,MATCH(W10,'Schedule 1_Enrollment'!$D$10:$K$10,0)+IF(AM13="Dual Eligible",1,0))</f>
        <v>100</v>
      </c>
      <c r="AN14" s="640">
        <f>SUM(AF14:AM14)</f>
        <v>444</v>
      </c>
      <c r="AO14" s="637">
        <f>AN14</f>
        <v>444</v>
      </c>
      <c r="AP14" s="140"/>
      <c r="AQ14" s="637">
        <f>INDEX('Schedule 1_Enrollment'!$D$12:$K$35,MATCH(AQ12,'Schedule 1_Enrollment'!$B$10:$B$31,0)+1,MATCH(AQ10,'Schedule 1_Enrollment'!$D$10:$K$10,0)+IF(AQ13="Dual Eligible",1,0))</f>
        <v>298</v>
      </c>
      <c r="AR14" s="637">
        <f>INDEX('Schedule 1_Enrollment'!$D$12:$K$35,MATCH(AQ12,'Schedule 1_Enrollment'!$B$10:$B$31,0)+1,MATCH(AQ10,'Schedule 1_Enrollment'!$D$10:$K$10,0)+IF(AR13="Dual Eligible",1,0))</f>
        <v>1083.342594773655</v>
      </c>
      <c r="AS14" s="637">
        <f>INDEX('Schedule 1_Enrollment'!$D$12:$K$35,MATCH(AS12,'Schedule 1_Enrollment'!$B$10:$B$31,0)+1,MATCH(AQ10,'Schedule 1_Enrollment'!$D$10:$K$10,0)+IF(AS13="Dual Eligible",1,0))</f>
        <v>304</v>
      </c>
      <c r="AT14" s="637">
        <f>INDEX('Schedule 1_Enrollment'!$D$12:$K$35,MATCH(AS12,'Schedule 1_Enrollment'!$B$10:$B$31,0)+1,MATCH(AQ10,'Schedule 1_Enrollment'!$D$10:$K$10,0)+IF(AT13="Dual Eligible",1,0))</f>
        <v>1081.7356920975371</v>
      </c>
      <c r="AU14" s="637">
        <f>INDEX('Schedule 1_Enrollment'!$D$12:$K$35,MATCH(AU12,'Schedule 1_Enrollment'!$B$10:$B$31,0)+1,MATCH(AQ10,'Schedule 1_Enrollment'!$D$10:$K$10,0)+IF(AU13="Dual Eligible",1,0))</f>
        <v>333.06490137486685</v>
      </c>
      <c r="AV14" s="637">
        <f>INDEX('Schedule 1_Enrollment'!$D$12:$K$35,MATCH(AU12,'Schedule 1_Enrollment'!$B$10:$B$31,0)+1,MATCH(AQ10,'Schedule 1_Enrollment'!$D$10:$K$10,0)+IF(AV13="Dual Eligible",1,0))</f>
        <v>1223.7687490240294</v>
      </c>
      <c r="AW14" s="637">
        <f>INDEX('Schedule 1_Enrollment'!$D$12:$K$35,MATCH(AW12,'Schedule 1_Enrollment'!$B$10:$B$31,0)+1,MATCH(AQ10,'Schedule 1_Enrollment'!$D$10:$K$10,0)+IF(AW13="Dual Eligible",1,0))</f>
        <v>373</v>
      </c>
      <c r="AX14" s="637">
        <f>INDEX('Schedule 1_Enrollment'!$D$12:$K$35,MATCH(AW12,'Schedule 1_Enrollment'!$B$10:$B$31,0)+1,MATCH(AQ10,'Schedule 1_Enrollment'!$D$10:$K$10,0)+IF(AX13="Dual Eligible",1,0))</f>
        <v>1401.5125006427527</v>
      </c>
      <c r="AY14" s="640">
        <f>SUM(AQ14:AX14)</f>
        <v>6098.4244379128413</v>
      </c>
      <c r="AZ14" s="639">
        <f>INDEX('Schedule 1_Enrollment'!$D$12:$K$35,MATCH(AZ12,'Schedule 1_Enrollment'!$B$10:$B$31,0)+1,MATCH(AQ10,'Schedule 1_Enrollment'!$D$10:$K$10,0)+IF(AZ13="Dual Eligible",1,0))</f>
        <v>298</v>
      </c>
      <c r="BA14" s="637">
        <f>INDEX('Schedule 1_Enrollment'!$D$12:$K$35,MATCH(AZ12,'Schedule 1_Enrollment'!$B$10:$B$31,0)+1,MATCH(AQ10,'Schedule 1_Enrollment'!$D$10:$K$10,0)+IF(BA13="Dual Eligible",1,0))</f>
        <v>1083.342594773655</v>
      </c>
      <c r="BB14" s="637">
        <f>INDEX('Schedule 1_Enrollment'!$D$12:$K$35,MATCH(BB12,'Schedule 1_Enrollment'!$B$10:$B$31,0)+1,MATCH(AQ10,'Schedule 1_Enrollment'!$D$10:$K$10,0)+IF(BB13="Dual Eligible",1,0))</f>
        <v>304</v>
      </c>
      <c r="BC14" s="637">
        <f>INDEX('Schedule 1_Enrollment'!$D$12:$K$35,MATCH(BB12,'Schedule 1_Enrollment'!$B$10:$B$31,0)+1,MATCH(AQ10,'Schedule 1_Enrollment'!$D$10:$K$10,0)+IF(BC13="Dual Eligible",1,0))</f>
        <v>1081.7356920975371</v>
      </c>
      <c r="BD14" s="637">
        <f>INDEX('Schedule 1_Enrollment'!$D$12:$K$35,MATCH(BD12,'Schedule 1_Enrollment'!$B$10:$B$31,0)+1,MATCH(AQ10,'Schedule 1_Enrollment'!$D$10:$K$10,0)+IF(BD13="Dual Eligible",1,0))</f>
        <v>333.06490137486685</v>
      </c>
      <c r="BE14" s="637">
        <f>INDEX('Schedule 1_Enrollment'!$D$12:$K$35,MATCH(BD12,'Schedule 1_Enrollment'!$B$10:$B$31,0)+1,MATCH(AQ10,'Schedule 1_Enrollment'!$D$10:$K$10,0)+IF(BE13="Dual Eligible",1,0))</f>
        <v>1223.7687490240294</v>
      </c>
      <c r="BF14" s="637">
        <f>INDEX('Schedule 1_Enrollment'!$D$12:$K$35,MATCH(BF12,'Schedule 1_Enrollment'!$B$10:$B$31,0)+1,MATCH(AQ10,'Schedule 1_Enrollment'!$D$10:$K$10,0)+IF(BF13="Dual Eligible",1,0))</f>
        <v>373</v>
      </c>
      <c r="BG14" s="637">
        <f>INDEX('Schedule 1_Enrollment'!$D$12:$K$35,MATCH(BF12,'Schedule 1_Enrollment'!$B$10:$B$31,0)+1,MATCH(AQ10,'Schedule 1_Enrollment'!$D$10:$K$10,0)+IF(BG13="Dual Eligible",1,0))</f>
        <v>1401.5125006427527</v>
      </c>
      <c r="BH14" s="640">
        <f>SUM(AZ14:BG14)</f>
        <v>6098.4244379128413</v>
      </c>
      <c r="BI14" s="637">
        <f>BH14</f>
        <v>6098.4244379128413</v>
      </c>
      <c r="BJ14" s="140"/>
      <c r="BK14" s="637">
        <f>INDEX('Schedule 1_Enrollment'!$D$12:$K$35,MATCH(BK12,'Schedule 1_Enrollment'!$B$10:$B$31,0)+1,MATCH(IF(BK10="Institutional (All: Tier 1, Tier 2 and Tier 3)","Institutional (All Tiers)",BK10),'Schedule 1_Enrollment'!$D$10:$K$10,0)+IF(BK13="Dual Eligible",1,0))</f>
        <v>3</v>
      </c>
      <c r="BL14" s="637">
        <f>INDEX('Schedule 1_Enrollment'!$D$12:$K$35,MATCH(BK12,'Schedule 1_Enrollment'!$B$10:$B$31,0)+1,MATCH(IF(BK10="Institutional (All: Tier 1, Tier 2 and Tier 3)","Institutional (All Tiers)",BK10),'Schedule 1_Enrollment'!$D$10:$K$10,0)+IF(BL13="Dual Eligible",1,0))</f>
        <v>52.18881248951692</v>
      </c>
      <c r="BM14" s="637">
        <f>INDEX('Schedule 1_Enrollment'!$D$12:$K$35,MATCH(BM12,'Schedule 1_Enrollment'!$B$10:$B$31,0)+1,MATCH(IF(BK10="Institutional (All: Tier 1, Tier 2 and Tier 3)","Institutional (All Tiers)",BK10),'Schedule 1_Enrollment'!$D$10:$K$10,0)+IF(BM13="Dual Eligible",1,0))</f>
        <v>3</v>
      </c>
      <c r="BN14" s="637">
        <f>INDEX('Schedule 1_Enrollment'!$D$12:$K$35,MATCH(BM12,'Schedule 1_Enrollment'!$B$10:$B$31,0)+1,MATCH(IF(BK10="Institutional (All: Tier 1, Tier 2 and Tier 3)","Institutional (All Tiers)",BK10),'Schedule 1_Enrollment'!$D$10:$K$10,0)+IF(BN13="Dual Eligible",1,0))</f>
        <v>43.963657155266901</v>
      </c>
      <c r="BO14" s="637">
        <f>INDEX('Schedule 1_Enrollment'!$D$12:$K$35,MATCH(BO12,'Schedule 1_Enrollment'!$B$10:$B$31,0)+1,MATCH(IF(BK10="Institutional (All: Tier 1, Tier 2 and Tier 3)","Institutional (All Tiers)",BK10),'Schedule 1_Enrollment'!$D$10:$K$10,0)+IF(BO13="Dual Eligible",1,0))</f>
        <v>2.3256022021661988</v>
      </c>
      <c r="BP14" s="637">
        <f>INDEX('Schedule 1_Enrollment'!$D$12:$K$35,MATCH(BO12,'Schedule 1_Enrollment'!$B$10:$B$31,0)+1,MATCH(IF(BK10="Institutional (All: Tier 1, Tier 2 and Tier 3)","Institutional (All Tiers)",BK10),'Schedule 1_Enrollment'!$D$10:$K$10,0)+IF(BP13="Dual Eligible",1,0))</f>
        <v>48.289423696840352</v>
      </c>
      <c r="BQ14" s="637">
        <f>INDEX('Schedule 1_Enrollment'!$D$12:$K$35,MATCH(BQ12,'Schedule 1_Enrollment'!$B$10:$B$31,0)+1,MATCH(IF(BK10="Institutional (All: Tier 1, Tier 2 and Tier 3)","Institutional (All Tiers)",BK10),'Schedule 1_Enrollment'!$D$10:$K$10,0)+IF(BQ13="Dual Eligible",1,0))</f>
        <v>0</v>
      </c>
      <c r="BR14" s="637">
        <f>INDEX('Schedule 1_Enrollment'!$D$12:$K$35,MATCH(BQ12,'Schedule 1_Enrollment'!$B$10:$B$31,0)+1,MATCH(IF(BK10="Institutional (All: Tier 1, Tier 2 and Tier 3)","Institutional (All Tiers)",BK10),'Schedule 1_Enrollment'!$D$10:$K$10,0)+IF(BR13="Dual Eligible",1,0))</f>
        <v>45.549106445735276</v>
      </c>
      <c r="BS14" s="640">
        <f>SUM(BK14:BR14)</f>
        <v>198.31660198952565</v>
      </c>
      <c r="BT14" s="639">
        <f>INDEX('Schedule 1_Enrollment'!$D$12:$K$35,MATCH(BT12,'Schedule 1_Enrollment'!$B$10:$B$31,0)+1,MATCH(IF(BK10="Institutional (All: Tier 1, Tier 2 and Tier 3)","Institutional (All Tiers)",BK10),'Schedule 1_Enrollment'!$D$10:$K$10,0)+IF(BT13="Dual Eligible",1,0))</f>
        <v>3</v>
      </c>
      <c r="BU14" s="637">
        <f>INDEX('Schedule 1_Enrollment'!$D$12:$K$35,MATCH(BT12,'Schedule 1_Enrollment'!$B$10:$B$31,0)+1,MATCH(IF(BK10="Institutional (All: Tier 1, Tier 2 and Tier 3)","Institutional (All Tiers)",BK10),'Schedule 1_Enrollment'!$D$10:$K$10,0)+IF(BU13="Dual Eligible",1,0))</f>
        <v>52.18881248951692</v>
      </c>
      <c r="BV14" s="637">
        <f>INDEX('Schedule 1_Enrollment'!$D$12:$K$35,MATCH(BV12,'Schedule 1_Enrollment'!$B$10:$B$31,0)+1,MATCH(IF(BK10="Institutional (All: Tier 1, Tier 2 and Tier 3)","Institutional (All Tiers)",BK10),'Schedule 1_Enrollment'!$D$10:$K$10,0)+IF(BV13="Dual Eligible",1,0))</f>
        <v>3</v>
      </c>
      <c r="BW14" s="637">
        <f>INDEX('Schedule 1_Enrollment'!$D$12:$K$35,MATCH(BV12,'Schedule 1_Enrollment'!$B$10:$B$31,0)+1,MATCH(IF(BK10="Institutional (All: Tier 1, Tier 2 and Tier 3)","Institutional (All Tiers)",BK10),'Schedule 1_Enrollment'!$D$10:$K$10,0)+IF(BW13="Dual Eligible",1,0))</f>
        <v>43.963657155266901</v>
      </c>
      <c r="BX14" s="637">
        <f>INDEX('Schedule 1_Enrollment'!$D$12:$K$35,MATCH(BX12,'Schedule 1_Enrollment'!$B$10:$B$31,0)+1,MATCH(IF(BK10="Institutional (All: Tier 1, Tier 2 and Tier 3)","Institutional (All Tiers)",BK10),'Schedule 1_Enrollment'!$D$10:$K$10,0)+IF(BX13="Dual Eligible",1,0))</f>
        <v>2.3256022021661988</v>
      </c>
      <c r="BY14" s="637">
        <f>INDEX('Schedule 1_Enrollment'!$D$12:$K$35,MATCH(BX12,'Schedule 1_Enrollment'!$B$10:$B$31,0)+1,MATCH(IF(BK10="Institutional (All: Tier 1, Tier 2 and Tier 3)","Institutional (All Tiers)",BK10),'Schedule 1_Enrollment'!$D$10:$K$10,0)+IF(BY13="Dual Eligible",1,0))</f>
        <v>48.289423696840352</v>
      </c>
      <c r="BZ14" s="637">
        <f>INDEX('Schedule 1_Enrollment'!$D$12:$K$35,MATCH(BZ12,'Schedule 1_Enrollment'!$B$10:$B$31,0)+1,MATCH(IF(BK10="Institutional (All: Tier 1, Tier 2 and Tier 3)","Institutional (All Tiers)",BK10),'Schedule 1_Enrollment'!$D$10:$K$10,0)+IF(BZ13="Dual Eligible",1,0))</f>
        <v>0</v>
      </c>
      <c r="CA14" s="637">
        <f>INDEX('Schedule 1_Enrollment'!$D$12:$K$35,MATCH(BZ12,'Schedule 1_Enrollment'!$B$10:$B$31,0)+1,MATCH(IF(BK10="Institutional (All: Tier 1, Tier 2 and Tier 3)","Institutional (All Tiers)",BK10),'Schedule 1_Enrollment'!$D$10:$K$10,0)+IF(CA13="Dual Eligible",1,0))</f>
        <v>45.549106445735276</v>
      </c>
      <c r="CB14" s="640">
        <f>SUM(BT14:CA14)</f>
        <v>198.31660198952565</v>
      </c>
      <c r="CC14" s="637">
        <f>CB14</f>
        <v>198.31660198952565</v>
      </c>
      <c r="CD14" s="140"/>
      <c r="CE14" s="637">
        <f>+C14+D14+W14+X14+AQ14+AR14+BK14+BL14</f>
        <v>2099.5314072631718</v>
      </c>
      <c r="CF14" s="637">
        <f>+E14+F14+Y14+Z14+AS14+AT14+BM14+BN14</f>
        <v>2221.699349252804</v>
      </c>
      <c r="CG14" s="637">
        <f>+G14+H14+AA14+AB14+AU14+AV14+BO14+BP14</f>
        <v>2432.4486762979027</v>
      </c>
      <c r="CH14" s="637">
        <f>+I14+J14+AC14+AD14+AW14+AX14+BQ14+BR14</f>
        <v>2598.0616070884876</v>
      </c>
      <c r="CI14" s="638">
        <f>SUM(K14,AE14,AY14,BS14)</f>
        <v>9351.7410399023665</v>
      </c>
      <c r="CJ14" s="637">
        <f>L14+M14+AF14+AG14+AZ14+BA14+BT14+BU14</f>
        <v>2099.5314072631718</v>
      </c>
      <c r="CK14" s="637">
        <f>N14+O14+AH14+AI14+BB14+BC14+BV14+BW14</f>
        <v>2221.699349252804</v>
      </c>
      <c r="CL14" s="637">
        <f>P14+Q14+AJ14+AK14+BD14+BE14+BX14+BY14</f>
        <v>2432.4486762979027</v>
      </c>
      <c r="CM14" s="637">
        <f>+R14+S14+AL14+AM14+BF14+BG14+BZ14+CA14</f>
        <v>2598.0616070884876</v>
      </c>
      <c r="CN14" s="638">
        <f>SUM(T14,AN14,BH14,CB14)</f>
        <v>9351.7410399023665</v>
      </c>
      <c r="CO14" s="637">
        <f>+C14+D14+W14+X14+AQ14+AR14+BK14+BL14</f>
        <v>2099.5314072631718</v>
      </c>
      <c r="CP14" s="637">
        <f>+E14+F14+Y14+Z14+AS14+AT14+BM14+BN14</f>
        <v>2221.699349252804</v>
      </c>
      <c r="CQ14" s="637">
        <f>+G14+H14+AA14+AB14+AU14+AV14+BO14+BP14</f>
        <v>2432.4486762979027</v>
      </c>
      <c r="CR14" s="637">
        <f>+I14+J14+AC14+AD14+AW14+AX14+BQ14+BR14</f>
        <v>2598.0616070884876</v>
      </c>
      <c r="CS14" s="638">
        <f t="shared" ref="CS14" si="0">SUM(CC14,BI14,AO14,U14)</f>
        <v>9351.7410399023665</v>
      </c>
    </row>
    <row r="15" spans="1:131"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6"/>
      <c r="V15" s="193"/>
      <c r="W15" s="104"/>
      <c r="X15" s="104"/>
      <c r="Y15" s="104"/>
      <c r="Z15" s="104"/>
      <c r="AA15" s="104"/>
      <c r="AB15" s="104"/>
      <c r="AC15" s="104"/>
      <c r="AD15" s="104"/>
      <c r="AE15" s="375"/>
      <c r="AF15" s="376"/>
      <c r="AG15" s="104"/>
      <c r="AH15" s="104"/>
      <c r="AI15" s="104"/>
      <c r="AJ15" s="104"/>
      <c r="AK15" s="104"/>
      <c r="AL15" s="104"/>
      <c r="AM15" s="104"/>
      <c r="AN15" s="104"/>
      <c r="AO15" s="376"/>
      <c r="AP15" s="193"/>
      <c r="AQ15" s="104"/>
      <c r="AR15" s="104"/>
      <c r="AS15" s="104"/>
      <c r="AT15" s="104"/>
      <c r="AU15" s="104"/>
      <c r="AV15" s="104"/>
      <c r="AW15" s="104"/>
      <c r="AX15" s="104"/>
      <c r="AY15" s="375"/>
      <c r="AZ15" s="376"/>
      <c r="BA15" s="104"/>
      <c r="BB15" s="104"/>
      <c r="BC15" s="104"/>
      <c r="BD15" s="104"/>
      <c r="BE15" s="104"/>
      <c r="BF15" s="104"/>
      <c r="BG15" s="104"/>
      <c r="BH15" s="104"/>
      <c r="BI15" s="376"/>
      <c r="BJ15" s="193"/>
      <c r="BK15" s="104"/>
      <c r="BL15" s="104"/>
      <c r="BM15" s="104"/>
      <c r="BN15" s="104"/>
      <c r="BO15" s="104"/>
      <c r="BP15" s="104"/>
      <c r="BQ15" s="104"/>
      <c r="BR15" s="104"/>
      <c r="BS15" s="375"/>
      <c r="BT15" s="376"/>
      <c r="BU15" s="104"/>
      <c r="BV15" s="104"/>
      <c r="BW15" s="104"/>
      <c r="BX15" s="104"/>
      <c r="BY15" s="104"/>
      <c r="BZ15" s="104"/>
      <c r="CA15" s="104"/>
      <c r="CB15" s="104"/>
      <c r="CC15" s="376"/>
      <c r="CD15" s="193"/>
      <c r="CE15" s="199"/>
      <c r="CF15" s="199"/>
      <c r="CG15" s="199"/>
      <c r="CH15" s="199"/>
      <c r="CI15" s="193"/>
      <c r="CJ15" s="199"/>
      <c r="CK15" s="199"/>
      <c r="CL15" s="199"/>
      <c r="CM15" s="199"/>
      <c r="CN15" s="193"/>
      <c r="CO15" s="199"/>
      <c r="CP15" s="199"/>
      <c r="CQ15" s="199"/>
      <c r="CR15" s="199"/>
      <c r="CS15" s="193"/>
    </row>
    <row r="16" spans="1:131" ht="15.75" customHeight="1">
      <c r="A16" s="135" t="s">
        <v>171</v>
      </c>
      <c r="B16" s="300">
        <v>1</v>
      </c>
      <c r="C16" s="233">
        <v>49112.26</v>
      </c>
      <c r="D16" s="233">
        <v>170360.25</v>
      </c>
      <c r="E16" s="233">
        <v>48229.63</v>
      </c>
      <c r="F16" s="233">
        <v>184600.87</v>
      </c>
      <c r="G16" s="233">
        <v>50462.61</v>
      </c>
      <c r="H16" s="233">
        <v>209230.730000001</v>
      </c>
      <c r="I16" s="233">
        <v>57865.09</v>
      </c>
      <c r="J16" s="233">
        <v>221959.320000001</v>
      </c>
      <c r="K16" s="412">
        <f t="shared" ref="K16:K23" si="1">SUM(C16:J16)</f>
        <v>991820.76000000199</v>
      </c>
      <c r="L16" s="413"/>
      <c r="M16" s="233"/>
      <c r="N16" s="233"/>
      <c r="O16" s="233"/>
      <c r="P16" s="233"/>
      <c r="Q16" s="233"/>
      <c r="R16" s="233"/>
      <c r="S16" s="233"/>
      <c r="T16" s="414">
        <f t="shared" ref="T16:T23" si="2">SUM(L16:S16)</f>
        <v>0</v>
      </c>
      <c r="U16" s="415">
        <f t="shared" ref="U16:U23" si="3">SUM(K16,T16)</f>
        <v>991820.76000000199</v>
      </c>
      <c r="V16" s="300">
        <v>1</v>
      </c>
      <c r="W16" s="233">
        <v>12651.58</v>
      </c>
      <c r="X16" s="233">
        <v>115584</v>
      </c>
      <c r="Y16" s="233">
        <v>10090.74</v>
      </c>
      <c r="Z16" s="233">
        <v>105264</v>
      </c>
      <c r="AA16" s="233">
        <v>24080.22</v>
      </c>
      <c r="AB16" s="233">
        <v>90816</v>
      </c>
      <c r="AC16" s="233">
        <v>24080.22</v>
      </c>
      <c r="AD16" s="233">
        <v>94944</v>
      </c>
      <c r="AE16" s="412">
        <f t="shared" ref="AE16:AE23" si="4">SUM(W16:AD16)</f>
        <v>477510.76</v>
      </c>
      <c r="AF16" s="413"/>
      <c r="AG16" s="233">
        <v>0</v>
      </c>
      <c r="AH16" s="233">
        <v>0</v>
      </c>
      <c r="AI16" s="233">
        <v>0</v>
      </c>
      <c r="AJ16" s="233">
        <v>0</v>
      </c>
      <c r="AK16" s="233">
        <v>0</v>
      </c>
      <c r="AL16" s="233">
        <v>0</v>
      </c>
      <c r="AM16" s="233">
        <v>0</v>
      </c>
      <c r="AN16" s="414">
        <f t="shared" ref="AN16:AN23" si="5">SUM(AF16:AM16)</f>
        <v>0</v>
      </c>
      <c r="AO16" s="415">
        <f t="shared" ref="AO16:AO23" si="6">SUM(AE16,AN16)</f>
        <v>477510.76</v>
      </c>
      <c r="AP16" s="300">
        <v>1</v>
      </c>
      <c r="AQ16" s="233">
        <v>1454674.9</v>
      </c>
      <c r="AR16" s="233">
        <v>3140181.3500000397</v>
      </c>
      <c r="AS16" s="233">
        <v>1567363.14</v>
      </c>
      <c r="AT16" s="233">
        <v>3350908.2500000498</v>
      </c>
      <c r="AU16" s="233">
        <v>1668885.21</v>
      </c>
      <c r="AV16" s="233">
        <v>3738957.6899999203</v>
      </c>
      <c r="AW16" s="233">
        <v>2395708.61</v>
      </c>
      <c r="AX16" s="233">
        <v>4115056.9399999096</v>
      </c>
      <c r="AY16" s="412">
        <f t="shared" ref="AY16:AY23" si="7">SUM(AQ16:AX16)</f>
        <v>21431736.089999914</v>
      </c>
      <c r="AZ16" s="413">
        <v>0</v>
      </c>
      <c r="BA16" s="233">
        <v>0</v>
      </c>
      <c r="BB16" s="233">
        <v>0</v>
      </c>
      <c r="BC16" s="233">
        <v>0</v>
      </c>
      <c r="BD16" s="233">
        <v>0</v>
      </c>
      <c r="BE16" s="233">
        <v>0</v>
      </c>
      <c r="BF16" s="233">
        <v>0</v>
      </c>
      <c r="BG16" s="233">
        <v>0</v>
      </c>
      <c r="BH16" s="414">
        <f t="shared" ref="BH16:BH23" si="8">SUM(AZ16:BG16)</f>
        <v>0</v>
      </c>
      <c r="BI16" s="415">
        <f t="shared" ref="BI16:BI23" si="9">SUM(AY16,BH16)</f>
        <v>21431736.089999914</v>
      </c>
      <c r="BJ16" s="300">
        <v>1</v>
      </c>
      <c r="BK16" s="233">
        <v>59939.100000000006</v>
      </c>
      <c r="BL16" s="233">
        <v>463809.47</v>
      </c>
      <c r="BM16" s="233">
        <v>59939.100000000006</v>
      </c>
      <c r="BN16" s="233">
        <v>353012.22000000003</v>
      </c>
      <c r="BO16" s="233">
        <v>61865.41</v>
      </c>
      <c r="BP16" s="233">
        <v>326391.92000000004</v>
      </c>
      <c r="BQ16" s="233">
        <v>39959.4</v>
      </c>
      <c r="BR16" s="233">
        <v>261704.88999999998</v>
      </c>
      <c r="BS16" s="412">
        <f t="shared" ref="BS16:BS23" si="10">SUM(BK16:BR16)</f>
        <v>1626621.5099999998</v>
      </c>
      <c r="BT16" s="413">
        <v>0</v>
      </c>
      <c r="BU16" s="233">
        <v>0</v>
      </c>
      <c r="BV16" s="233">
        <v>0</v>
      </c>
      <c r="BW16" s="233">
        <v>0</v>
      </c>
      <c r="BX16" s="233">
        <v>0</v>
      </c>
      <c r="BY16" s="233">
        <v>0</v>
      </c>
      <c r="BZ16" s="233">
        <v>0</v>
      </c>
      <c r="CA16" s="233">
        <v>0</v>
      </c>
      <c r="CB16" s="414">
        <f t="shared" ref="CB16:CB23" si="11">SUM(BT16:CA16)</f>
        <v>0</v>
      </c>
      <c r="CC16" s="415">
        <f t="shared" ref="CC16:CC23" si="12">SUM(BS16,CB16)</f>
        <v>1626621.5099999998</v>
      </c>
      <c r="CD16" s="300">
        <v>1</v>
      </c>
      <c r="CE16" s="414">
        <f>+C16+D16+W16+X16+AQ16+AR16+BK16+BL16</f>
        <v>5466312.9100000383</v>
      </c>
      <c r="CF16" s="414">
        <f>+E16+F16+Y16+Z16+AS16+AT16+BM16+BN16</f>
        <v>5679407.9500000486</v>
      </c>
      <c r="CG16" s="414">
        <f>+G16+H16+AA16+AB16+AU16+AV16+BO16+BP16</f>
        <v>6170689.7899999209</v>
      </c>
      <c r="CH16" s="414">
        <f>+I16+J16+AC16+AD16+AW16+AX16+BQ16+BR16</f>
        <v>7211278.4699999103</v>
      </c>
      <c r="CI16" s="416">
        <f>SUM(K16,AE16,AY16,BS16)</f>
        <v>24527689.119999915</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5466312.9100000383</v>
      </c>
      <c r="CP16" s="414">
        <f>+E16+F16+N16+O16+Y16+Z16+AH16+AI16+AS16+AT16+BB16+BC16+BM16+BN16+BV16+BW16</f>
        <v>5679407.9500000486</v>
      </c>
      <c r="CQ16" s="414">
        <f>+G16+H16+P16+Q16+AA16+AB16+AJ16+AK16+AU16+AV16+BD16+BE16+BO16+BP16+BX16+BY16</f>
        <v>6170689.7899999209</v>
      </c>
      <c r="CR16" s="414">
        <f>+I16+J16+R16+S16+AC16+AD16+AL16+AM16+AW16+AX16+BF16+BG16+BQ16+BR16+BZ16+CA16</f>
        <v>7211278.4699999103</v>
      </c>
      <c r="CS16" s="416">
        <f t="shared" ref="CS16:CS23" si="13">SUM(CC16,BI16,AO16,U16)</f>
        <v>24527689.119999915</v>
      </c>
      <c r="CT16" s="319"/>
      <c r="CU16" s="319"/>
      <c r="CV16" s="319"/>
      <c r="CW16" s="319"/>
      <c r="CX16" s="319"/>
    </row>
    <row r="17" spans="1:131" ht="15.75" customHeight="1">
      <c r="A17" s="88" t="s">
        <v>1337</v>
      </c>
      <c r="B17" s="300"/>
      <c r="C17" s="233"/>
      <c r="D17" s="233"/>
      <c r="E17" s="233"/>
      <c r="F17" s="233"/>
      <c r="G17" s="233"/>
      <c r="H17" s="233"/>
      <c r="I17" s="233"/>
      <c r="J17" s="233"/>
      <c r="K17" s="412">
        <f t="shared" si="1"/>
        <v>0</v>
      </c>
      <c r="L17" s="417"/>
      <c r="M17" s="231">
        <v>449145.18180000002</v>
      </c>
      <c r="N17" s="231">
        <v>0</v>
      </c>
      <c r="O17" s="231">
        <v>479588.07819999999</v>
      </c>
      <c r="P17" s="231">
        <v>0</v>
      </c>
      <c r="Q17" s="231">
        <v>500831.61660000001</v>
      </c>
      <c r="R17" s="231">
        <v>0</v>
      </c>
      <c r="S17" s="231">
        <v>526436.54700000002</v>
      </c>
      <c r="T17" s="414">
        <f t="shared" si="2"/>
        <v>1956001.4236000001</v>
      </c>
      <c r="U17" s="415">
        <f t="shared" si="3"/>
        <v>1956001.4236000001</v>
      </c>
      <c r="V17" s="300"/>
      <c r="W17" s="233">
        <v>0</v>
      </c>
      <c r="X17" s="233">
        <v>0</v>
      </c>
      <c r="Y17" s="233">
        <v>0</v>
      </c>
      <c r="Z17" s="233">
        <v>0</v>
      </c>
      <c r="AA17" s="233">
        <v>0</v>
      </c>
      <c r="AB17" s="233">
        <v>0</v>
      </c>
      <c r="AC17" s="233">
        <v>0</v>
      </c>
      <c r="AD17" s="233">
        <v>0</v>
      </c>
      <c r="AE17" s="412">
        <f t="shared" si="4"/>
        <v>0</v>
      </c>
      <c r="AF17" s="417"/>
      <c r="AG17" s="231">
        <v>180584.49220000001</v>
      </c>
      <c r="AH17" s="231">
        <v>0</v>
      </c>
      <c r="AI17" s="231">
        <v>146073.92939999999</v>
      </c>
      <c r="AJ17" s="231">
        <v>0</v>
      </c>
      <c r="AK17" s="231">
        <v>123956.58379999999</v>
      </c>
      <c r="AL17" s="231">
        <v>0</v>
      </c>
      <c r="AM17" s="231">
        <v>132011.01759999999</v>
      </c>
      <c r="AN17" s="414">
        <f t="shared" si="5"/>
        <v>582626.02300000004</v>
      </c>
      <c r="AO17" s="415">
        <f t="shared" si="6"/>
        <v>582626.02300000004</v>
      </c>
      <c r="AP17" s="300"/>
      <c r="AQ17" s="233">
        <v>0</v>
      </c>
      <c r="AR17" s="233">
        <v>0</v>
      </c>
      <c r="AS17" s="233">
        <v>0</v>
      </c>
      <c r="AT17" s="233">
        <v>0</v>
      </c>
      <c r="AU17" s="233">
        <v>0</v>
      </c>
      <c r="AV17" s="233">
        <v>0</v>
      </c>
      <c r="AW17" s="233">
        <v>0</v>
      </c>
      <c r="AX17" s="233">
        <v>0</v>
      </c>
      <c r="AY17" s="412">
        <f t="shared" si="7"/>
        <v>0</v>
      </c>
      <c r="AZ17" s="417">
        <v>0</v>
      </c>
      <c r="BA17" s="231">
        <v>2599452.4696</v>
      </c>
      <c r="BB17" s="231">
        <v>0</v>
      </c>
      <c r="BC17" s="231">
        <v>2384892.2398000001</v>
      </c>
      <c r="BD17" s="231">
        <v>0</v>
      </c>
      <c r="BE17" s="231">
        <v>2771875.1984000001</v>
      </c>
      <c r="BF17" s="231">
        <v>0</v>
      </c>
      <c r="BG17" s="231">
        <v>2918489.0196000002</v>
      </c>
      <c r="BH17" s="414">
        <f t="shared" si="8"/>
        <v>10674708.9274</v>
      </c>
      <c r="BI17" s="415">
        <f t="shared" si="9"/>
        <v>10674708.9274</v>
      </c>
      <c r="BJ17" s="300"/>
      <c r="BK17" s="233">
        <v>0</v>
      </c>
      <c r="BL17" s="233">
        <v>0</v>
      </c>
      <c r="BM17" s="233">
        <v>0</v>
      </c>
      <c r="BN17" s="233">
        <v>0</v>
      </c>
      <c r="BO17" s="233">
        <v>0</v>
      </c>
      <c r="BP17" s="233">
        <v>0</v>
      </c>
      <c r="BQ17" s="233">
        <v>0</v>
      </c>
      <c r="BR17" s="233">
        <v>0</v>
      </c>
      <c r="BS17" s="412">
        <f t="shared" si="10"/>
        <v>0</v>
      </c>
      <c r="BT17" s="417">
        <v>0</v>
      </c>
      <c r="BU17" s="231">
        <v>183547.06159999999</v>
      </c>
      <c r="BV17" s="231">
        <v>0</v>
      </c>
      <c r="BW17" s="231">
        <v>166706.33979999999</v>
      </c>
      <c r="BX17" s="231">
        <v>0</v>
      </c>
      <c r="BY17" s="231">
        <v>149778.44700000001</v>
      </c>
      <c r="BZ17" s="231">
        <v>0</v>
      </c>
      <c r="CA17" s="231">
        <v>124835.0166</v>
      </c>
      <c r="CB17" s="414">
        <f t="shared" si="11"/>
        <v>624866.86499999999</v>
      </c>
      <c r="CC17" s="415">
        <f t="shared" si="12"/>
        <v>624866.86499999999</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3412729.2052000002</v>
      </c>
      <c r="CK17" s="414">
        <f t="shared" ref="CK17:CK23" si="20">N17+O17+AH17+AI17+BB17+BC17+BV17+BW17</f>
        <v>3177260.5872000004</v>
      </c>
      <c r="CL17" s="414">
        <f t="shared" ref="CL17:CL23" si="21">P17+Q17+AJ17+AK17+BD17+BE17+BX17+BY17</f>
        <v>3546441.8458000002</v>
      </c>
      <c r="CM17" s="414">
        <f t="shared" ref="CM17:CM23" si="22">+R17+S17+AL17+AM17+BF17+BG17+BZ17+CA17</f>
        <v>3701771.6008000006</v>
      </c>
      <c r="CN17" s="416">
        <f t="shared" ref="CN17:CN23" si="23">SUM(T17,AN17,BH17,CB17)</f>
        <v>13838203.239000002</v>
      </c>
      <c r="CO17" s="414">
        <f t="shared" ref="CO17:CO23" si="24">+C17+D17+L17+M17+W17+X17+AF17+AG17+AQ17+AR17+AZ17+BA17+BK17+BL17+BT17+BU17</f>
        <v>3412729.2052000002</v>
      </c>
      <c r="CP17" s="414">
        <f t="shared" ref="CP17:CP23" si="25">+E17+F17+N17+O17+Y17+Z17+AH17+AI17+AS17+AT17+BB17+BC17+BM17+BN17+BV17+BW17</f>
        <v>3177260.5872000004</v>
      </c>
      <c r="CQ17" s="414">
        <f t="shared" ref="CQ17:CQ23" si="26">+G17+H17+P17+Q17+AA17+AB17+AJ17+AK17+AU17+AV17+BD17+BE17+BO17+BP17+BX17+BY17</f>
        <v>3546441.8458000002</v>
      </c>
      <c r="CR17" s="414">
        <f t="shared" ref="CR17:CR23" si="27">+I17+J17+R17+S17+AC17+AD17+AL17+AM17+AW17+AX17+BF17+BG17+BQ17+BR17+BZ17+CA17</f>
        <v>3701771.6008000006</v>
      </c>
      <c r="CS17" s="416">
        <f t="shared" si="13"/>
        <v>13838203.239</v>
      </c>
      <c r="CT17" s="319"/>
      <c r="CV17" s="319"/>
      <c r="CX17" s="319"/>
    </row>
    <row r="18" spans="1:131" ht="15.75" customHeight="1">
      <c r="A18" s="88" t="s">
        <v>1338</v>
      </c>
      <c r="B18" s="300"/>
      <c r="C18" s="231"/>
      <c r="D18" s="231"/>
      <c r="E18" s="231"/>
      <c r="F18" s="231"/>
      <c r="G18" s="231"/>
      <c r="H18" s="231"/>
      <c r="I18" s="231"/>
      <c r="J18" s="231"/>
      <c r="K18" s="412">
        <f t="shared" si="1"/>
        <v>0</v>
      </c>
      <c r="L18" s="417"/>
      <c r="M18" s="231">
        <v>9026.0548000000108</v>
      </c>
      <c r="N18" s="231">
        <v>0</v>
      </c>
      <c r="O18" s="231">
        <v>9195.3694000000105</v>
      </c>
      <c r="P18" s="231">
        <v>0</v>
      </c>
      <c r="Q18" s="231">
        <v>10173.5368</v>
      </c>
      <c r="R18" s="231">
        <v>0</v>
      </c>
      <c r="S18" s="231">
        <v>10043.5692</v>
      </c>
      <c r="T18" s="414">
        <f t="shared" si="2"/>
        <v>38438.530200000023</v>
      </c>
      <c r="U18" s="415">
        <f t="shared" si="3"/>
        <v>38438.530200000023</v>
      </c>
      <c r="V18" s="300"/>
      <c r="W18" s="231">
        <v>0</v>
      </c>
      <c r="X18" s="231">
        <v>0</v>
      </c>
      <c r="Y18" s="231">
        <v>0</v>
      </c>
      <c r="Z18" s="231">
        <v>0</v>
      </c>
      <c r="AA18" s="231">
        <v>0</v>
      </c>
      <c r="AB18" s="231">
        <v>0</v>
      </c>
      <c r="AC18" s="231">
        <v>0</v>
      </c>
      <c r="AD18" s="231">
        <v>0</v>
      </c>
      <c r="AE18" s="412">
        <f t="shared" si="4"/>
        <v>0</v>
      </c>
      <c r="AF18" s="417"/>
      <c r="AG18" s="231">
        <v>6237.6314000000002</v>
      </c>
      <c r="AH18" s="231">
        <v>0</v>
      </c>
      <c r="AI18" s="231">
        <v>5000.0285999999996</v>
      </c>
      <c r="AJ18" s="231">
        <v>0</v>
      </c>
      <c r="AK18" s="231">
        <v>4209.7565999999997</v>
      </c>
      <c r="AL18" s="231">
        <v>0</v>
      </c>
      <c r="AM18" s="231">
        <v>4456.7557999999999</v>
      </c>
      <c r="AN18" s="414">
        <f t="shared" si="5"/>
        <v>19904.172399999999</v>
      </c>
      <c r="AO18" s="415">
        <f t="shared" si="6"/>
        <v>19904.172399999999</v>
      </c>
      <c r="AP18" s="300"/>
      <c r="AQ18" s="231">
        <v>0</v>
      </c>
      <c r="AR18" s="231">
        <v>0</v>
      </c>
      <c r="AS18" s="231">
        <v>0</v>
      </c>
      <c r="AT18" s="231">
        <v>0</v>
      </c>
      <c r="AU18" s="231">
        <v>0</v>
      </c>
      <c r="AV18" s="231">
        <v>0</v>
      </c>
      <c r="AW18" s="231">
        <v>0</v>
      </c>
      <c r="AX18" s="231">
        <v>0</v>
      </c>
      <c r="AY18" s="412">
        <f t="shared" si="7"/>
        <v>0</v>
      </c>
      <c r="AZ18" s="417">
        <v>0</v>
      </c>
      <c r="BA18" s="231">
        <v>80820.002200000206</v>
      </c>
      <c r="BB18" s="231">
        <v>0</v>
      </c>
      <c r="BC18" s="231">
        <v>76353.044600000198</v>
      </c>
      <c r="BD18" s="231">
        <v>0</v>
      </c>
      <c r="BE18" s="231">
        <v>84181.5198000003</v>
      </c>
      <c r="BF18" s="231">
        <v>0</v>
      </c>
      <c r="BG18" s="231">
        <v>88282.898200000403</v>
      </c>
      <c r="BH18" s="414">
        <f t="shared" si="8"/>
        <v>329637.46480000112</v>
      </c>
      <c r="BI18" s="415">
        <f t="shared" si="9"/>
        <v>329637.46480000112</v>
      </c>
      <c r="BJ18" s="300"/>
      <c r="BK18" s="231">
        <v>0</v>
      </c>
      <c r="BL18" s="231">
        <v>0</v>
      </c>
      <c r="BM18" s="231">
        <v>0</v>
      </c>
      <c r="BN18" s="231">
        <v>0</v>
      </c>
      <c r="BO18" s="231">
        <v>0</v>
      </c>
      <c r="BP18" s="231">
        <v>0</v>
      </c>
      <c r="BQ18" s="231">
        <v>0</v>
      </c>
      <c r="BR18" s="231">
        <v>0</v>
      </c>
      <c r="BS18" s="412">
        <f t="shared" si="10"/>
        <v>0</v>
      </c>
      <c r="BT18" s="417">
        <v>0</v>
      </c>
      <c r="BU18" s="231">
        <v>5323.3501999999999</v>
      </c>
      <c r="BV18" s="231">
        <v>0</v>
      </c>
      <c r="BW18" s="231">
        <v>3514.5446000000002</v>
      </c>
      <c r="BX18" s="231">
        <v>0</v>
      </c>
      <c r="BY18" s="231">
        <v>3403.1578</v>
      </c>
      <c r="BZ18" s="231">
        <v>0</v>
      </c>
      <c r="CA18" s="231">
        <v>2761.0814</v>
      </c>
      <c r="CB18" s="414">
        <f t="shared" si="11"/>
        <v>15002.133999999998</v>
      </c>
      <c r="CC18" s="415">
        <f t="shared" si="12"/>
        <v>15002.133999999998</v>
      </c>
      <c r="CD18" s="300"/>
      <c r="CE18" s="414">
        <f t="shared" si="14"/>
        <v>0</v>
      </c>
      <c r="CF18" s="414">
        <f t="shared" si="15"/>
        <v>0</v>
      </c>
      <c r="CG18" s="414">
        <f t="shared" si="16"/>
        <v>0</v>
      </c>
      <c r="CH18" s="414">
        <f t="shared" si="17"/>
        <v>0</v>
      </c>
      <c r="CI18" s="416">
        <f t="shared" si="18"/>
        <v>0</v>
      </c>
      <c r="CJ18" s="414">
        <f t="shared" si="19"/>
        <v>101407.03860000022</v>
      </c>
      <c r="CK18" s="414">
        <f t="shared" si="20"/>
        <v>94062.987200000207</v>
      </c>
      <c r="CL18" s="414">
        <f t="shared" si="21"/>
        <v>101967.9710000003</v>
      </c>
      <c r="CM18" s="414">
        <f t="shared" si="22"/>
        <v>105544.3046000004</v>
      </c>
      <c r="CN18" s="416">
        <f t="shared" si="23"/>
        <v>402982.30140000116</v>
      </c>
      <c r="CO18" s="414">
        <f t="shared" si="24"/>
        <v>101407.03860000022</v>
      </c>
      <c r="CP18" s="414">
        <f t="shared" si="25"/>
        <v>94062.987200000207</v>
      </c>
      <c r="CQ18" s="414">
        <f t="shared" si="26"/>
        <v>101967.9710000003</v>
      </c>
      <c r="CR18" s="414">
        <f t="shared" si="27"/>
        <v>105544.3046000004</v>
      </c>
      <c r="CS18" s="416">
        <f t="shared" si="13"/>
        <v>402982.30140000116</v>
      </c>
      <c r="CV18" s="319"/>
      <c r="CX18" s="319"/>
    </row>
    <row r="19" spans="1:131" ht="15.75" customHeight="1">
      <c r="A19" s="88" t="s">
        <v>1339</v>
      </c>
      <c r="B19" s="300"/>
      <c r="C19" s="231"/>
      <c r="D19" s="231"/>
      <c r="E19" s="231"/>
      <c r="F19" s="231"/>
      <c r="G19" s="231"/>
      <c r="H19" s="231"/>
      <c r="I19" s="231"/>
      <c r="J19" s="231"/>
      <c r="K19" s="412">
        <f t="shared" si="1"/>
        <v>0</v>
      </c>
      <c r="L19" s="417"/>
      <c r="M19" s="231">
        <v>42459</v>
      </c>
      <c r="N19" s="231">
        <v>0</v>
      </c>
      <c r="O19" s="231">
        <v>43600</v>
      </c>
      <c r="P19" s="231">
        <v>0</v>
      </c>
      <c r="Q19" s="231">
        <v>57454</v>
      </c>
      <c r="R19" s="231">
        <v>0</v>
      </c>
      <c r="S19" s="231">
        <v>82682</v>
      </c>
      <c r="T19" s="414">
        <f t="shared" si="2"/>
        <v>226195</v>
      </c>
      <c r="U19" s="415">
        <f t="shared" si="3"/>
        <v>226195</v>
      </c>
      <c r="V19" s="300"/>
      <c r="W19" s="231"/>
      <c r="X19" s="231"/>
      <c r="Y19" s="231"/>
      <c r="Z19" s="231"/>
      <c r="AA19" s="231"/>
      <c r="AB19" s="231"/>
      <c r="AC19" s="231"/>
      <c r="AD19" s="231"/>
      <c r="AE19" s="412">
        <f t="shared" si="4"/>
        <v>0</v>
      </c>
      <c r="AF19" s="417"/>
      <c r="AG19" s="231">
        <v>23381</v>
      </c>
      <c r="AH19" s="231">
        <v>0</v>
      </c>
      <c r="AI19" s="231">
        <v>18641</v>
      </c>
      <c r="AJ19" s="231">
        <v>0</v>
      </c>
      <c r="AK19" s="231">
        <v>41635</v>
      </c>
      <c r="AL19" s="231">
        <v>0</v>
      </c>
      <c r="AM19" s="231">
        <v>31127</v>
      </c>
      <c r="AN19" s="414">
        <f t="shared" si="5"/>
        <v>114784</v>
      </c>
      <c r="AO19" s="415">
        <f t="shared" si="6"/>
        <v>114784</v>
      </c>
      <c r="AP19" s="300"/>
      <c r="AQ19" s="231">
        <v>0</v>
      </c>
      <c r="AR19" s="231">
        <v>0</v>
      </c>
      <c r="AS19" s="231">
        <v>0</v>
      </c>
      <c r="AT19" s="231">
        <v>0</v>
      </c>
      <c r="AU19" s="231">
        <v>0</v>
      </c>
      <c r="AV19" s="231">
        <v>0</v>
      </c>
      <c r="AW19" s="231">
        <v>0</v>
      </c>
      <c r="AX19" s="231">
        <v>0</v>
      </c>
      <c r="AY19" s="412">
        <f t="shared" si="7"/>
        <v>0</v>
      </c>
      <c r="AZ19" s="417">
        <v>0</v>
      </c>
      <c r="BA19" s="231">
        <v>516558</v>
      </c>
      <c r="BB19" s="231">
        <v>0</v>
      </c>
      <c r="BC19" s="231">
        <v>605058</v>
      </c>
      <c r="BD19" s="231">
        <v>0</v>
      </c>
      <c r="BE19" s="231">
        <v>561818</v>
      </c>
      <c r="BF19" s="231">
        <v>0</v>
      </c>
      <c r="BG19" s="231">
        <v>578487</v>
      </c>
      <c r="BH19" s="414">
        <f t="shared" si="8"/>
        <v>2261921</v>
      </c>
      <c r="BI19" s="415">
        <f t="shared" si="9"/>
        <v>2261921</v>
      </c>
      <c r="BJ19" s="300"/>
      <c r="BK19" s="231">
        <v>0</v>
      </c>
      <c r="BL19" s="231">
        <v>0</v>
      </c>
      <c r="BM19" s="231">
        <v>0</v>
      </c>
      <c r="BN19" s="231">
        <v>0</v>
      </c>
      <c r="BO19" s="231">
        <v>0</v>
      </c>
      <c r="BP19" s="231">
        <v>0</v>
      </c>
      <c r="BQ19" s="231">
        <v>0</v>
      </c>
      <c r="BR19" s="231">
        <v>0</v>
      </c>
      <c r="BS19" s="412">
        <f t="shared" si="10"/>
        <v>0</v>
      </c>
      <c r="BT19" s="417">
        <v>0</v>
      </c>
      <c r="BU19" s="231">
        <v>20968</v>
      </c>
      <c r="BV19" s="231">
        <v>0</v>
      </c>
      <c r="BW19" s="231">
        <v>19665</v>
      </c>
      <c r="BX19" s="231">
        <v>0</v>
      </c>
      <c r="BY19" s="231">
        <v>25078</v>
      </c>
      <c r="BZ19" s="231">
        <v>0</v>
      </c>
      <c r="CA19" s="231">
        <v>22983</v>
      </c>
      <c r="CB19" s="414">
        <f t="shared" si="11"/>
        <v>88694</v>
      </c>
      <c r="CC19" s="415">
        <f t="shared" si="12"/>
        <v>88694</v>
      </c>
      <c r="CD19" s="300"/>
      <c r="CE19" s="414">
        <f t="shared" si="14"/>
        <v>0</v>
      </c>
      <c r="CF19" s="414">
        <f t="shared" si="15"/>
        <v>0</v>
      </c>
      <c r="CG19" s="414">
        <f t="shared" si="16"/>
        <v>0</v>
      </c>
      <c r="CH19" s="414">
        <f t="shared" si="17"/>
        <v>0</v>
      </c>
      <c r="CI19" s="416">
        <f t="shared" si="18"/>
        <v>0</v>
      </c>
      <c r="CJ19" s="414">
        <f t="shared" si="19"/>
        <v>603366</v>
      </c>
      <c r="CK19" s="414">
        <f t="shared" si="20"/>
        <v>686964</v>
      </c>
      <c r="CL19" s="414">
        <f t="shared" si="21"/>
        <v>685985</v>
      </c>
      <c r="CM19" s="414">
        <f t="shared" si="22"/>
        <v>715279</v>
      </c>
      <c r="CN19" s="416">
        <f t="shared" si="23"/>
        <v>2691594</v>
      </c>
      <c r="CO19" s="414">
        <f t="shared" si="24"/>
        <v>603366</v>
      </c>
      <c r="CP19" s="414">
        <f t="shared" si="25"/>
        <v>686964</v>
      </c>
      <c r="CQ19" s="414">
        <f t="shared" si="26"/>
        <v>685985</v>
      </c>
      <c r="CR19" s="414">
        <f t="shared" si="27"/>
        <v>715279</v>
      </c>
      <c r="CS19" s="416">
        <f t="shared" si="13"/>
        <v>2691594</v>
      </c>
    </row>
    <row r="20" spans="1:131" ht="15.75" customHeight="1">
      <c r="A20" s="135" t="s">
        <v>173</v>
      </c>
      <c r="B20" s="300">
        <v>2</v>
      </c>
      <c r="C20" s="232">
        <f t="shared" ref="C20:J20" si="28">SUM(C17:C19)</f>
        <v>0</v>
      </c>
      <c r="D20" s="232">
        <f t="shared" si="28"/>
        <v>0</v>
      </c>
      <c r="E20" s="232">
        <f t="shared" si="28"/>
        <v>0</v>
      </c>
      <c r="F20" s="232">
        <f t="shared" si="28"/>
        <v>0</v>
      </c>
      <c r="G20" s="232">
        <f t="shared" si="28"/>
        <v>0</v>
      </c>
      <c r="H20" s="232">
        <f t="shared" si="28"/>
        <v>0</v>
      </c>
      <c r="I20" s="232">
        <f t="shared" si="28"/>
        <v>0</v>
      </c>
      <c r="J20" s="232">
        <f t="shared" si="28"/>
        <v>0</v>
      </c>
      <c r="K20" s="412">
        <f t="shared" si="1"/>
        <v>0</v>
      </c>
      <c r="L20" s="418">
        <f t="shared" ref="L20:S20" si="29">SUM(L17:L19)</f>
        <v>0</v>
      </c>
      <c r="M20" s="232">
        <f t="shared" si="29"/>
        <v>500630.2366</v>
      </c>
      <c r="N20" s="232">
        <f t="shared" si="29"/>
        <v>0</v>
      </c>
      <c r="O20" s="232">
        <f t="shared" si="29"/>
        <v>532383.44760000007</v>
      </c>
      <c r="P20" s="232">
        <f t="shared" si="29"/>
        <v>0</v>
      </c>
      <c r="Q20" s="232">
        <f t="shared" si="29"/>
        <v>568459.15339999995</v>
      </c>
      <c r="R20" s="232">
        <f t="shared" si="29"/>
        <v>0</v>
      </c>
      <c r="S20" s="232">
        <f t="shared" si="29"/>
        <v>619162.11620000005</v>
      </c>
      <c r="T20" s="414">
        <f t="shared" si="2"/>
        <v>2220634.9538000003</v>
      </c>
      <c r="U20" s="415">
        <f t="shared" si="3"/>
        <v>2220634.9538000003</v>
      </c>
      <c r="V20" s="300">
        <v>2</v>
      </c>
      <c r="W20" s="232">
        <f t="shared" ref="W20:AD20" si="30">SUM(W17:W19)</f>
        <v>0</v>
      </c>
      <c r="X20" s="232">
        <f t="shared" si="30"/>
        <v>0</v>
      </c>
      <c r="Y20" s="232">
        <f t="shared" si="30"/>
        <v>0</v>
      </c>
      <c r="Z20" s="232">
        <f t="shared" si="30"/>
        <v>0</v>
      </c>
      <c r="AA20" s="232">
        <f t="shared" si="30"/>
        <v>0</v>
      </c>
      <c r="AB20" s="232">
        <f t="shared" si="30"/>
        <v>0</v>
      </c>
      <c r="AC20" s="232">
        <f t="shared" si="30"/>
        <v>0</v>
      </c>
      <c r="AD20" s="232">
        <f t="shared" si="30"/>
        <v>0</v>
      </c>
      <c r="AE20" s="412">
        <f t="shared" si="4"/>
        <v>0</v>
      </c>
      <c r="AF20" s="418">
        <f t="shared" ref="AF20:AM20" si="31">SUM(AF17:AF19)</f>
        <v>0</v>
      </c>
      <c r="AG20" s="232">
        <f t="shared" si="31"/>
        <v>210203.12360000002</v>
      </c>
      <c r="AH20" s="232">
        <f t="shared" si="31"/>
        <v>0</v>
      </c>
      <c r="AI20" s="232">
        <f t="shared" si="31"/>
        <v>169714.95799999998</v>
      </c>
      <c r="AJ20" s="232">
        <f t="shared" si="31"/>
        <v>0</v>
      </c>
      <c r="AK20" s="232">
        <f t="shared" si="31"/>
        <v>169801.34039999999</v>
      </c>
      <c r="AL20" s="232">
        <f t="shared" si="31"/>
        <v>0</v>
      </c>
      <c r="AM20" s="232">
        <f t="shared" si="31"/>
        <v>167594.77340000001</v>
      </c>
      <c r="AN20" s="414">
        <f t="shared" si="5"/>
        <v>717314.19540000008</v>
      </c>
      <c r="AO20" s="415">
        <f t="shared" si="6"/>
        <v>717314.19540000008</v>
      </c>
      <c r="AP20" s="300">
        <v>2</v>
      </c>
      <c r="AQ20" s="232">
        <f t="shared" ref="AQ20:AX20" si="32">SUM(AQ17:AQ19)</f>
        <v>0</v>
      </c>
      <c r="AR20" s="232">
        <f t="shared" si="32"/>
        <v>0</v>
      </c>
      <c r="AS20" s="232">
        <f t="shared" si="32"/>
        <v>0</v>
      </c>
      <c r="AT20" s="232">
        <f t="shared" si="32"/>
        <v>0</v>
      </c>
      <c r="AU20" s="232">
        <f t="shared" si="32"/>
        <v>0</v>
      </c>
      <c r="AV20" s="232">
        <f t="shared" si="32"/>
        <v>0</v>
      </c>
      <c r="AW20" s="232">
        <f t="shared" si="32"/>
        <v>0</v>
      </c>
      <c r="AX20" s="232">
        <f t="shared" si="32"/>
        <v>0</v>
      </c>
      <c r="AY20" s="412">
        <f t="shared" si="7"/>
        <v>0</v>
      </c>
      <c r="AZ20" s="418">
        <f t="shared" ref="AZ20:BG20" si="33">SUM(AZ17:AZ19)</f>
        <v>0</v>
      </c>
      <c r="BA20" s="232">
        <f t="shared" si="33"/>
        <v>3196830.4717999999</v>
      </c>
      <c r="BB20" s="232">
        <f t="shared" si="33"/>
        <v>0</v>
      </c>
      <c r="BC20" s="232">
        <f t="shared" si="33"/>
        <v>3066303.2844000002</v>
      </c>
      <c r="BD20" s="232">
        <f t="shared" si="33"/>
        <v>0</v>
      </c>
      <c r="BE20" s="232">
        <f t="shared" si="33"/>
        <v>3417874.7182000005</v>
      </c>
      <c r="BF20" s="232">
        <f t="shared" si="33"/>
        <v>0</v>
      </c>
      <c r="BG20" s="232">
        <f t="shared" si="33"/>
        <v>3585258.9178000009</v>
      </c>
      <c r="BH20" s="414">
        <f t="shared" si="8"/>
        <v>13266267.392200001</v>
      </c>
      <c r="BI20" s="415">
        <f t="shared" si="9"/>
        <v>13266267.392200001</v>
      </c>
      <c r="BJ20" s="300">
        <v>2</v>
      </c>
      <c r="BK20" s="232">
        <f t="shared" ref="BK20:BR20" si="34">SUM(BK17:BK19)</f>
        <v>0</v>
      </c>
      <c r="BL20" s="232">
        <f t="shared" si="34"/>
        <v>0</v>
      </c>
      <c r="BM20" s="232">
        <f t="shared" si="34"/>
        <v>0</v>
      </c>
      <c r="BN20" s="232">
        <f t="shared" si="34"/>
        <v>0</v>
      </c>
      <c r="BO20" s="232">
        <f t="shared" si="34"/>
        <v>0</v>
      </c>
      <c r="BP20" s="232">
        <f t="shared" si="34"/>
        <v>0</v>
      </c>
      <c r="BQ20" s="232">
        <f t="shared" si="34"/>
        <v>0</v>
      </c>
      <c r="BR20" s="232">
        <f t="shared" si="34"/>
        <v>0</v>
      </c>
      <c r="BS20" s="412">
        <f t="shared" si="10"/>
        <v>0</v>
      </c>
      <c r="BT20" s="418">
        <f t="shared" ref="BT20:CA20" si="35">SUM(BT17:BT19)</f>
        <v>0</v>
      </c>
      <c r="BU20" s="232">
        <f t="shared" si="35"/>
        <v>209838.41179999997</v>
      </c>
      <c r="BV20" s="232">
        <f t="shared" si="35"/>
        <v>0</v>
      </c>
      <c r="BW20" s="232">
        <f t="shared" si="35"/>
        <v>189885.88439999998</v>
      </c>
      <c r="BX20" s="232">
        <f t="shared" si="35"/>
        <v>0</v>
      </c>
      <c r="BY20" s="232">
        <f t="shared" si="35"/>
        <v>178259.6048</v>
      </c>
      <c r="BZ20" s="232">
        <f t="shared" si="35"/>
        <v>0</v>
      </c>
      <c r="CA20" s="232">
        <f t="shared" si="35"/>
        <v>150579.098</v>
      </c>
      <c r="CB20" s="414">
        <f t="shared" si="11"/>
        <v>728562.99899999995</v>
      </c>
      <c r="CC20" s="415">
        <f t="shared" si="12"/>
        <v>728562.99899999995</v>
      </c>
      <c r="CD20" s="300">
        <v>2</v>
      </c>
      <c r="CE20" s="414">
        <f t="shared" si="14"/>
        <v>0</v>
      </c>
      <c r="CF20" s="414">
        <f t="shared" si="15"/>
        <v>0</v>
      </c>
      <c r="CG20" s="414">
        <f t="shared" si="16"/>
        <v>0</v>
      </c>
      <c r="CH20" s="414">
        <f t="shared" si="17"/>
        <v>0</v>
      </c>
      <c r="CI20" s="416">
        <f t="shared" si="18"/>
        <v>0</v>
      </c>
      <c r="CJ20" s="414">
        <f t="shared" si="19"/>
        <v>4117502.2437999998</v>
      </c>
      <c r="CK20" s="414">
        <f t="shared" si="20"/>
        <v>3958287.5744000003</v>
      </c>
      <c r="CL20" s="414">
        <f t="shared" si="21"/>
        <v>4334394.8168000001</v>
      </c>
      <c r="CM20" s="414">
        <f t="shared" si="22"/>
        <v>4522594.9054000014</v>
      </c>
      <c r="CN20" s="416">
        <f t="shared" si="23"/>
        <v>16932779.540400002</v>
      </c>
      <c r="CO20" s="414">
        <f t="shared" si="24"/>
        <v>4117502.2437999998</v>
      </c>
      <c r="CP20" s="414">
        <f t="shared" si="25"/>
        <v>3958287.5744000003</v>
      </c>
      <c r="CQ20" s="414">
        <f t="shared" si="26"/>
        <v>4334394.8168000001</v>
      </c>
      <c r="CR20" s="414">
        <f t="shared" si="27"/>
        <v>4522594.9054000014</v>
      </c>
      <c r="CS20" s="416">
        <f t="shared" si="13"/>
        <v>16932779.540399998</v>
      </c>
      <c r="CT20" s="319"/>
      <c r="CU20" s="319"/>
      <c r="CV20" s="319"/>
      <c r="CW20" s="319"/>
      <c r="CX20" s="319"/>
    </row>
    <row r="21" spans="1:131" ht="15.75" customHeight="1">
      <c r="A21" s="88" t="s">
        <v>175</v>
      </c>
      <c r="B21" s="300">
        <v>3</v>
      </c>
      <c r="C21" s="231"/>
      <c r="D21" s="231"/>
      <c r="E21" s="231"/>
      <c r="F21" s="231"/>
      <c r="G21" s="231"/>
      <c r="H21" s="231"/>
      <c r="I21" s="231"/>
      <c r="J21" s="231"/>
      <c r="K21" s="412">
        <f t="shared" si="1"/>
        <v>0</v>
      </c>
      <c r="L21" s="417"/>
      <c r="M21" s="231"/>
      <c r="N21" s="231"/>
      <c r="O21" s="231"/>
      <c r="P21" s="231"/>
      <c r="Q21" s="231"/>
      <c r="R21" s="231"/>
      <c r="S21" s="231"/>
      <c r="T21" s="414">
        <f t="shared" si="2"/>
        <v>0</v>
      </c>
      <c r="U21" s="415">
        <f t="shared" si="3"/>
        <v>0</v>
      </c>
      <c r="V21" s="300">
        <v>3</v>
      </c>
      <c r="W21" s="231"/>
      <c r="X21" s="231"/>
      <c r="Y21" s="231"/>
      <c r="Z21" s="231"/>
      <c r="AA21" s="231"/>
      <c r="AB21" s="231"/>
      <c r="AC21" s="231"/>
      <c r="AD21" s="231"/>
      <c r="AE21" s="412">
        <f t="shared" si="4"/>
        <v>0</v>
      </c>
      <c r="AF21" s="417"/>
      <c r="AG21" s="231"/>
      <c r="AH21" s="231"/>
      <c r="AI21" s="231"/>
      <c r="AJ21" s="231"/>
      <c r="AK21" s="231"/>
      <c r="AL21" s="231"/>
      <c r="AM21" s="231"/>
      <c r="AN21" s="414">
        <f t="shared" si="5"/>
        <v>0</v>
      </c>
      <c r="AO21" s="415">
        <f t="shared" si="6"/>
        <v>0</v>
      </c>
      <c r="AP21" s="300">
        <v>3</v>
      </c>
      <c r="AQ21" s="231"/>
      <c r="AR21" s="231"/>
      <c r="AS21" s="231"/>
      <c r="AT21" s="231"/>
      <c r="AU21" s="231"/>
      <c r="AV21" s="231"/>
      <c r="AW21" s="231"/>
      <c r="AX21" s="231"/>
      <c r="AY21" s="412">
        <f t="shared" si="7"/>
        <v>0</v>
      </c>
      <c r="AZ21" s="417"/>
      <c r="BA21" s="231"/>
      <c r="BB21" s="231"/>
      <c r="BC21" s="231"/>
      <c r="BD21" s="231"/>
      <c r="BE21" s="231"/>
      <c r="BF21" s="231"/>
      <c r="BG21" s="231"/>
      <c r="BH21" s="414">
        <f t="shared" si="8"/>
        <v>0</v>
      </c>
      <c r="BI21" s="415">
        <f t="shared" si="9"/>
        <v>0</v>
      </c>
      <c r="BJ21" s="300">
        <v>3</v>
      </c>
      <c r="BK21" s="231"/>
      <c r="BL21" s="231"/>
      <c r="BM21" s="231"/>
      <c r="BN21" s="231"/>
      <c r="BO21" s="231"/>
      <c r="BP21" s="231"/>
      <c r="BQ21" s="231"/>
      <c r="BR21" s="231"/>
      <c r="BS21" s="412">
        <f t="shared" si="10"/>
        <v>0</v>
      </c>
      <c r="BT21" s="417"/>
      <c r="BU21" s="231"/>
      <c r="BV21" s="231"/>
      <c r="BW21" s="231"/>
      <c r="BX21" s="231"/>
      <c r="BY21" s="231"/>
      <c r="BZ21" s="231"/>
      <c r="CA21" s="231"/>
      <c r="CB21" s="414">
        <f t="shared" si="11"/>
        <v>0</v>
      </c>
      <c r="CC21" s="415">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13"/>
        <v>0</v>
      </c>
      <c r="CT21" s="319"/>
      <c r="CV21" s="319"/>
      <c r="CX21" s="319"/>
    </row>
    <row r="22" spans="1:131" ht="15.75" customHeight="1">
      <c r="A22" s="88" t="s">
        <v>177</v>
      </c>
      <c r="B22" s="300">
        <v>4</v>
      </c>
      <c r="C22" s="231">
        <v>0</v>
      </c>
      <c r="D22" s="231">
        <v>0</v>
      </c>
      <c r="E22" s="231">
        <v>0</v>
      </c>
      <c r="F22" s="231">
        <v>0</v>
      </c>
      <c r="G22" s="231">
        <v>0</v>
      </c>
      <c r="H22" s="231">
        <v>0</v>
      </c>
      <c r="I22" s="231">
        <v>0</v>
      </c>
      <c r="J22" s="231">
        <v>0</v>
      </c>
      <c r="K22" s="412">
        <f t="shared" si="1"/>
        <v>0</v>
      </c>
      <c r="L22" s="417">
        <v>0</v>
      </c>
      <c r="M22" s="231">
        <v>5946.5929935126196</v>
      </c>
      <c r="N22" s="231">
        <v>0</v>
      </c>
      <c r="O22" s="231">
        <v>6054.3976852971364</v>
      </c>
      <c r="P22" s="231">
        <v>0</v>
      </c>
      <c r="Q22" s="231">
        <v>6703.5036634372882</v>
      </c>
      <c r="R22" s="231">
        <v>0</v>
      </c>
      <c r="S22" s="231">
        <v>6612.4239181250914</v>
      </c>
      <c r="T22" s="414">
        <f t="shared" si="2"/>
        <v>25316.918260372138</v>
      </c>
      <c r="U22" s="415">
        <f t="shared" si="3"/>
        <v>25316.918260372138</v>
      </c>
      <c r="V22" s="300">
        <v>4</v>
      </c>
      <c r="W22" s="231">
        <v>0</v>
      </c>
      <c r="X22" s="231">
        <v>0</v>
      </c>
      <c r="Y22" s="231">
        <v>0</v>
      </c>
      <c r="Z22" s="231">
        <v>0</v>
      </c>
      <c r="AA22" s="231">
        <v>0</v>
      </c>
      <c r="AB22" s="231">
        <v>0</v>
      </c>
      <c r="AC22" s="231">
        <v>0</v>
      </c>
      <c r="AD22" s="231">
        <v>0</v>
      </c>
      <c r="AE22" s="412">
        <f t="shared" si="4"/>
        <v>0</v>
      </c>
      <c r="AF22" s="417">
        <v>0</v>
      </c>
      <c r="AG22" s="231">
        <v>4131.5823936769839</v>
      </c>
      <c r="AH22" s="231">
        <v>0</v>
      </c>
      <c r="AI22" s="231">
        <v>3311.6145707128121</v>
      </c>
      <c r="AJ22" s="231">
        <v>0</v>
      </c>
      <c r="AK22" s="231">
        <v>2788.0373390710101</v>
      </c>
      <c r="AL22" s="231">
        <v>0</v>
      </c>
      <c r="AM22" s="231">
        <v>2951.4870575207387</v>
      </c>
      <c r="AN22" s="414">
        <f t="shared" si="5"/>
        <v>13182.721360981544</v>
      </c>
      <c r="AO22" s="415">
        <f t="shared" si="6"/>
        <v>13182.721360981544</v>
      </c>
      <c r="AP22" s="300">
        <v>4</v>
      </c>
      <c r="AQ22" s="231">
        <v>0</v>
      </c>
      <c r="AR22" s="231">
        <v>0</v>
      </c>
      <c r="AS22" s="231">
        <v>0</v>
      </c>
      <c r="AT22" s="231">
        <v>0</v>
      </c>
      <c r="AU22" s="231">
        <v>0</v>
      </c>
      <c r="AV22" s="231">
        <v>0</v>
      </c>
      <c r="AW22" s="231">
        <v>0</v>
      </c>
      <c r="AX22" s="231">
        <v>0</v>
      </c>
      <c r="AY22" s="412">
        <f t="shared" si="7"/>
        <v>0</v>
      </c>
      <c r="AZ22" s="417">
        <v>0</v>
      </c>
      <c r="BA22" s="231">
        <v>53488.106288366362</v>
      </c>
      <c r="BB22" s="231">
        <v>0</v>
      </c>
      <c r="BC22" s="231">
        <v>50543.848992849889</v>
      </c>
      <c r="BD22" s="231">
        <v>0</v>
      </c>
      <c r="BE22" s="231">
        <v>55701.883221293108</v>
      </c>
      <c r="BF22" s="231">
        <v>0</v>
      </c>
      <c r="BG22" s="231">
        <v>58413.748388949687</v>
      </c>
      <c r="BH22" s="414">
        <f t="shared" si="8"/>
        <v>218147.58689145904</v>
      </c>
      <c r="BI22" s="415">
        <f t="shared" si="9"/>
        <v>218147.58689145904</v>
      </c>
      <c r="BJ22" s="300">
        <v>4</v>
      </c>
      <c r="BK22" s="231">
        <v>0</v>
      </c>
      <c r="BL22" s="231">
        <v>0</v>
      </c>
      <c r="BM22" s="231">
        <v>0</v>
      </c>
      <c r="BN22" s="231">
        <v>0</v>
      </c>
      <c r="BO22" s="231">
        <v>0</v>
      </c>
      <c r="BP22" s="231">
        <v>0</v>
      </c>
      <c r="BQ22" s="231">
        <v>0</v>
      </c>
      <c r="BR22" s="231">
        <v>0</v>
      </c>
      <c r="BS22" s="412">
        <f t="shared" si="10"/>
        <v>0</v>
      </c>
      <c r="BT22" s="417">
        <v>0</v>
      </c>
      <c r="BU22" s="231">
        <v>3520.9906571598817</v>
      </c>
      <c r="BV22" s="231">
        <v>0</v>
      </c>
      <c r="BW22" s="231">
        <v>2316.8619185284715</v>
      </c>
      <c r="BX22" s="231">
        <v>0</v>
      </c>
      <c r="BY22" s="231">
        <v>2245.4135014838812</v>
      </c>
      <c r="BZ22" s="231">
        <v>0</v>
      </c>
      <c r="CA22" s="231">
        <v>1821.2058359122998</v>
      </c>
      <c r="CB22" s="414">
        <f t="shared" si="11"/>
        <v>9904.4719130845351</v>
      </c>
      <c r="CC22" s="415">
        <f t="shared" si="12"/>
        <v>9904.4719130845351</v>
      </c>
      <c r="CD22" s="300">
        <v>4</v>
      </c>
      <c r="CE22" s="414">
        <f t="shared" si="14"/>
        <v>0</v>
      </c>
      <c r="CF22" s="414">
        <f t="shared" si="15"/>
        <v>0</v>
      </c>
      <c r="CG22" s="414">
        <f t="shared" si="16"/>
        <v>0</v>
      </c>
      <c r="CH22" s="414">
        <f t="shared" si="17"/>
        <v>0</v>
      </c>
      <c r="CI22" s="416">
        <f t="shared" si="18"/>
        <v>0</v>
      </c>
      <c r="CJ22" s="414">
        <f t="shared" si="19"/>
        <v>67087.272332715846</v>
      </c>
      <c r="CK22" s="414">
        <f t="shared" si="20"/>
        <v>62226.723167388307</v>
      </c>
      <c r="CL22" s="414">
        <f t="shared" si="21"/>
        <v>67438.837725285281</v>
      </c>
      <c r="CM22" s="414">
        <f t="shared" si="22"/>
        <v>69798.865200507818</v>
      </c>
      <c r="CN22" s="416">
        <f t="shared" si="23"/>
        <v>266551.69842589728</v>
      </c>
      <c r="CO22" s="414">
        <f t="shared" si="24"/>
        <v>67087.272332715846</v>
      </c>
      <c r="CP22" s="414">
        <f t="shared" si="25"/>
        <v>62226.723167388307</v>
      </c>
      <c r="CQ22" s="414">
        <f t="shared" si="26"/>
        <v>67438.837725285281</v>
      </c>
      <c r="CR22" s="414">
        <f t="shared" si="27"/>
        <v>69798.865200507818</v>
      </c>
      <c r="CS22" s="416">
        <f t="shared" si="13"/>
        <v>266551.69842589728</v>
      </c>
      <c r="CT22" s="319"/>
      <c r="CV22" s="319"/>
      <c r="CX22" s="319"/>
    </row>
    <row r="23" spans="1:131" ht="15.75" customHeight="1">
      <c r="A23" s="135" t="s">
        <v>179</v>
      </c>
      <c r="B23" s="300">
        <v>5</v>
      </c>
      <c r="C23" s="137">
        <f t="shared" ref="C23:J23" si="36">C16+C20+C21+C22</f>
        <v>49112.26</v>
      </c>
      <c r="D23" s="137">
        <f t="shared" si="36"/>
        <v>170360.25</v>
      </c>
      <c r="E23" s="137">
        <f t="shared" si="36"/>
        <v>48229.63</v>
      </c>
      <c r="F23" s="137">
        <f t="shared" si="36"/>
        <v>184600.87</v>
      </c>
      <c r="G23" s="137">
        <f t="shared" si="36"/>
        <v>50462.61</v>
      </c>
      <c r="H23" s="137">
        <f t="shared" si="36"/>
        <v>209230.730000001</v>
      </c>
      <c r="I23" s="137">
        <f t="shared" si="36"/>
        <v>57865.09</v>
      </c>
      <c r="J23" s="137">
        <f t="shared" si="36"/>
        <v>221959.320000001</v>
      </c>
      <c r="K23" s="412">
        <f t="shared" si="1"/>
        <v>991820.76000000199</v>
      </c>
      <c r="L23" s="217">
        <f t="shared" ref="L23:S23" si="37">L16+L20+L21+L22</f>
        <v>0</v>
      </c>
      <c r="M23" s="137">
        <f t="shared" si="37"/>
        <v>506576.82959351264</v>
      </c>
      <c r="N23" s="137">
        <f t="shared" si="37"/>
        <v>0</v>
      </c>
      <c r="O23" s="137">
        <f t="shared" si="37"/>
        <v>538437.84528529726</v>
      </c>
      <c r="P23" s="137">
        <f t="shared" si="37"/>
        <v>0</v>
      </c>
      <c r="Q23" s="137">
        <f t="shared" si="37"/>
        <v>575162.65706343728</v>
      </c>
      <c r="R23" s="137">
        <f t="shared" si="37"/>
        <v>0</v>
      </c>
      <c r="S23" s="137">
        <f t="shared" si="37"/>
        <v>625774.54011812515</v>
      </c>
      <c r="T23" s="414">
        <f t="shared" si="2"/>
        <v>2245951.8720603725</v>
      </c>
      <c r="U23" s="217">
        <f t="shared" si="3"/>
        <v>3237772.6320603746</v>
      </c>
      <c r="V23" s="300">
        <v>5</v>
      </c>
      <c r="W23" s="137">
        <f t="shared" ref="W23:AD23" si="38">W16+W20+W21+W22</f>
        <v>12651.58</v>
      </c>
      <c r="X23" s="137">
        <f t="shared" si="38"/>
        <v>115584</v>
      </c>
      <c r="Y23" s="137">
        <f t="shared" si="38"/>
        <v>10090.74</v>
      </c>
      <c r="Z23" s="137">
        <f t="shared" si="38"/>
        <v>105264</v>
      </c>
      <c r="AA23" s="137">
        <f t="shared" si="38"/>
        <v>24080.22</v>
      </c>
      <c r="AB23" s="137">
        <f t="shared" si="38"/>
        <v>90816</v>
      </c>
      <c r="AC23" s="137">
        <f t="shared" si="38"/>
        <v>24080.22</v>
      </c>
      <c r="AD23" s="137">
        <f t="shared" si="38"/>
        <v>94944</v>
      </c>
      <c r="AE23" s="412">
        <f t="shared" si="4"/>
        <v>477510.76</v>
      </c>
      <c r="AF23" s="217">
        <f t="shared" ref="AF23:AM23" si="39">AF16+AF20+AF21+AF22</f>
        <v>0</v>
      </c>
      <c r="AG23" s="137">
        <f t="shared" si="39"/>
        <v>214334.70599367699</v>
      </c>
      <c r="AH23" s="137">
        <f t="shared" si="39"/>
        <v>0</v>
      </c>
      <c r="AI23" s="137">
        <f t="shared" si="39"/>
        <v>173026.5725707128</v>
      </c>
      <c r="AJ23" s="137">
        <f t="shared" si="39"/>
        <v>0</v>
      </c>
      <c r="AK23" s="137">
        <f t="shared" si="39"/>
        <v>172589.377739071</v>
      </c>
      <c r="AL23" s="137">
        <f t="shared" si="39"/>
        <v>0</v>
      </c>
      <c r="AM23" s="137">
        <f t="shared" si="39"/>
        <v>170546.26045752075</v>
      </c>
      <c r="AN23" s="414">
        <f t="shared" si="5"/>
        <v>730496.91676098155</v>
      </c>
      <c r="AO23" s="217">
        <f t="shared" si="6"/>
        <v>1208007.6767609816</v>
      </c>
      <c r="AP23" s="300">
        <v>5</v>
      </c>
      <c r="AQ23" s="137">
        <f t="shared" ref="AQ23:AX23" si="40">AQ16+AQ20+AQ21+AQ22</f>
        <v>1454674.9</v>
      </c>
      <c r="AR23" s="137">
        <f t="shared" si="40"/>
        <v>3140181.3500000397</v>
      </c>
      <c r="AS23" s="137">
        <f t="shared" si="40"/>
        <v>1567363.14</v>
      </c>
      <c r="AT23" s="137">
        <f t="shared" si="40"/>
        <v>3350908.2500000498</v>
      </c>
      <c r="AU23" s="137">
        <f t="shared" si="40"/>
        <v>1668885.21</v>
      </c>
      <c r="AV23" s="137">
        <f t="shared" si="40"/>
        <v>3738957.6899999203</v>
      </c>
      <c r="AW23" s="137">
        <f t="shared" si="40"/>
        <v>2395708.61</v>
      </c>
      <c r="AX23" s="137">
        <f t="shared" si="40"/>
        <v>4115056.9399999096</v>
      </c>
      <c r="AY23" s="412">
        <f t="shared" si="7"/>
        <v>21431736.089999914</v>
      </c>
      <c r="AZ23" s="217">
        <f t="shared" ref="AZ23:BG23" si="41">AZ16+AZ20+AZ21+AZ22</f>
        <v>0</v>
      </c>
      <c r="BA23" s="137">
        <f t="shared" si="41"/>
        <v>3250318.5780883664</v>
      </c>
      <c r="BB23" s="137">
        <f t="shared" si="41"/>
        <v>0</v>
      </c>
      <c r="BC23" s="137">
        <f t="shared" si="41"/>
        <v>3116847.1333928499</v>
      </c>
      <c r="BD23" s="137">
        <f t="shared" si="41"/>
        <v>0</v>
      </c>
      <c r="BE23" s="137">
        <f t="shared" si="41"/>
        <v>3473576.6014212938</v>
      </c>
      <c r="BF23" s="137">
        <f t="shared" si="41"/>
        <v>0</v>
      </c>
      <c r="BG23" s="137">
        <f t="shared" si="41"/>
        <v>3643672.6661889507</v>
      </c>
      <c r="BH23" s="414">
        <f t="shared" si="8"/>
        <v>13484414.979091462</v>
      </c>
      <c r="BI23" s="217">
        <f t="shared" si="9"/>
        <v>34916151.06909138</v>
      </c>
      <c r="BJ23" s="300">
        <v>5</v>
      </c>
      <c r="BK23" s="137">
        <f t="shared" ref="BK23:BR23" si="42">BK16+BK20+BK21+BK22</f>
        <v>59939.100000000006</v>
      </c>
      <c r="BL23" s="137">
        <f t="shared" si="42"/>
        <v>463809.47</v>
      </c>
      <c r="BM23" s="137">
        <f t="shared" si="42"/>
        <v>59939.100000000006</v>
      </c>
      <c r="BN23" s="137">
        <f t="shared" si="42"/>
        <v>353012.22000000003</v>
      </c>
      <c r="BO23" s="137">
        <f t="shared" si="42"/>
        <v>61865.41</v>
      </c>
      <c r="BP23" s="137">
        <f t="shared" si="42"/>
        <v>326391.92000000004</v>
      </c>
      <c r="BQ23" s="137">
        <f t="shared" si="42"/>
        <v>39959.4</v>
      </c>
      <c r="BR23" s="137">
        <f t="shared" si="42"/>
        <v>261704.88999999998</v>
      </c>
      <c r="BS23" s="412">
        <f t="shared" si="10"/>
        <v>1626621.5099999998</v>
      </c>
      <c r="BT23" s="217">
        <f t="shared" ref="BT23:CA23" si="43">BT16+BT20+BT21+BT22</f>
        <v>0</v>
      </c>
      <c r="BU23" s="137">
        <f t="shared" si="43"/>
        <v>213359.40245715986</v>
      </c>
      <c r="BV23" s="137">
        <f t="shared" si="43"/>
        <v>0</v>
      </c>
      <c r="BW23" s="137">
        <f t="shared" si="43"/>
        <v>192202.74631852846</v>
      </c>
      <c r="BX23" s="137">
        <f t="shared" si="43"/>
        <v>0</v>
      </c>
      <c r="BY23" s="137">
        <f t="shared" si="43"/>
        <v>180505.01830148388</v>
      </c>
      <c r="BZ23" s="137">
        <f t="shared" si="43"/>
        <v>0</v>
      </c>
      <c r="CA23" s="137">
        <f t="shared" si="43"/>
        <v>152400.30383591229</v>
      </c>
      <c r="CB23" s="414">
        <f t="shared" si="11"/>
        <v>738467.47091308446</v>
      </c>
      <c r="CC23" s="217">
        <f t="shared" si="12"/>
        <v>2365088.980913084</v>
      </c>
      <c r="CD23" s="300">
        <v>5</v>
      </c>
      <c r="CE23" s="414">
        <f t="shared" si="14"/>
        <v>5466312.9100000383</v>
      </c>
      <c r="CF23" s="414">
        <f t="shared" si="15"/>
        <v>5679407.9500000486</v>
      </c>
      <c r="CG23" s="414">
        <f t="shared" si="16"/>
        <v>6170689.7899999209</v>
      </c>
      <c r="CH23" s="414">
        <f t="shared" si="17"/>
        <v>7211278.4699999103</v>
      </c>
      <c r="CI23" s="416">
        <f t="shared" si="18"/>
        <v>24527689.119999915</v>
      </c>
      <c r="CJ23" s="414">
        <f t="shared" si="19"/>
        <v>4184589.5161327161</v>
      </c>
      <c r="CK23" s="414">
        <f t="shared" si="20"/>
        <v>4020514.2975673885</v>
      </c>
      <c r="CL23" s="414">
        <f t="shared" si="21"/>
        <v>4401833.6545252865</v>
      </c>
      <c r="CM23" s="414">
        <f t="shared" si="22"/>
        <v>4592393.7706005089</v>
      </c>
      <c r="CN23" s="416">
        <f t="shared" si="23"/>
        <v>17199331.238825902</v>
      </c>
      <c r="CO23" s="414">
        <f t="shared" si="24"/>
        <v>9650902.4261327535</v>
      </c>
      <c r="CP23" s="414">
        <f t="shared" si="25"/>
        <v>9699922.2475674395</v>
      </c>
      <c r="CQ23" s="414">
        <f t="shared" si="26"/>
        <v>10572523.444525206</v>
      </c>
      <c r="CR23" s="414">
        <f t="shared" si="27"/>
        <v>11803672.240600418</v>
      </c>
      <c r="CS23" s="416">
        <f t="shared" si="13"/>
        <v>41727020.358825818</v>
      </c>
      <c r="CT23" s="319"/>
      <c r="CV23" s="319"/>
      <c r="CX23" s="319"/>
    </row>
    <row r="24" spans="1:131" ht="15.75" customHeight="1">
      <c r="A24" s="135" t="s">
        <v>1340</v>
      </c>
      <c r="B24" s="193"/>
      <c r="C24" s="178"/>
      <c r="D24" s="178"/>
      <c r="E24" s="178"/>
      <c r="F24" s="178"/>
      <c r="G24" s="178"/>
      <c r="H24" s="178"/>
      <c r="I24" s="178"/>
      <c r="J24" s="178"/>
      <c r="K24" s="381"/>
      <c r="L24" s="382"/>
      <c r="M24" s="178"/>
      <c r="N24" s="178"/>
      <c r="O24" s="178"/>
      <c r="P24" s="178"/>
      <c r="Q24" s="178"/>
      <c r="R24" s="178"/>
      <c r="S24" s="178"/>
      <c r="T24" s="178"/>
      <c r="U24" s="382"/>
      <c r="V24" s="193"/>
      <c r="W24" s="178"/>
      <c r="X24" s="178"/>
      <c r="Y24" s="178"/>
      <c r="Z24" s="178"/>
      <c r="AA24" s="178"/>
      <c r="AB24" s="178"/>
      <c r="AC24" s="178"/>
      <c r="AD24" s="178"/>
      <c r="AE24" s="381"/>
      <c r="AF24" s="382"/>
      <c r="AG24" s="178"/>
      <c r="AH24" s="178"/>
      <c r="AI24" s="178"/>
      <c r="AJ24" s="178"/>
      <c r="AK24" s="178"/>
      <c r="AL24" s="178"/>
      <c r="AM24" s="178"/>
      <c r="AN24" s="178"/>
      <c r="AO24" s="382"/>
      <c r="AP24" s="193"/>
      <c r="AQ24" s="178"/>
      <c r="AR24" s="178"/>
      <c r="AS24" s="178"/>
      <c r="AT24" s="178"/>
      <c r="AU24" s="178"/>
      <c r="AV24" s="178"/>
      <c r="AW24" s="178"/>
      <c r="AX24" s="178"/>
      <c r="AY24" s="381"/>
      <c r="AZ24" s="382"/>
      <c r="BA24" s="178"/>
      <c r="BB24" s="178"/>
      <c r="BC24" s="178"/>
      <c r="BD24" s="178"/>
      <c r="BE24" s="178"/>
      <c r="BF24" s="178"/>
      <c r="BG24" s="178"/>
      <c r="BH24" s="178"/>
      <c r="BI24" s="382"/>
      <c r="BJ24" s="193"/>
      <c r="BK24" s="178"/>
      <c r="BL24" s="178"/>
      <c r="BM24" s="178"/>
      <c r="BN24" s="178"/>
      <c r="BO24" s="178"/>
      <c r="BP24" s="178"/>
      <c r="BQ24" s="178"/>
      <c r="BR24" s="178"/>
      <c r="BS24" s="381"/>
      <c r="BT24" s="382"/>
      <c r="BU24" s="178"/>
      <c r="BV24" s="178"/>
      <c r="BW24" s="178"/>
      <c r="BX24" s="178"/>
      <c r="BY24" s="178"/>
      <c r="BZ24" s="178"/>
      <c r="CA24" s="178"/>
      <c r="CB24" s="178"/>
      <c r="CC24" s="382"/>
      <c r="CD24" s="193"/>
      <c r="CE24" s="178"/>
      <c r="CF24" s="178"/>
      <c r="CG24" s="178"/>
      <c r="CH24" s="178"/>
      <c r="CI24" s="419"/>
      <c r="CJ24" s="178"/>
      <c r="CK24" s="178"/>
      <c r="CL24" s="178"/>
      <c r="CM24" s="178"/>
      <c r="CN24" s="419"/>
      <c r="CO24" s="178"/>
      <c r="CP24" s="178"/>
      <c r="CQ24" s="178"/>
      <c r="CR24" s="178"/>
      <c r="CS24" s="419"/>
    </row>
    <row r="25" spans="1:131" ht="15.75" customHeight="1">
      <c r="A25" s="88" t="s">
        <v>181</v>
      </c>
      <c r="B25" s="300">
        <v>6</v>
      </c>
      <c r="C25" s="231"/>
      <c r="D25" s="231"/>
      <c r="E25" s="231"/>
      <c r="F25" s="231"/>
      <c r="G25" s="231"/>
      <c r="H25" s="231"/>
      <c r="I25" s="231"/>
      <c r="J25" s="231"/>
      <c r="K25" s="412">
        <f t="shared" ref="K25:K30" si="44">SUM(C25:J25)</f>
        <v>0</v>
      </c>
      <c r="L25" s="417"/>
      <c r="M25" s="231"/>
      <c r="N25" s="231"/>
      <c r="O25" s="231"/>
      <c r="P25" s="231"/>
      <c r="Q25" s="231"/>
      <c r="R25" s="231"/>
      <c r="S25" s="231"/>
      <c r="T25" s="414">
        <f t="shared" ref="T25:T30" si="45">SUM(L25:S25)</f>
        <v>0</v>
      </c>
      <c r="U25" s="415">
        <f t="shared" ref="U25:U30" si="46">SUM(K25,T25)</f>
        <v>0</v>
      </c>
      <c r="V25" s="300">
        <v>6</v>
      </c>
      <c r="W25" s="231"/>
      <c r="X25" s="231"/>
      <c r="Y25" s="231"/>
      <c r="Z25" s="231"/>
      <c r="AA25" s="231"/>
      <c r="AB25" s="231"/>
      <c r="AC25" s="231"/>
      <c r="AD25" s="231"/>
      <c r="AE25" s="412">
        <f t="shared" ref="AE25:AE30" si="47">SUM(W25:AD25)</f>
        <v>0</v>
      </c>
      <c r="AF25" s="417"/>
      <c r="AG25" s="231"/>
      <c r="AH25" s="231"/>
      <c r="AI25" s="231"/>
      <c r="AJ25" s="231"/>
      <c r="AK25" s="231"/>
      <c r="AL25" s="231"/>
      <c r="AM25" s="231"/>
      <c r="AN25" s="414">
        <f t="shared" ref="AN25:AN30" si="48">SUM(AF25:AM25)</f>
        <v>0</v>
      </c>
      <c r="AO25" s="415">
        <f t="shared" ref="AO25:AO30" si="49">SUM(AE25,AN25)</f>
        <v>0</v>
      </c>
      <c r="AP25" s="300">
        <v>6</v>
      </c>
      <c r="AQ25" s="231"/>
      <c r="AR25" s="231"/>
      <c r="AS25" s="231"/>
      <c r="AT25" s="231"/>
      <c r="AU25" s="231"/>
      <c r="AV25" s="231"/>
      <c r="AW25" s="231"/>
      <c r="AX25" s="231"/>
      <c r="AY25" s="412">
        <f t="shared" ref="AY25:AY30" si="50">SUM(AQ25:AX25)</f>
        <v>0</v>
      </c>
      <c r="AZ25" s="417"/>
      <c r="BA25" s="231"/>
      <c r="BB25" s="231"/>
      <c r="BC25" s="231"/>
      <c r="BD25" s="231"/>
      <c r="BE25" s="231"/>
      <c r="BF25" s="231"/>
      <c r="BG25" s="231"/>
      <c r="BH25" s="414">
        <f t="shared" ref="BH25:BH30" si="51">SUM(AZ25:BG25)</f>
        <v>0</v>
      </c>
      <c r="BI25" s="415">
        <f t="shared" ref="BI25:BI30" si="52">SUM(AY25,BH25)</f>
        <v>0</v>
      </c>
      <c r="BJ25" s="300">
        <v>6</v>
      </c>
      <c r="BK25" s="231">
        <v>4605.9403638361646</v>
      </c>
      <c r="BL25" s="231">
        <v>35640.821417112675</v>
      </c>
      <c r="BM25" s="231">
        <v>4784.4677310011548</v>
      </c>
      <c r="BN25" s="231">
        <v>28178.193787345492</v>
      </c>
      <c r="BO25" s="231">
        <v>5047.8830887348449</v>
      </c>
      <c r="BP25" s="231">
        <v>26631.816604265558</v>
      </c>
      <c r="BQ25" s="231">
        <v>13019.623957850627</v>
      </c>
      <c r="BR25" s="231">
        <v>85269.029458166595</v>
      </c>
      <c r="BS25" s="412">
        <f t="shared" ref="BS25:BS30" si="53">SUM(BK25:BR25)</f>
        <v>203177.7764083131</v>
      </c>
      <c r="BT25" s="417"/>
      <c r="BU25" s="231"/>
      <c r="BV25" s="231"/>
      <c r="BW25" s="231"/>
      <c r="BX25" s="231"/>
      <c r="BY25" s="231"/>
      <c r="BZ25" s="231"/>
      <c r="CA25" s="231"/>
      <c r="CB25" s="414">
        <f t="shared" ref="CB25:CB30" si="54">SUM(BT25:CA25)</f>
        <v>0</v>
      </c>
      <c r="CC25" s="415">
        <f t="shared" ref="CC25:CC30" si="55">SUM(BS25,CB25)</f>
        <v>203177.7764083131</v>
      </c>
      <c r="CD25" s="300">
        <v>6</v>
      </c>
      <c r="CE25" s="414">
        <f t="shared" ref="CE25:CE30" si="56">+C25+D25+W25+X25+AQ25+AR25+BK25+BL25</f>
        <v>40246.761780948837</v>
      </c>
      <c r="CF25" s="414">
        <f t="shared" ref="CF25:CF30" si="57">+E25+F25+Y25+Z25+AS25+AT25+BM25+BN25</f>
        <v>32962.661518346649</v>
      </c>
      <c r="CG25" s="414">
        <f t="shared" ref="CG25:CG30" si="58">+G25+H25+AA25+AB25+AU25+AV25+BO25+BP25</f>
        <v>31679.699693000402</v>
      </c>
      <c r="CH25" s="414">
        <f t="shared" ref="CH25:CH30" si="59">+I25+J25+AC25+AD25+AW25+AX25+BQ25+BR25</f>
        <v>98288.653416017216</v>
      </c>
      <c r="CI25" s="416">
        <f t="shared" ref="CI25:CI30" si="60">SUM(K25,AE25,AY25,BS25)</f>
        <v>203177.7764083131</v>
      </c>
      <c r="CJ25" s="414">
        <f t="shared" ref="CJ25:CJ30" si="61">L25+M25+AF25+AG25+AZ25+BA25+BT25+BU25</f>
        <v>0</v>
      </c>
      <c r="CK25" s="414">
        <f t="shared" ref="CK25:CK30" si="62">N25+O25+AH25+AI25+BB25+BC25+BV25+BW25</f>
        <v>0</v>
      </c>
      <c r="CL25" s="414">
        <f t="shared" ref="CL25:CL30" si="63">P25+Q25+AJ25+AK25+BD25+BE25+BX25+BY25</f>
        <v>0</v>
      </c>
      <c r="CM25" s="414">
        <f t="shared" ref="CM25:CM30" si="64">+R25+S25+AL25+AM25+BF25+BG25+BZ25+CA25</f>
        <v>0</v>
      </c>
      <c r="CN25" s="416">
        <f t="shared" ref="CN25:CN30" si="65">SUM(T25,AN25,BH25,CB25)</f>
        <v>0</v>
      </c>
      <c r="CO25" s="414">
        <f t="shared" ref="CO25:CO30" si="66">+C25+D25+L25+M25+W25+X25+AF25+AG25+AQ25+AR25+AZ25+BA25+BK25+BL25+BT25+BU25</f>
        <v>40246.761780948837</v>
      </c>
      <c r="CP25" s="414">
        <f t="shared" ref="CP25:CP30" si="67">+E25+F25+N25+O25+Y25+Z25+AH25+AI25+AS25+AT25+BB25+BC25+BM25+BN25+BV25+BW25</f>
        <v>32962.661518346649</v>
      </c>
      <c r="CQ25" s="414">
        <f t="shared" ref="CQ25:CQ30" si="68">+G25+H25+P25+Q25+AA25+AB25+AJ25+AK25+AU25+AV25+BD25+BE25+BO25+BP25+BX25+BY25</f>
        <v>31679.699693000402</v>
      </c>
      <c r="CR25" s="414">
        <f t="shared" ref="CR25:CR30" si="69">+I25+J25+R25+S25+AC25+AD25+AL25+AM25+AW25+AX25+BF25+BG25+BQ25+BR25+BZ25+CA25</f>
        <v>98288.653416017216</v>
      </c>
      <c r="CS25" s="416">
        <f t="shared" ref="CS25:CS30" si="70">SUM(CC25,BI25,AO25,U25)</f>
        <v>203177.7764083131</v>
      </c>
      <c r="CT25" s="319"/>
      <c r="CU25" s="319"/>
      <c r="CV25" s="319"/>
      <c r="CW25" s="319"/>
      <c r="CX25" s="319"/>
    </row>
    <row r="26" spans="1:131" ht="15.75" customHeight="1">
      <c r="A26" s="88" t="s">
        <v>183</v>
      </c>
      <c r="B26" s="300">
        <v>7</v>
      </c>
      <c r="C26" s="231"/>
      <c r="D26" s="231"/>
      <c r="E26" s="231"/>
      <c r="F26" s="231"/>
      <c r="G26" s="231"/>
      <c r="H26" s="231"/>
      <c r="I26" s="231"/>
      <c r="J26" s="231"/>
      <c r="K26" s="412">
        <f t="shared" si="44"/>
        <v>0</v>
      </c>
      <c r="L26" s="417"/>
      <c r="M26" s="231"/>
      <c r="N26" s="231"/>
      <c r="O26" s="231"/>
      <c r="P26" s="231"/>
      <c r="Q26" s="231"/>
      <c r="R26" s="231"/>
      <c r="S26" s="231"/>
      <c r="T26" s="414">
        <f t="shared" si="45"/>
        <v>0</v>
      </c>
      <c r="U26" s="415">
        <f t="shared" si="46"/>
        <v>0</v>
      </c>
      <c r="V26" s="300">
        <v>7</v>
      </c>
      <c r="W26" s="231"/>
      <c r="X26" s="231"/>
      <c r="Y26" s="231"/>
      <c r="Z26" s="231"/>
      <c r="AA26" s="231"/>
      <c r="AB26" s="231"/>
      <c r="AC26" s="231"/>
      <c r="AD26" s="231"/>
      <c r="AE26" s="412">
        <f t="shared" si="47"/>
        <v>0</v>
      </c>
      <c r="AF26" s="417"/>
      <c r="AG26" s="231"/>
      <c r="AH26" s="231"/>
      <c r="AI26" s="231"/>
      <c r="AJ26" s="231"/>
      <c r="AK26" s="231"/>
      <c r="AL26" s="231"/>
      <c r="AM26" s="231"/>
      <c r="AN26" s="414">
        <f t="shared" si="48"/>
        <v>0</v>
      </c>
      <c r="AO26" s="415">
        <f t="shared" si="49"/>
        <v>0</v>
      </c>
      <c r="AP26" s="300">
        <v>7</v>
      </c>
      <c r="AQ26" s="231"/>
      <c r="AR26" s="231"/>
      <c r="AS26" s="231"/>
      <c r="AT26" s="231"/>
      <c r="AU26" s="231"/>
      <c r="AV26" s="231"/>
      <c r="AW26" s="231"/>
      <c r="AX26" s="231"/>
      <c r="AY26" s="412">
        <f t="shared" si="50"/>
        <v>0</v>
      </c>
      <c r="AZ26" s="417"/>
      <c r="BA26" s="231"/>
      <c r="BB26" s="231"/>
      <c r="BC26" s="231"/>
      <c r="BD26" s="231"/>
      <c r="BE26" s="231"/>
      <c r="BF26" s="231"/>
      <c r="BG26" s="231"/>
      <c r="BH26" s="414">
        <f t="shared" si="51"/>
        <v>0</v>
      </c>
      <c r="BI26" s="415">
        <f t="shared" si="52"/>
        <v>0</v>
      </c>
      <c r="BJ26" s="300">
        <v>7</v>
      </c>
      <c r="BK26" s="231"/>
      <c r="BL26" s="231"/>
      <c r="BM26" s="231"/>
      <c r="BN26" s="231"/>
      <c r="BO26" s="231"/>
      <c r="BP26" s="231"/>
      <c r="BQ26" s="231"/>
      <c r="BR26" s="231"/>
      <c r="BS26" s="412">
        <f t="shared" si="53"/>
        <v>0</v>
      </c>
      <c r="BT26" s="417"/>
      <c r="BU26" s="231"/>
      <c r="BV26" s="231"/>
      <c r="BW26" s="231"/>
      <c r="BX26" s="231"/>
      <c r="BY26" s="231"/>
      <c r="BZ26" s="231"/>
      <c r="CA26" s="231"/>
      <c r="CB26" s="414">
        <f t="shared" si="54"/>
        <v>0</v>
      </c>
      <c r="CC26" s="415">
        <f t="shared" si="55"/>
        <v>0</v>
      </c>
      <c r="CD26" s="300">
        <v>7</v>
      </c>
      <c r="CE26" s="414">
        <f t="shared" si="56"/>
        <v>0</v>
      </c>
      <c r="CF26" s="414">
        <f t="shared" si="57"/>
        <v>0</v>
      </c>
      <c r="CG26" s="414">
        <f t="shared" si="58"/>
        <v>0</v>
      </c>
      <c r="CH26" s="414">
        <f t="shared" si="59"/>
        <v>0</v>
      </c>
      <c r="CI26" s="416">
        <f t="shared" si="60"/>
        <v>0</v>
      </c>
      <c r="CJ26" s="414">
        <f t="shared" si="61"/>
        <v>0</v>
      </c>
      <c r="CK26" s="414">
        <f t="shared" si="62"/>
        <v>0</v>
      </c>
      <c r="CL26" s="414">
        <f t="shared" si="63"/>
        <v>0</v>
      </c>
      <c r="CM26" s="414">
        <f t="shared" si="64"/>
        <v>0</v>
      </c>
      <c r="CN26" s="416">
        <f t="shared" si="65"/>
        <v>0</v>
      </c>
      <c r="CO26" s="414">
        <f t="shared" si="66"/>
        <v>0</v>
      </c>
      <c r="CP26" s="414">
        <f t="shared" si="67"/>
        <v>0</v>
      </c>
      <c r="CQ26" s="414">
        <f t="shared" si="68"/>
        <v>0</v>
      </c>
      <c r="CR26" s="414">
        <f t="shared" si="69"/>
        <v>0</v>
      </c>
      <c r="CS26" s="416">
        <f t="shared" si="70"/>
        <v>0</v>
      </c>
      <c r="CT26" s="319"/>
      <c r="CV26" s="319"/>
      <c r="CX26" s="319"/>
    </row>
    <row r="27" spans="1:131" ht="15.75" customHeight="1">
      <c r="A27" s="88" t="s">
        <v>185</v>
      </c>
      <c r="B27" s="300">
        <v>8</v>
      </c>
      <c r="C27" s="231"/>
      <c r="D27" s="231"/>
      <c r="E27" s="231"/>
      <c r="F27" s="231"/>
      <c r="G27" s="231"/>
      <c r="H27" s="231"/>
      <c r="I27" s="231"/>
      <c r="J27" s="231"/>
      <c r="K27" s="412">
        <f t="shared" si="44"/>
        <v>0</v>
      </c>
      <c r="L27" s="417"/>
      <c r="M27" s="231"/>
      <c r="N27" s="231"/>
      <c r="O27" s="231"/>
      <c r="P27" s="231"/>
      <c r="Q27" s="231"/>
      <c r="R27" s="231"/>
      <c r="S27" s="231"/>
      <c r="T27" s="414">
        <f t="shared" si="45"/>
        <v>0</v>
      </c>
      <c r="U27" s="415">
        <f t="shared" si="46"/>
        <v>0</v>
      </c>
      <c r="V27" s="300">
        <v>8</v>
      </c>
      <c r="W27" s="231"/>
      <c r="X27" s="231"/>
      <c r="Y27" s="231"/>
      <c r="Z27" s="231"/>
      <c r="AA27" s="231"/>
      <c r="AB27" s="231"/>
      <c r="AC27" s="231"/>
      <c r="AD27" s="231"/>
      <c r="AE27" s="412">
        <f t="shared" si="47"/>
        <v>0</v>
      </c>
      <c r="AF27" s="417"/>
      <c r="AG27" s="231"/>
      <c r="AH27" s="231"/>
      <c r="AI27" s="231"/>
      <c r="AJ27" s="231"/>
      <c r="AK27" s="231"/>
      <c r="AL27" s="231"/>
      <c r="AM27" s="231"/>
      <c r="AN27" s="414">
        <f t="shared" si="48"/>
        <v>0</v>
      </c>
      <c r="AO27" s="415">
        <f t="shared" si="49"/>
        <v>0</v>
      </c>
      <c r="AP27" s="300">
        <v>8</v>
      </c>
      <c r="AQ27" s="231"/>
      <c r="AR27" s="231"/>
      <c r="AS27" s="231"/>
      <c r="AT27" s="231"/>
      <c r="AU27" s="231"/>
      <c r="AV27" s="231"/>
      <c r="AW27" s="231"/>
      <c r="AX27" s="231"/>
      <c r="AY27" s="412">
        <f t="shared" si="50"/>
        <v>0</v>
      </c>
      <c r="AZ27" s="417"/>
      <c r="BA27" s="231"/>
      <c r="BB27" s="231"/>
      <c r="BC27" s="231"/>
      <c r="BD27" s="231"/>
      <c r="BE27" s="231"/>
      <c r="BF27" s="231"/>
      <c r="BG27" s="231"/>
      <c r="BH27" s="414">
        <f t="shared" si="51"/>
        <v>0</v>
      </c>
      <c r="BI27" s="415">
        <f t="shared" si="52"/>
        <v>0</v>
      </c>
      <c r="BJ27" s="300">
        <v>8</v>
      </c>
      <c r="BK27" s="231"/>
      <c r="BL27" s="231"/>
      <c r="BM27" s="231"/>
      <c r="BN27" s="231"/>
      <c r="BO27" s="231"/>
      <c r="BP27" s="231"/>
      <c r="BQ27" s="231"/>
      <c r="BR27" s="231"/>
      <c r="BS27" s="412">
        <f t="shared" si="53"/>
        <v>0</v>
      </c>
      <c r="BT27" s="417"/>
      <c r="BU27" s="231"/>
      <c r="BV27" s="231"/>
      <c r="BW27" s="231"/>
      <c r="BX27" s="231"/>
      <c r="BY27" s="231"/>
      <c r="BZ27" s="231"/>
      <c r="CA27" s="231"/>
      <c r="CB27" s="414">
        <f t="shared" si="54"/>
        <v>0</v>
      </c>
      <c r="CC27" s="415">
        <f t="shared" si="55"/>
        <v>0</v>
      </c>
      <c r="CD27" s="300">
        <v>8</v>
      </c>
      <c r="CE27" s="414">
        <f t="shared" si="56"/>
        <v>0</v>
      </c>
      <c r="CF27" s="414">
        <f t="shared" si="57"/>
        <v>0</v>
      </c>
      <c r="CG27" s="414">
        <f t="shared" si="58"/>
        <v>0</v>
      </c>
      <c r="CH27" s="414">
        <f t="shared" si="59"/>
        <v>0</v>
      </c>
      <c r="CI27" s="416">
        <f t="shared" si="60"/>
        <v>0</v>
      </c>
      <c r="CJ27" s="414">
        <f t="shared" si="61"/>
        <v>0</v>
      </c>
      <c r="CK27" s="414">
        <f t="shared" si="62"/>
        <v>0</v>
      </c>
      <c r="CL27" s="414">
        <f t="shared" si="63"/>
        <v>0</v>
      </c>
      <c r="CM27" s="414">
        <f t="shared" si="64"/>
        <v>0</v>
      </c>
      <c r="CN27" s="416">
        <f t="shared" si="65"/>
        <v>0</v>
      </c>
      <c r="CO27" s="414">
        <f t="shared" si="66"/>
        <v>0</v>
      </c>
      <c r="CP27" s="414">
        <f t="shared" si="67"/>
        <v>0</v>
      </c>
      <c r="CQ27" s="414">
        <f t="shared" si="68"/>
        <v>0</v>
      </c>
      <c r="CR27" s="414">
        <f t="shared" si="69"/>
        <v>0</v>
      </c>
      <c r="CS27" s="416">
        <f t="shared" si="70"/>
        <v>0</v>
      </c>
      <c r="CT27" s="319"/>
      <c r="CV27" s="319"/>
      <c r="CX27" s="319"/>
    </row>
    <row r="28" spans="1:131" ht="15.75" customHeight="1">
      <c r="A28" s="88" t="s">
        <v>187</v>
      </c>
      <c r="B28" s="300">
        <v>9</v>
      </c>
      <c r="C28" s="231"/>
      <c r="D28" s="231"/>
      <c r="E28" s="231"/>
      <c r="F28" s="231"/>
      <c r="G28" s="231"/>
      <c r="H28" s="231"/>
      <c r="I28" s="231"/>
      <c r="J28" s="231"/>
      <c r="K28" s="412">
        <f t="shared" si="44"/>
        <v>0</v>
      </c>
      <c r="L28" s="417"/>
      <c r="M28" s="231"/>
      <c r="N28" s="231"/>
      <c r="O28" s="231"/>
      <c r="P28" s="231"/>
      <c r="Q28" s="231"/>
      <c r="R28" s="231"/>
      <c r="S28" s="231"/>
      <c r="T28" s="414">
        <f t="shared" si="45"/>
        <v>0</v>
      </c>
      <c r="U28" s="415">
        <f t="shared" si="46"/>
        <v>0</v>
      </c>
      <c r="V28" s="300">
        <v>9</v>
      </c>
      <c r="W28" s="231"/>
      <c r="X28" s="231"/>
      <c r="Y28" s="231"/>
      <c r="Z28" s="231"/>
      <c r="AA28" s="231"/>
      <c r="AB28" s="231"/>
      <c r="AC28" s="231"/>
      <c r="AD28" s="231"/>
      <c r="AE28" s="412">
        <f t="shared" si="47"/>
        <v>0</v>
      </c>
      <c r="AF28" s="417"/>
      <c r="AG28" s="231"/>
      <c r="AH28" s="231"/>
      <c r="AI28" s="231"/>
      <c r="AJ28" s="231"/>
      <c r="AK28" s="231"/>
      <c r="AL28" s="231"/>
      <c r="AM28" s="231"/>
      <c r="AN28" s="414">
        <f t="shared" si="48"/>
        <v>0</v>
      </c>
      <c r="AO28" s="415">
        <f t="shared" si="49"/>
        <v>0</v>
      </c>
      <c r="AP28" s="300">
        <v>9</v>
      </c>
      <c r="AQ28" s="231"/>
      <c r="AR28" s="231"/>
      <c r="AS28" s="231"/>
      <c r="AT28" s="231"/>
      <c r="AU28" s="231"/>
      <c r="AV28" s="231"/>
      <c r="AW28" s="231"/>
      <c r="AX28" s="231"/>
      <c r="AY28" s="412">
        <f t="shared" si="50"/>
        <v>0</v>
      </c>
      <c r="AZ28" s="417"/>
      <c r="BA28" s="231"/>
      <c r="BB28" s="231"/>
      <c r="BC28" s="231"/>
      <c r="BD28" s="231"/>
      <c r="BE28" s="231"/>
      <c r="BF28" s="231"/>
      <c r="BG28" s="231"/>
      <c r="BH28" s="414">
        <f t="shared" si="51"/>
        <v>0</v>
      </c>
      <c r="BI28" s="415">
        <f t="shared" si="52"/>
        <v>0</v>
      </c>
      <c r="BJ28" s="300">
        <v>9</v>
      </c>
      <c r="BK28" s="231"/>
      <c r="BL28" s="231"/>
      <c r="BM28" s="231"/>
      <c r="BN28" s="231"/>
      <c r="BO28" s="231"/>
      <c r="BP28" s="231"/>
      <c r="BQ28" s="231"/>
      <c r="BR28" s="231"/>
      <c r="BS28" s="412">
        <f t="shared" si="53"/>
        <v>0</v>
      </c>
      <c r="BT28" s="417"/>
      <c r="BU28" s="231"/>
      <c r="BV28" s="231"/>
      <c r="BW28" s="231"/>
      <c r="BX28" s="231"/>
      <c r="BY28" s="231"/>
      <c r="BZ28" s="231"/>
      <c r="CA28" s="231"/>
      <c r="CB28" s="414">
        <f t="shared" si="54"/>
        <v>0</v>
      </c>
      <c r="CC28" s="415">
        <f t="shared" si="55"/>
        <v>0</v>
      </c>
      <c r="CD28" s="300">
        <v>9</v>
      </c>
      <c r="CE28" s="414">
        <f t="shared" si="56"/>
        <v>0</v>
      </c>
      <c r="CF28" s="414">
        <f t="shared" si="57"/>
        <v>0</v>
      </c>
      <c r="CG28" s="414">
        <f t="shared" si="58"/>
        <v>0</v>
      </c>
      <c r="CH28" s="414">
        <f t="shared" si="59"/>
        <v>0</v>
      </c>
      <c r="CI28" s="416">
        <f t="shared" si="60"/>
        <v>0</v>
      </c>
      <c r="CJ28" s="414">
        <f t="shared" si="61"/>
        <v>0</v>
      </c>
      <c r="CK28" s="414">
        <f t="shared" si="62"/>
        <v>0</v>
      </c>
      <c r="CL28" s="414">
        <f t="shared" si="63"/>
        <v>0</v>
      </c>
      <c r="CM28" s="414">
        <f t="shared" si="64"/>
        <v>0</v>
      </c>
      <c r="CN28" s="416">
        <f t="shared" si="65"/>
        <v>0</v>
      </c>
      <c r="CO28" s="414">
        <f t="shared" si="66"/>
        <v>0</v>
      </c>
      <c r="CP28" s="414">
        <f t="shared" si="67"/>
        <v>0</v>
      </c>
      <c r="CQ28" s="414">
        <f t="shared" si="68"/>
        <v>0</v>
      </c>
      <c r="CR28" s="414">
        <f t="shared" si="69"/>
        <v>0</v>
      </c>
      <c r="CS28" s="416">
        <f t="shared" si="70"/>
        <v>0</v>
      </c>
      <c r="CT28" s="319"/>
      <c r="CV28" s="319"/>
      <c r="CX28" s="319"/>
    </row>
    <row r="29" spans="1:131" ht="15.75" customHeight="1">
      <c r="A29" s="88" t="s">
        <v>189</v>
      </c>
      <c r="B29" s="300">
        <v>10</v>
      </c>
      <c r="C29" s="231">
        <v>0</v>
      </c>
      <c r="D29" s="231">
        <v>0</v>
      </c>
      <c r="E29" s="231">
        <v>0</v>
      </c>
      <c r="F29" s="231">
        <v>0</v>
      </c>
      <c r="G29" s="231">
        <v>0</v>
      </c>
      <c r="H29" s="231">
        <v>0</v>
      </c>
      <c r="I29" s="231">
        <v>0</v>
      </c>
      <c r="J29" s="231">
        <v>0</v>
      </c>
      <c r="K29" s="412">
        <f t="shared" si="44"/>
        <v>0</v>
      </c>
      <c r="L29" s="417">
        <v>0</v>
      </c>
      <c r="M29" s="231">
        <v>14424.26348072556</v>
      </c>
      <c r="N29" s="231">
        <v>0</v>
      </c>
      <c r="O29" s="231">
        <v>15364.645653166142</v>
      </c>
      <c r="P29" s="231">
        <v>0</v>
      </c>
      <c r="Q29" s="231">
        <v>16093.337525810675</v>
      </c>
      <c r="R29" s="231">
        <v>0</v>
      </c>
      <c r="S29" s="231">
        <v>16861.320278459072</v>
      </c>
      <c r="T29" s="414">
        <f t="shared" si="45"/>
        <v>62743.566938161443</v>
      </c>
      <c r="U29" s="415">
        <f t="shared" si="46"/>
        <v>62743.566938161443</v>
      </c>
      <c r="V29" s="300">
        <v>10</v>
      </c>
      <c r="W29" s="231">
        <v>0</v>
      </c>
      <c r="X29" s="231">
        <v>0</v>
      </c>
      <c r="Y29" s="231">
        <v>0</v>
      </c>
      <c r="Z29" s="231">
        <v>0</v>
      </c>
      <c r="AA29" s="231">
        <v>0</v>
      </c>
      <c r="AB29" s="231">
        <v>0</v>
      </c>
      <c r="AC29" s="231">
        <v>0</v>
      </c>
      <c r="AD29" s="231">
        <v>0</v>
      </c>
      <c r="AE29" s="412">
        <f t="shared" si="47"/>
        <v>0</v>
      </c>
      <c r="AF29" s="417">
        <v>0</v>
      </c>
      <c r="AG29" s="231">
        <v>6019.2972055826549</v>
      </c>
      <c r="AH29" s="231">
        <v>0</v>
      </c>
      <c r="AI29" s="231">
        <v>4865.1409214110117</v>
      </c>
      <c r="AJ29" s="231">
        <v>0</v>
      </c>
      <c r="AK29" s="231">
        <v>4125.7016234062794</v>
      </c>
      <c r="AL29" s="231">
        <v>0</v>
      </c>
      <c r="AM29" s="231">
        <v>4391.5440770828636</v>
      </c>
      <c r="AN29" s="414">
        <f t="shared" si="48"/>
        <v>19401.683827482811</v>
      </c>
      <c r="AO29" s="415">
        <f t="shared" si="49"/>
        <v>19401.683827482811</v>
      </c>
      <c r="AP29" s="300">
        <v>10</v>
      </c>
      <c r="AQ29" s="231">
        <v>0</v>
      </c>
      <c r="AR29" s="231">
        <v>0</v>
      </c>
      <c r="AS29" s="231">
        <v>0</v>
      </c>
      <c r="AT29" s="231">
        <v>0</v>
      </c>
      <c r="AU29" s="231">
        <v>0</v>
      </c>
      <c r="AV29" s="231">
        <v>0</v>
      </c>
      <c r="AW29" s="231">
        <v>0</v>
      </c>
      <c r="AX29" s="231">
        <v>0</v>
      </c>
      <c r="AY29" s="412">
        <f t="shared" si="50"/>
        <v>0</v>
      </c>
      <c r="AZ29" s="417">
        <v>0</v>
      </c>
      <c r="BA29" s="231">
        <v>85889.909852967525</v>
      </c>
      <c r="BB29" s="231">
        <v>0</v>
      </c>
      <c r="BC29" s="231">
        <v>78986.249913006599</v>
      </c>
      <c r="BD29" s="231">
        <v>0</v>
      </c>
      <c r="BE29" s="231">
        <v>91418.530033360497</v>
      </c>
      <c r="BF29" s="231">
        <v>0</v>
      </c>
      <c r="BG29" s="231">
        <v>96224.361147230491</v>
      </c>
      <c r="BH29" s="414">
        <f t="shared" si="51"/>
        <v>352519.05094656511</v>
      </c>
      <c r="BI29" s="415">
        <f t="shared" si="52"/>
        <v>352519.05094656511</v>
      </c>
      <c r="BJ29" s="300">
        <v>10</v>
      </c>
      <c r="BK29" s="231">
        <v>0</v>
      </c>
      <c r="BL29" s="231">
        <v>0</v>
      </c>
      <c r="BM29" s="231">
        <v>0</v>
      </c>
      <c r="BN29" s="231">
        <v>0</v>
      </c>
      <c r="BO29" s="231">
        <v>0</v>
      </c>
      <c r="BP29" s="231">
        <v>0</v>
      </c>
      <c r="BQ29" s="231">
        <v>0</v>
      </c>
      <c r="BR29" s="231">
        <v>0</v>
      </c>
      <c r="BS29" s="412">
        <f t="shared" si="53"/>
        <v>0</v>
      </c>
      <c r="BT29" s="417">
        <v>0</v>
      </c>
      <c r="BU29" s="231">
        <v>6032.37114412554</v>
      </c>
      <c r="BV29" s="231">
        <v>0</v>
      </c>
      <c r="BW29" s="231">
        <v>5367.6164730111977</v>
      </c>
      <c r="BX29" s="231">
        <v>0</v>
      </c>
      <c r="BY29" s="231">
        <v>4843.2604503708626</v>
      </c>
      <c r="BZ29" s="231">
        <v>0</v>
      </c>
      <c r="CA29" s="231">
        <v>4030.3371497910302</v>
      </c>
      <c r="CB29" s="414">
        <f t="shared" si="54"/>
        <v>20273.585217298631</v>
      </c>
      <c r="CC29" s="415">
        <f t="shared" si="55"/>
        <v>20273.585217298631</v>
      </c>
      <c r="CD29" s="300">
        <v>10</v>
      </c>
      <c r="CE29" s="414">
        <f t="shared" si="56"/>
        <v>0</v>
      </c>
      <c r="CF29" s="414">
        <f t="shared" si="57"/>
        <v>0</v>
      </c>
      <c r="CG29" s="414">
        <f t="shared" si="58"/>
        <v>0</v>
      </c>
      <c r="CH29" s="414">
        <f t="shared" si="59"/>
        <v>0</v>
      </c>
      <c r="CI29" s="416">
        <f t="shared" si="60"/>
        <v>0</v>
      </c>
      <c r="CJ29" s="414">
        <f t="shared" si="61"/>
        <v>112365.84168340128</v>
      </c>
      <c r="CK29" s="414">
        <f t="shared" si="62"/>
        <v>104583.65296059495</v>
      </c>
      <c r="CL29" s="414">
        <f t="shared" si="63"/>
        <v>116480.82963294831</v>
      </c>
      <c r="CM29" s="414">
        <f t="shared" si="64"/>
        <v>121507.56265256346</v>
      </c>
      <c r="CN29" s="416">
        <f t="shared" si="65"/>
        <v>454937.88692950801</v>
      </c>
      <c r="CO29" s="414">
        <f t="shared" si="66"/>
        <v>112365.84168340128</v>
      </c>
      <c r="CP29" s="414">
        <f t="shared" si="67"/>
        <v>104583.65296059495</v>
      </c>
      <c r="CQ29" s="414">
        <f t="shared" si="68"/>
        <v>116480.82963294831</v>
      </c>
      <c r="CR29" s="414">
        <f t="shared" si="69"/>
        <v>121507.56265256346</v>
      </c>
      <c r="CS29" s="416">
        <f t="shared" si="70"/>
        <v>454937.88692950801</v>
      </c>
      <c r="CT29" s="319"/>
      <c r="CV29" s="319"/>
      <c r="CX29" s="319"/>
    </row>
    <row r="30" spans="1:131" ht="15.75" customHeight="1">
      <c r="A30" s="135" t="s">
        <v>191</v>
      </c>
      <c r="B30" s="300">
        <v>11</v>
      </c>
      <c r="C30" s="137">
        <f t="shared" ref="C30:J30" si="71">SUM(C25:C29)</f>
        <v>0</v>
      </c>
      <c r="D30" s="137">
        <f t="shared" si="71"/>
        <v>0</v>
      </c>
      <c r="E30" s="137">
        <f t="shared" si="71"/>
        <v>0</v>
      </c>
      <c r="F30" s="137">
        <f t="shared" si="71"/>
        <v>0</v>
      </c>
      <c r="G30" s="137">
        <f t="shared" si="71"/>
        <v>0</v>
      </c>
      <c r="H30" s="137">
        <f t="shared" si="71"/>
        <v>0</v>
      </c>
      <c r="I30" s="137">
        <f t="shared" si="71"/>
        <v>0</v>
      </c>
      <c r="J30" s="137">
        <f t="shared" si="71"/>
        <v>0</v>
      </c>
      <c r="K30" s="412">
        <f t="shared" si="44"/>
        <v>0</v>
      </c>
      <c r="L30" s="217">
        <f t="shared" ref="L30:S30" si="72">SUM(L25:L29)</f>
        <v>0</v>
      </c>
      <c r="M30" s="137">
        <f t="shared" si="72"/>
        <v>14424.26348072556</v>
      </c>
      <c r="N30" s="137">
        <f t="shared" si="72"/>
        <v>0</v>
      </c>
      <c r="O30" s="137">
        <f t="shared" si="72"/>
        <v>15364.645653166142</v>
      </c>
      <c r="P30" s="137">
        <f t="shared" si="72"/>
        <v>0</v>
      </c>
      <c r="Q30" s="137">
        <f t="shared" si="72"/>
        <v>16093.337525810675</v>
      </c>
      <c r="R30" s="137">
        <f t="shared" si="72"/>
        <v>0</v>
      </c>
      <c r="S30" s="137">
        <f t="shared" si="72"/>
        <v>16861.320278459072</v>
      </c>
      <c r="T30" s="414">
        <f t="shared" si="45"/>
        <v>62743.566938161443</v>
      </c>
      <c r="U30" s="415">
        <f t="shared" si="46"/>
        <v>62743.566938161443</v>
      </c>
      <c r="V30" s="300">
        <v>11</v>
      </c>
      <c r="W30" s="137">
        <f t="shared" ref="W30:AD30" si="73">SUM(W25:W29)</f>
        <v>0</v>
      </c>
      <c r="X30" s="137">
        <f t="shared" si="73"/>
        <v>0</v>
      </c>
      <c r="Y30" s="137">
        <f t="shared" si="73"/>
        <v>0</v>
      </c>
      <c r="Z30" s="137">
        <f t="shared" si="73"/>
        <v>0</v>
      </c>
      <c r="AA30" s="137">
        <f t="shared" si="73"/>
        <v>0</v>
      </c>
      <c r="AB30" s="137">
        <f t="shared" si="73"/>
        <v>0</v>
      </c>
      <c r="AC30" s="137">
        <f t="shared" si="73"/>
        <v>0</v>
      </c>
      <c r="AD30" s="137">
        <f t="shared" si="73"/>
        <v>0</v>
      </c>
      <c r="AE30" s="412">
        <f t="shared" si="47"/>
        <v>0</v>
      </c>
      <c r="AF30" s="217">
        <f t="shared" ref="AF30:AM30" si="74">SUM(AF25:AF29)</f>
        <v>0</v>
      </c>
      <c r="AG30" s="137">
        <f t="shared" si="74"/>
        <v>6019.2972055826549</v>
      </c>
      <c r="AH30" s="137">
        <f t="shared" si="74"/>
        <v>0</v>
      </c>
      <c r="AI30" s="137">
        <f t="shared" si="74"/>
        <v>4865.1409214110117</v>
      </c>
      <c r="AJ30" s="137">
        <f t="shared" si="74"/>
        <v>0</v>
      </c>
      <c r="AK30" s="137">
        <f t="shared" si="74"/>
        <v>4125.7016234062794</v>
      </c>
      <c r="AL30" s="137">
        <f t="shared" si="74"/>
        <v>0</v>
      </c>
      <c r="AM30" s="137">
        <f t="shared" si="74"/>
        <v>4391.5440770828636</v>
      </c>
      <c r="AN30" s="414">
        <f t="shared" si="48"/>
        <v>19401.683827482811</v>
      </c>
      <c r="AO30" s="415">
        <f t="shared" si="49"/>
        <v>19401.683827482811</v>
      </c>
      <c r="AP30" s="300">
        <v>11</v>
      </c>
      <c r="AQ30" s="137">
        <f t="shared" ref="AQ30:AX30" si="75">SUM(AQ25:AQ29)</f>
        <v>0</v>
      </c>
      <c r="AR30" s="137">
        <f t="shared" si="75"/>
        <v>0</v>
      </c>
      <c r="AS30" s="137">
        <f t="shared" si="75"/>
        <v>0</v>
      </c>
      <c r="AT30" s="137">
        <f t="shared" si="75"/>
        <v>0</v>
      </c>
      <c r="AU30" s="137">
        <f t="shared" si="75"/>
        <v>0</v>
      </c>
      <c r="AV30" s="137">
        <f t="shared" si="75"/>
        <v>0</v>
      </c>
      <c r="AW30" s="137">
        <f t="shared" si="75"/>
        <v>0</v>
      </c>
      <c r="AX30" s="137">
        <f t="shared" si="75"/>
        <v>0</v>
      </c>
      <c r="AY30" s="412">
        <f t="shared" si="50"/>
        <v>0</v>
      </c>
      <c r="AZ30" s="217">
        <f t="shared" ref="AZ30:BG30" si="76">SUM(AZ25:AZ29)</f>
        <v>0</v>
      </c>
      <c r="BA30" s="137">
        <f t="shared" si="76"/>
        <v>85889.909852967525</v>
      </c>
      <c r="BB30" s="137">
        <f t="shared" si="76"/>
        <v>0</v>
      </c>
      <c r="BC30" s="137">
        <f t="shared" si="76"/>
        <v>78986.249913006599</v>
      </c>
      <c r="BD30" s="137">
        <f t="shared" si="76"/>
        <v>0</v>
      </c>
      <c r="BE30" s="137">
        <f t="shared" si="76"/>
        <v>91418.530033360497</v>
      </c>
      <c r="BF30" s="137">
        <f t="shared" si="76"/>
        <v>0</v>
      </c>
      <c r="BG30" s="137">
        <f t="shared" si="76"/>
        <v>96224.361147230491</v>
      </c>
      <c r="BH30" s="414">
        <f t="shared" si="51"/>
        <v>352519.05094656511</v>
      </c>
      <c r="BI30" s="415">
        <f t="shared" si="52"/>
        <v>352519.05094656511</v>
      </c>
      <c r="BJ30" s="300">
        <v>11</v>
      </c>
      <c r="BK30" s="137">
        <f t="shared" ref="BK30:BR30" si="77">SUM(BK25:BK29)</f>
        <v>4605.9403638361646</v>
      </c>
      <c r="BL30" s="137">
        <f t="shared" si="77"/>
        <v>35640.821417112675</v>
      </c>
      <c r="BM30" s="137">
        <f t="shared" si="77"/>
        <v>4784.4677310011548</v>
      </c>
      <c r="BN30" s="137">
        <f t="shared" si="77"/>
        <v>28178.193787345492</v>
      </c>
      <c r="BO30" s="137">
        <f t="shared" si="77"/>
        <v>5047.8830887348449</v>
      </c>
      <c r="BP30" s="137">
        <f t="shared" si="77"/>
        <v>26631.816604265558</v>
      </c>
      <c r="BQ30" s="137">
        <f t="shared" si="77"/>
        <v>13019.623957850627</v>
      </c>
      <c r="BR30" s="137">
        <f t="shared" si="77"/>
        <v>85269.029458166595</v>
      </c>
      <c r="BS30" s="412">
        <f t="shared" si="53"/>
        <v>203177.7764083131</v>
      </c>
      <c r="BT30" s="217">
        <f t="shared" ref="BT30:CA30" si="78">SUM(BT25:BT29)</f>
        <v>0</v>
      </c>
      <c r="BU30" s="137">
        <f t="shared" si="78"/>
        <v>6032.37114412554</v>
      </c>
      <c r="BV30" s="137">
        <f t="shared" si="78"/>
        <v>0</v>
      </c>
      <c r="BW30" s="137">
        <f t="shared" si="78"/>
        <v>5367.6164730111977</v>
      </c>
      <c r="BX30" s="137">
        <f t="shared" si="78"/>
        <v>0</v>
      </c>
      <c r="BY30" s="137">
        <f t="shared" si="78"/>
        <v>4843.2604503708626</v>
      </c>
      <c r="BZ30" s="137">
        <f t="shared" si="78"/>
        <v>0</v>
      </c>
      <c r="CA30" s="137">
        <f t="shared" si="78"/>
        <v>4030.3371497910302</v>
      </c>
      <c r="CB30" s="414">
        <f t="shared" si="54"/>
        <v>20273.585217298631</v>
      </c>
      <c r="CC30" s="415">
        <f t="shared" si="55"/>
        <v>223451.36162561172</v>
      </c>
      <c r="CD30" s="300">
        <v>11</v>
      </c>
      <c r="CE30" s="414">
        <f t="shared" si="56"/>
        <v>40246.761780948837</v>
      </c>
      <c r="CF30" s="414">
        <f t="shared" si="57"/>
        <v>32962.661518346649</v>
      </c>
      <c r="CG30" s="414">
        <f t="shared" si="58"/>
        <v>31679.699693000402</v>
      </c>
      <c r="CH30" s="414">
        <f t="shared" si="59"/>
        <v>98288.653416017216</v>
      </c>
      <c r="CI30" s="416">
        <f t="shared" si="60"/>
        <v>203177.7764083131</v>
      </c>
      <c r="CJ30" s="414">
        <f t="shared" si="61"/>
        <v>112365.84168340128</v>
      </c>
      <c r="CK30" s="414">
        <f t="shared" si="62"/>
        <v>104583.65296059495</v>
      </c>
      <c r="CL30" s="414">
        <f t="shared" si="63"/>
        <v>116480.82963294831</v>
      </c>
      <c r="CM30" s="414">
        <f t="shared" si="64"/>
        <v>121507.56265256346</v>
      </c>
      <c r="CN30" s="416">
        <f t="shared" si="65"/>
        <v>454937.88692950801</v>
      </c>
      <c r="CO30" s="414">
        <f t="shared" si="66"/>
        <v>152612.6034643501</v>
      </c>
      <c r="CP30" s="414">
        <f t="shared" si="67"/>
        <v>137546.31447894161</v>
      </c>
      <c r="CQ30" s="414">
        <f t="shared" si="68"/>
        <v>148160.52932594874</v>
      </c>
      <c r="CR30" s="414">
        <f t="shared" si="69"/>
        <v>219796.21606858069</v>
      </c>
      <c r="CS30" s="416">
        <f t="shared" si="70"/>
        <v>658115.66333782114</v>
      </c>
    </row>
    <row r="31" spans="1:131"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row>
    <row r="32" spans="1:131" s="14" customFormat="1" ht="15.75" customHeight="1">
      <c r="A32" s="16" t="s">
        <v>193</v>
      </c>
      <c r="B32" s="300">
        <v>12</v>
      </c>
      <c r="C32" s="216">
        <f t="shared" ref="C32:U32" si="79">C23+C30</f>
        <v>49112.26</v>
      </c>
      <c r="D32" s="216">
        <f t="shared" si="79"/>
        <v>170360.25</v>
      </c>
      <c r="E32" s="216">
        <f t="shared" si="79"/>
        <v>48229.63</v>
      </c>
      <c r="F32" s="216">
        <f t="shared" si="79"/>
        <v>184600.87</v>
      </c>
      <c r="G32" s="216">
        <f t="shared" si="79"/>
        <v>50462.61</v>
      </c>
      <c r="H32" s="216">
        <f t="shared" si="79"/>
        <v>209230.730000001</v>
      </c>
      <c r="I32" s="216">
        <f t="shared" si="79"/>
        <v>57865.09</v>
      </c>
      <c r="J32" s="216">
        <f t="shared" si="79"/>
        <v>221959.320000001</v>
      </c>
      <c r="K32" s="221">
        <f t="shared" si="79"/>
        <v>991820.76000000199</v>
      </c>
      <c r="L32" s="218">
        <f t="shared" si="79"/>
        <v>0</v>
      </c>
      <c r="M32" s="216">
        <f t="shared" si="79"/>
        <v>521001.09307423822</v>
      </c>
      <c r="N32" s="216">
        <f t="shared" si="79"/>
        <v>0</v>
      </c>
      <c r="O32" s="216">
        <f t="shared" si="79"/>
        <v>553802.49093846336</v>
      </c>
      <c r="P32" s="216">
        <f t="shared" si="79"/>
        <v>0</v>
      </c>
      <c r="Q32" s="216">
        <f t="shared" si="79"/>
        <v>591255.99458924797</v>
      </c>
      <c r="R32" s="216">
        <f t="shared" si="79"/>
        <v>0</v>
      </c>
      <c r="S32" s="216">
        <f t="shared" si="79"/>
        <v>642635.86039658426</v>
      </c>
      <c r="T32" s="219">
        <f t="shared" si="79"/>
        <v>2308695.4389985339</v>
      </c>
      <c r="U32" s="218">
        <f t="shared" si="79"/>
        <v>3300516.198998536</v>
      </c>
      <c r="V32" s="300">
        <v>12</v>
      </c>
      <c r="W32" s="216">
        <f t="shared" ref="W32:AO32" si="80">W23+W30</f>
        <v>12651.58</v>
      </c>
      <c r="X32" s="216">
        <f t="shared" si="80"/>
        <v>115584</v>
      </c>
      <c r="Y32" s="216">
        <f t="shared" si="80"/>
        <v>10090.74</v>
      </c>
      <c r="Z32" s="216">
        <f t="shared" si="80"/>
        <v>105264</v>
      </c>
      <c r="AA32" s="216">
        <f t="shared" si="80"/>
        <v>24080.22</v>
      </c>
      <c r="AB32" s="216">
        <f t="shared" si="80"/>
        <v>90816</v>
      </c>
      <c r="AC32" s="216">
        <f t="shared" si="80"/>
        <v>24080.22</v>
      </c>
      <c r="AD32" s="216">
        <f t="shared" si="80"/>
        <v>94944</v>
      </c>
      <c r="AE32" s="221">
        <f t="shared" si="80"/>
        <v>477510.76</v>
      </c>
      <c r="AF32" s="218">
        <f t="shared" si="80"/>
        <v>0</v>
      </c>
      <c r="AG32" s="216">
        <f t="shared" si="80"/>
        <v>220354.00319925966</v>
      </c>
      <c r="AH32" s="216">
        <f t="shared" si="80"/>
        <v>0</v>
      </c>
      <c r="AI32" s="216">
        <f t="shared" si="80"/>
        <v>177891.71349212382</v>
      </c>
      <c r="AJ32" s="216">
        <f t="shared" si="80"/>
        <v>0</v>
      </c>
      <c r="AK32" s="216">
        <f t="shared" si="80"/>
        <v>176715.07936247729</v>
      </c>
      <c r="AL32" s="216">
        <f t="shared" si="80"/>
        <v>0</v>
      </c>
      <c r="AM32" s="216">
        <f t="shared" si="80"/>
        <v>174937.80453460361</v>
      </c>
      <c r="AN32" s="219">
        <f t="shared" si="80"/>
        <v>749898.60058846441</v>
      </c>
      <c r="AO32" s="218">
        <f t="shared" si="80"/>
        <v>1227409.3605884644</v>
      </c>
      <c r="AP32" s="300">
        <v>12</v>
      </c>
      <c r="AQ32" s="216">
        <f t="shared" ref="AQ32:BI32" si="81">AQ23+AQ30</f>
        <v>1454674.9</v>
      </c>
      <c r="AR32" s="216">
        <f t="shared" si="81"/>
        <v>3140181.3500000397</v>
      </c>
      <c r="AS32" s="216">
        <f t="shared" si="81"/>
        <v>1567363.14</v>
      </c>
      <c r="AT32" s="216">
        <f t="shared" si="81"/>
        <v>3350908.2500000498</v>
      </c>
      <c r="AU32" s="216">
        <f t="shared" si="81"/>
        <v>1668885.21</v>
      </c>
      <c r="AV32" s="216">
        <f t="shared" si="81"/>
        <v>3738957.6899999203</v>
      </c>
      <c r="AW32" s="216">
        <f t="shared" si="81"/>
        <v>2395708.61</v>
      </c>
      <c r="AX32" s="216">
        <f t="shared" si="81"/>
        <v>4115056.9399999096</v>
      </c>
      <c r="AY32" s="221">
        <f t="shared" si="81"/>
        <v>21431736.089999914</v>
      </c>
      <c r="AZ32" s="218">
        <f t="shared" si="81"/>
        <v>0</v>
      </c>
      <c r="BA32" s="216">
        <f t="shared" si="81"/>
        <v>3336208.487941334</v>
      </c>
      <c r="BB32" s="216">
        <f t="shared" si="81"/>
        <v>0</v>
      </c>
      <c r="BC32" s="216">
        <f t="shared" si="81"/>
        <v>3195833.3833058565</v>
      </c>
      <c r="BD32" s="216">
        <f t="shared" si="81"/>
        <v>0</v>
      </c>
      <c r="BE32" s="216">
        <f t="shared" si="81"/>
        <v>3564995.1314546545</v>
      </c>
      <c r="BF32" s="216">
        <f t="shared" si="81"/>
        <v>0</v>
      </c>
      <c r="BG32" s="216">
        <f t="shared" si="81"/>
        <v>3739897.0273361811</v>
      </c>
      <c r="BH32" s="219">
        <f t="shared" si="81"/>
        <v>13836934.030038027</v>
      </c>
      <c r="BI32" s="218">
        <f t="shared" si="81"/>
        <v>35268670.120037943</v>
      </c>
      <c r="BJ32" s="300">
        <v>12</v>
      </c>
      <c r="BK32" s="216">
        <f t="shared" ref="BK32:CC32" si="82">BK23+BK30</f>
        <v>64545.040363836168</v>
      </c>
      <c r="BL32" s="216">
        <f t="shared" si="82"/>
        <v>499450.29141711263</v>
      </c>
      <c r="BM32" s="216">
        <f t="shared" si="82"/>
        <v>64723.56773100116</v>
      </c>
      <c r="BN32" s="216">
        <f t="shared" si="82"/>
        <v>381190.41378734552</v>
      </c>
      <c r="BO32" s="216">
        <f t="shared" si="82"/>
        <v>66913.293088734848</v>
      </c>
      <c r="BP32" s="216">
        <f t="shared" si="82"/>
        <v>353023.73660426558</v>
      </c>
      <c r="BQ32" s="216">
        <f t="shared" si="82"/>
        <v>52979.02395785063</v>
      </c>
      <c r="BR32" s="216">
        <f t="shared" si="82"/>
        <v>346973.91945816658</v>
      </c>
      <c r="BS32" s="221">
        <f t="shared" si="82"/>
        <v>1829799.2864083129</v>
      </c>
      <c r="BT32" s="218">
        <f t="shared" si="82"/>
        <v>0</v>
      </c>
      <c r="BU32" s="216">
        <f t="shared" si="82"/>
        <v>219391.77360128539</v>
      </c>
      <c r="BV32" s="216">
        <f t="shared" si="82"/>
        <v>0</v>
      </c>
      <c r="BW32" s="216">
        <f t="shared" si="82"/>
        <v>197570.36279153966</v>
      </c>
      <c r="BX32" s="216">
        <f t="shared" si="82"/>
        <v>0</v>
      </c>
      <c r="BY32" s="216">
        <f t="shared" si="82"/>
        <v>185348.27875185476</v>
      </c>
      <c r="BZ32" s="216">
        <f t="shared" si="82"/>
        <v>0</v>
      </c>
      <c r="CA32" s="216">
        <f t="shared" si="82"/>
        <v>156430.64098570333</v>
      </c>
      <c r="CB32" s="219">
        <f t="shared" si="82"/>
        <v>758741.05613038305</v>
      </c>
      <c r="CC32" s="218">
        <f t="shared" si="82"/>
        <v>2588540.3425386958</v>
      </c>
      <c r="CD32" s="300">
        <v>12</v>
      </c>
      <c r="CE32" s="219">
        <f t="shared" ref="CE32:CH32" si="83">CE23+CE30</f>
        <v>5506559.6717809867</v>
      </c>
      <c r="CF32" s="219">
        <f t="shared" si="83"/>
        <v>5712370.6115183951</v>
      </c>
      <c r="CG32" s="219">
        <f t="shared" si="83"/>
        <v>6202369.4896929208</v>
      </c>
      <c r="CH32" s="219">
        <f t="shared" si="83"/>
        <v>7309567.1234159274</v>
      </c>
      <c r="CI32" s="216">
        <f>SUM(BS32,AY32,AE32,K32)</f>
        <v>24730866.89640823</v>
      </c>
      <c r="CJ32" s="219">
        <f t="shared" ref="CJ32:CM32" si="84">CJ23+CJ30</f>
        <v>4296955.3578161178</v>
      </c>
      <c r="CK32" s="219">
        <f t="shared" si="84"/>
        <v>4125097.9505279833</v>
      </c>
      <c r="CL32" s="219">
        <f t="shared" si="84"/>
        <v>4518314.4841582347</v>
      </c>
      <c r="CM32" s="219">
        <f t="shared" si="84"/>
        <v>4713901.3332530726</v>
      </c>
      <c r="CN32" s="216">
        <f>SUM(BX32,BD32,AJ32,P32)</f>
        <v>0</v>
      </c>
      <c r="CO32" s="219">
        <f t="shared" ref="CO32:CR32" si="85">CO23+CO30</f>
        <v>9803515.0295971036</v>
      </c>
      <c r="CP32" s="219">
        <f t="shared" si="85"/>
        <v>9837468.5620463807</v>
      </c>
      <c r="CQ32" s="219">
        <f t="shared" si="85"/>
        <v>10720683.973851155</v>
      </c>
      <c r="CR32" s="219">
        <f t="shared" si="85"/>
        <v>12023468.456668999</v>
      </c>
      <c r="CS32" s="216">
        <f>SUM(CC32,BI32,AO32,U32)</f>
        <v>42385136.022163637</v>
      </c>
      <c r="CT32" s="317"/>
      <c r="CU32" s="317"/>
      <c r="CV32" s="317"/>
      <c r="CW32" s="317"/>
      <c r="CX32" s="317"/>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8"/>
      <c r="DX32" s="318"/>
      <c r="DY32" s="318"/>
      <c r="DZ32" s="318"/>
      <c r="EA32" s="318"/>
    </row>
    <row r="33" spans="1:102" ht="15.75" customHeight="1">
      <c r="B33" s="193"/>
      <c r="C33" s="178"/>
      <c r="D33" s="178"/>
      <c r="E33" s="178"/>
      <c r="F33" s="178"/>
      <c r="G33" s="178"/>
      <c r="H33" s="178"/>
      <c r="I33" s="178"/>
      <c r="J33" s="178"/>
      <c r="K33" s="381"/>
      <c r="L33" s="382"/>
      <c r="M33" s="178"/>
      <c r="N33" s="178"/>
      <c r="O33" s="178"/>
      <c r="P33" s="178"/>
      <c r="Q33" s="178"/>
      <c r="R33" s="178"/>
      <c r="S33" s="178"/>
      <c r="T33" s="178"/>
      <c r="U33" s="382"/>
      <c r="V33" s="193"/>
      <c r="W33" s="178"/>
      <c r="X33" s="178"/>
      <c r="Y33" s="178"/>
      <c r="Z33" s="178"/>
      <c r="AA33" s="178"/>
      <c r="AB33" s="178"/>
      <c r="AC33" s="178"/>
      <c r="AD33" s="178"/>
      <c r="AE33" s="381"/>
      <c r="AF33" s="382"/>
      <c r="AG33" s="178"/>
      <c r="AH33" s="178"/>
      <c r="AI33" s="178"/>
      <c r="AJ33" s="178"/>
      <c r="AK33" s="178"/>
      <c r="AL33" s="178"/>
      <c r="AM33" s="178"/>
      <c r="AN33" s="178"/>
      <c r="AO33" s="382"/>
      <c r="AP33" s="193"/>
      <c r="AQ33" s="178"/>
      <c r="AR33" s="178"/>
      <c r="AS33" s="178"/>
      <c r="AT33" s="178"/>
      <c r="AU33" s="178"/>
      <c r="AV33" s="178"/>
      <c r="AW33" s="178"/>
      <c r="AX33" s="178"/>
      <c r="AY33" s="381"/>
      <c r="AZ33" s="382"/>
      <c r="BA33" s="178"/>
      <c r="BB33" s="178"/>
      <c r="BC33" s="178"/>
      <c r="BD33" s="178"/>
      <c r="BE33" s="178"/>
      <c r="BF33" s="178"/>
      <c r="BG33" s="178"/>
      <c r="BH33" s="178"/>
      <c r="BI33" s="382"/>
      <c r="BJ33" s="193"/>
      <c r="BK33" s="178"/>
      <c r="BL33" s="178"/>
      <c r="BM33" s="178"/>
      <c r="BN33" s="178"/>
      <c r="BO33" s="178"/>
      <c r="BP33" s="178"/>
      <c r="BQ33" s="178"/>
      <c r="BR33" s="178"/>
      <c r="BS33" s="381"/>
      <c r="BT33" s="382"/>
      <c r="BU33" s="178"/>
      <c r="BV33" s="178"/>
      <c r="BW33" s="178"/>
      <c r="BX33" s="178"/>
      <c r="BY33" s="178"/>
      <c r="BZ33" s="178"/>
      <c r="CA33" s="178"/>
      <c r="CB33" s="178"/>
      <c r="CC33" s="382"/>
      <c r="CD33" s="193"/>
      <c r="CE33" s="178"/>
      <c r="CF33" s="178"/>
      <c r="CG33" s="178"/>
      <c r="CH33" s="178"/>
      <c r="CI33" s="419"/>
      <c r="CJ33" s="178"/>
      <c r="CK33" s="178"/>
      <c r="CL33" s="178"/>
      <c r="CM33" s="178"/>
      <c r="CN33" s="419"/>
      <c r="CO33" s="178"/>
      <c r="CP33" s="178"/>
      <c r="CQ33" s="178"/>
      <c r="CR33" s="178"/>
      <c r="CS33" s="419"/>
      <c r="CT33" s="319"/>
      <c r="CU33" s="319"/>
      <c r="CV33" s="319"/>
      <c r="CW33" s="319"/>
      <c r="CX33" s="319"/>
    </row>
    <row r="34" spans="1:102"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2"/>
      <c r="V34" s="193"/>
      <c r="W34" s="178"/>
      <c r="X34" s="178"/>
      <c r="Y34" s="178"/>
      <c r="Z34" s="178"/>
      <c r="AA34" s="178"/>
      <c r="AB34" s="178"/>
      <c r="AC34" s="178"/>
      <c r="AD34" s="178"/>
      <c r="AE34" s="381"/>
      <c r="AF34" s="382"/>
      <c r="AG34" s="178"/>
      <c r="AH34" s="178"/>
      <c r="AI34" s="178"/>
      <c r="AJ34" s="178"/>
      <c r="AK34" s="178"/>
      <c r="AL34" s="178"/>
      <c r="AM34" s="178"/>
      <c r="AN34" s="178"/>
      <c r="AO34" s="382"/>
      <c r="AP34" s="193"/>
      <c r="AQ34" s="178"/>
      <c r="AR34" s="178"/>
      <c r="AS34" s="178"/>
      <c r="AT34" s="178"/>
      <c r="AU34" s="178"/>
      <c r="AV34" s="178"/>
      <c r="AW34" s="178"/>
      <c r="AX34" s="178"/>
      <c r="AY34" s="381"/>
      <c r="AZ34" s="382"/>
      <c r="BA34" s="178"/>
      <c r="BB34" s="178"/>
      <c r="BC34" s="178"/>
      <c r="BD34" s="178"/>
      <c r="BE34" s="178"/>
      <c r="BF34" s="178"/>
      <c r="BG34" s="178"/>
      <c r="BH34" s="178"/>
      <c r="BI34" s="382"/>
      <c r="BJ34" s="193"/>
      <c r="BK34" s="178"/>
      <c r="BL34" s="178"/>
      <c r="BM34" s="178"/>
      <c r="BN34" s="178"/>
      <c r="BO34" s="178"/>
      <c r="BP34" s="178"/>
      <c r="BQ34" s="178"/>
      <c r="BR34" s="178"/>
      <c r="BS34" s="381"/>
      <c r="BT34" s="382"/>
      <c r="BU34" s="178"/>
      <c r="BV34" s="178"/>
      <c r="BW34" s="178"/>
      <c r="BX34" s="178"/>
      <c r="BY34" s="178"/>
      <c r="BZ34" s="178"/>
      <c r="CA34" s="178"/>
      <c r="CB34" s="178"/>
      <c r="CC34" s="382"/>
      <c r="CD34" s="193"/>
      <c r="CE34" s="178"/>
      <c r="CF34" s="178"/>
      <c r="CG34" s="178"/>
      <c r="CH34" s="178"/>
      <c r="CI34" s="419"/>
      <c r="CJ34" s="178"/>
      <c r="CK34" s="178"/>
      <c r="CL34" s="178"/>
      <c r="CM34" s="178"/>
      <c r="CN34" s="419"/>
      <c r="CO34" s="178"/>
      <c r="CP34" s="178"/>
      <c r="CQ34" s="178"/>
      <c r="CR34" s="178"/>
      <c r="CS34" s="419"/>
      <c r="CT34" s="319"/>
      <c r="CV34" s="319"/>
      <c r="CX34" s="319"/>
    </row>
    <row r="35" spans="1:102" ht="15.75" customHeight="1">
      <c r="A35" s="88" t="s">
        <v>197</v>
      </c>
      <c r="B35" s="300">
        <v>13</v>
      </c>
      <c r="C35" s="231">
        <v>0</v>
      </c>
      <c r="D35" s="231">
        <v>8195.0911659353678</v>
      </c>
      <c r="E35" s="231">
        <v>62480.012766003863</v>
      </c>
      <c r="F35" s="231">
        <v>16368.816360522977</v>
      </c>
      <c r="G35" s="231">
        <v>4628.4468099992609</v>
      </c>
      <c r="H35" s="231">
        <v>8261.1786203987012</v>
      </c>
      <c r="I35" s="231">
        <v>60191.59709453697</v>
      </c>
      <c r="J35" s="231">
        <v>5127.8420930025286</v>
      </c>
      <c r="K35" s="412">
        <f t="shared" ref="K35:K64" si="86">SUM(C35:J35)</f>
        <v>165252.98491039965</v>
      </c>
      <c r="L35" s="417">
        <v>0</v>
      </c>
      <c r="M35" s="231">
        <v>68231.54962440193</v>
      </c>
      <c r="N35" s="231">
        <v>0</v>
      </c>
      <c r="O35" s="231">
        <v>153242.01860734972</v>
      </c>
      <c r="P35" s="231">
        <v>0</v>
      </c>
      <c r="Q35" s="231">
        <v>219449.05112654212</v>
      </c>
      <c r="R35" s="231">
        <v>0</v>
      </c>
      <c r="S35" s="231">
        <v>137782.56294238413</v>
      </c>
      <c r="T35" s="414">
        <f t="shared" ref="T35:T64" si="87">SUM(L35:S35)</f>
        <v>578705.18230067787</v>
      </c>
      <c r="U35" s="415">
        <f t="shared" ref="U35:U64" si="88">SUM(T35,K35)</f>
        <v>743958.16721107753</v>
      </c>
      <c r="V35" s="300">
        <v>13</v>
      </c>
      <c r="W35" s="231">
        <v>0</v>
      </c>
      <c r="X35" s="231">
        <v>4097.5455829676839</v>
      </c>
      <c r="Y35" s="231">
        <v>0</v>
      </c>
      <c r="Z35" s="231">
        <v>3273.7632721045952</v>
      </c>
      <c r="AA35" s="231">
        <v>0</v>
      </c>
      <c r="AB35" s="231">
        <v>0</v>
      </c>
      <c r="AC35" s="231">
        <v>0</v>
      </c>
      <c r="AD35" s="231">
        <v>0</v>
      </c>
      <c r="AE35" s="412">
        <f t="shared" ref="AE35:AE64" si="89">SUM(W35:AD35)</f>
        <v>7371.3088550722787</v>
      </c>
      <c r="AF35" s="417">
        <v>0</v>
      </c>
      <c r="AG35" s="231">
        <v>52831.176603556385</v>
      </c>
      <c r="AH35" s="231">
        <v>0</v>
      </c>
      <c r="AI35" s="231">
        <v>24786.250708378349</v>
      </c>
      <c r="AJ35" s="231">
        <v>0</v>
      </c>
      <c r="AK35" s="231">
        <v>0</v>
      </c>
      <c r="AL35" s="231">
        <v>0</v>
      </c>
      <c r="AM35" s="231">
        <v>12410.355658778197</v>
      </c>
      <c r="AN35" s="414">
        <f t="shared" ref="AN35:AN64" si="90">SUM(AF35:AM35)</f>
        <v>90027.782970712928</v>
      </c>
      <c r="AO35" s="415">
        <f t="shared" ref="AO35:AO64" si="91">SUM(AN35,AE35)</f>
        <v>97399.091825785203</v>
      </c>
      <c r="AP35" s="300">
        <v>13</v>
      </c>
      <c r="AQ35" s="231">
        <v>103176.92876844094</v>
      </c>
      <c r="AR35" s="231">
        <v>41957.184492810156</v>
      </c>
      <c r="AS35" s="231">
        <v>29238.296728384885</v>
      </c>
      <c r="AT35" s="231">
        <v>46755.03651566145</v>
      </c>
      <c r="AU35" s="231">
        <v>43894.284372457616</v>
      </c>
      <c r="AV35" s="231">
        <v>23131.300137116363</v>
      </c>
      <c r="AW35" s="231">
        <v>149058.22123437526</v>
      </c>
      <c r="AX35" s="231">
        <v>29057.771860347661</v>
      </c>
      <c r="AY35" s="412">
        <f t="shared" ref="AY35:AY64" si="92">SUM(AQ35:AX35)</f>
        <v>466269.02410959429</v>
      </c>
      <c r="AZ35" s="417">
        <v>0</v>
      </c>
      <c r="BA35" s="231">
        <v>481101.03769926564</v>
      </c>
      <c r="BB35" s="231">
        <v>0</v>
      </c>
      <c r="BC35" s="231">
        <v>493436.59109387727</v>
      </c>
      <c r="BD35" s="231">
        <v>0</v>
      </c>
      <c r="BE35" s="231">
        <v>573757.49832314497</v>
      </c>
      <c r="BF35" s="231">
        <v>0</v>
      </c>
      <c r="BG35" s="231">
        <v>533056.80082688108</v>
      </c>
      <c r="BH35" s="414">
        <f t="shared" ref="BH35:BH64" si="93">SUM(AZ35:BG35)</f>
        <v>2081351.9279431691</v>
      </c>
      <c r="BI35" s="415">
        <f t="shared" ref="BI35:BI64" si="94">SUM(BH35,AY35)</f>
        <v>2547620.9520527637</v>
      </c>
      <c r="BJ35" s="300">
        <v>13</v>
      </c>
      <c r="BK35" s="231">
        <v>0</v>
      </c>
      <c r="BL35" s="231">
        <v>1365.8485276558947</v>
      </c>
      <c r="BM35" s="231">
        <v>0</v>
      </c>
      <c r="BN35" s="231">
        <v>3273.7632721045952</v>
      </c>
      <c r="BO35" s="231">
        <v>0</v>
      </c>
      <c r="BP35" s="231">
        <v>0</v>
      </c>
      <c r="BQ35" s="231">
        <v>0</v>
      </c>
      <c r="BR35" s="231">
        <v>0</v>
      </c>
      <c r="BS35" s="412">
        <f t="shared" ref="BS35:BS64" si="95">SUM(BK35:BR35)</f>
        <v>4639.6117997604897</v>
      </c>
      <c r="BT35" s="417">
        <v>0</v>
      </c>
      <c r="BU35" s="231">
        <v>18016.910102738559</v>
      </c>
      <c r="BV35" s="231">
        <v>0</v>
      </c>
      <c r="BW35" s="231">
        <v>14480.416906251236</v>
      </c>
      <c r="BX35" s="231">
        <v>0</v>
      </c>
      <c r="BY35" s="231">
        <v>18753.060287649761</v>
      </c>
      <c r="BZ35" s="231">
        <v>0</v>
      </c>
      <c r="CA35" s="231">
        <v>46220.422395172784</v>
      </c>
      <c r="CB35" s="414">
        <f t="shared" ref="CB35:CB64" si="96">SUM(BT35:CA35)</f>
        <v>97470.809691812348</v>
      </c>
      <c r="CC35" s="415">
        <f t="shared" ref="CC35:CC64" si="97">SUM(CB35,BS35)</f>
        <v>102110.42149157284</v>
      </c>
      <c r="CD35" s="300">
        <v>13</v>
      </c>
      <c r="CE35" s="414">
        <f t="shared" ref="CE35:CE64" si="98">+C35+D35+W35+X35+AQ35+AR35+BK35+BL35</f>
        <v>158792.59853781006</v>
      </c>
      <c r="CF35" s="414">
        <f t="shared" ref="CF35:CF64" si="99">+E35+F35+Y35+Z35+AS35+AT35+BM35+BN35</f>
        <v>161389.68891478234</v>
      </c>
      <c r="CG35" s="414">
        <f t="shared" ref="CG35:CG64" si="100">+G35+H35+AA35+AB35+AU35+AV35+BO35+BP35</f>
        <v>79915.209939971945</v>
      </c>
      <c r="CH35" s="414">
        <f t="shared" ref="CH35:CH64" si="101">+I35+J35+AC35+AD35+AW35+AX35+BQ35+BR35</f>
        <v>243435.43228226242</v>
      </c>
      <c r="CI35" s="416">
        <f t="shared" ref="CI35:CI64" si="102">SUM(K35,AE35,AY35,BS35)</f>
        <v>643532.92967482668</v>
      </c>
      <c r="CJ35" s="414">
        <f t="shared" ref="CJ35:CJ64" si="103">L35+M35+AF35+AG35+AZ35+BA35+BT35+BU35</f>
        <v>620180.67402996251</v>
      </c>
      <c r="CK35" s="414">
        <f t="shared" ref="CK35:CK64" si="104">N35+O35+AH35+AI35+BB35+BC35+BV35+BW35</f>
        <v>685945.27731585654</v>
      </c>
      <c r="CL35" s="414">
        <f t="shared" ref="CL35:CL64" si="105">P35+Q35+AJ35+AK35+BD35+BE35+BX35+BY35</f>
        <v>811959.60973733687</v>
      </c>
      <c r="CM35" s="414">
        <f t="shared" ref="CM35:CM64" si="106">+R35+S35+AL35+AM35+BF35+BG35+BZ35+CA35</f>
        <v>729470.14182321611</v>
      </c>
      <c r="CN35" s="416">
        <f t="shared" ref="CN35:CN64" si="107">SUM(T35,AN35,BH35,CB35)</f>
        <v>2847555.7029063725</v>
      </c>
      <c r="CO35" s="414">
        <f t="shared" ref="CO35:CO64" si="108">+C35+D35+L35+M35+W35+X35+AF35+AG35+AQ35+AR35+AZ35+BA35+BK35+BL35+BT35+BU35</f>
        <v>778973.27256777254</v>
      </c>
      <c r="CP35" s="414">
        <f t="shared" ref="CP35:CP64" si="109">+E35+F35+N35+O35+Y35+Z35+AH35+AI35+AS35+AT35+BB35+BC35+BM35+BN35+BV35+BW35</f>
        <v>847334.96623063891</v>
      </c>
      <c r="CQ35" s="414">
        <f t="shared" ref="CQ35:CQ64" si="110">+G35+H35+P35+Q35+AA35+AB35+AJ35+AK35+AU35+AV35+BD35+BE35+BO35+BP35+BX35+BY35</f>
        <v>891874.81967730867</v>
      </c>
      <c r="CR35" s="414">
        <f t="shared" ref="CR35:CR64" si="111">+I35+J35+R35+S35+AC35+AD35+AL35+AM35+AW35+AX35+BF35+BG35+BQ35+BR35+BZ35+CA35</f>
        <v>972905.57410547859</v>
      </c>
      <c r="CS35" s="416">
        <f t="shared" ref="CS35:CS64" si="112">SUM(CC35,BI35,AO35,U35)</f>
        <v>3491088.6325811991</v>
      </c>
      <c r="CT35" s="319"/>
      <c r="CV35" s="319"/>
      <c r="CX35" s="319"/>
    </row>
    <row r="36" spans="1:102" ht="15.75" customHeight="1">
      <c r="A36" s="88" t="s">
        <v>199</v>
      </c>
      <c r="B36" s="300">
        <v>14</v>
      </c>
      <c r="C36" s="231">
        <v>0</v>
      </c>
      <c r="D36" s="231">
        <v>0</v>
      </c>
      <c r="E36" s="231">
        <v>0</v>
      </c>
      <c r="F36" s="231">
        <v>0</v>
      </c>
      <c r="G36" s="231">
        <v>0</v>
      </c>
      <c r="H36" s="231">
        <v>0</v>
      </c>
      <c r="I36" s="231">
        <v>0</v>
      </c>
      <c r="J36" s="231">
        <v>0</v>
      </c>
      <c r="K36" s="412">
        <f t="shared" si="86"/>
        <v>0</v>
      </c>
      <c r="L36" s="417">
        <v>0</v>
      </c>
      <c r="M36" s="231">
        <v>0</v>
      </c>
      <c r="N36" s="231">
        <v>0</v>
      </c>
      <c r="O36" s="231">
        <v>0</v>
      </c>
      <c r="P36" s="231">
        <v>0</v>
      </c>
      <c r="Q36" s="231">
        <v>0</v>
      </c>
      <c r="R36" s="231">
        <v>0</v>
      </c>
      <c r="S36" s="231">
        <v>0</v>
      </c>
      <c r="T36" s="414">
        <f t="shared" si="87"/>
        <v>0</v>
      </c>
      <c r="U36" s="415">
        <f t="shared" si="88"/>
        <v>0</v>
      </c>
      <c r="V36" s="300">
        <v>14</v>
      </c>
      <c r="W36" s="231">
        <v>0</v>
      </c>
      <c r="X36" s="231">
        <v>0</v>
      </c>
      <c r="Y36" s="231">
        <v>1709.367809972334</v>
      </c>
      <c r="Z36" s="231">
        <v>0</v>
      </c>
      <c r="AA36" s="231">
        <v>0</v>
      </c>
      <c r="AB36" s="231">
        <v>0</v>
      </c>
      <c r="AC36" s="231">
        <v>0</v>
      </c>
      <c r="AD36" s="231">
        <v>0</v>
      </c>
      <c r="AE36" s="412">
        <f t="shared" si="89"/>
        <v>1709.367809972334</v>
      </c>
      <c r="AF36" s="417">
        <v>0</v>
      </c>
      <c r="AG36" s="231">
        <v>0</v>
      </c>
      <c r="AH36" s="231">
        <v>0</v>
      </c>
      <c r="AI36" s="231">
        <v>0</v>
      </c>
      <c r="AJ36" s="231">
        <v>0</v>
      </c>
      <c r="AK36" s="231">
        <v>0</v>
      </c>
      <c r="AL36" s="231">
        <v>0</v>
      </c>
      <c r="AM36" s="231">
        <v>0</v>
      </c>
      <c r="AN36" s="414">
        <f t="shared" si="90"/>
        <v>0</v>
      </c>
      <c r="AO36" s="415">
        <f t="shared" si="91"/>
        <v>1709.367809972334</v>
      </c>
      <c r="AP36" s="300">
        <v>14</v>
      </c>
      <c r="AQ36" s="231">
        <v>0</v>
      </c>
      <c r="AR36" s="231">
        <v>1365.8485276558947</v>
      </c>
      <c r="AS36" s="231">
        <v>0</v>
      </c>
      <c r="AT36" s="231">
        <v>0</v>
      </c>
      <c r="AU36" s="231">
        <v>0</v>
      </c>
      <c r="AV36" s="231">
        <v>1652.2357240797401</v>
      </c>
      <c r="AW36" s="231">
        <v>0</v>
      </c>
      <c r="AX36" s="231">
        <v>1709.2806976675095</v>
      </c>
      <c r="AY36" s="412">
        <f t="shared" si="92"/>
        <v>4727.3649494031442</v>
      </c>
      <c r="AZ36" s="417">
        <v>0</v>
      </c>
      <c r="BA36" s="231">
        <v>30235.752062316849</v>
      </c>
      <c r="BB36" s="231">
        <v>0</v>
      </c>
      <c r="BC36" s="231">
        <v>0</v>
      </c>
      <c r="BD36" s="231">
        <v>0</v>
      </c>
      <c r="BE36" s="231">
        <v>27176.479376217179</v>
      </c>
      <c r="BF36" s="231">
        <v>0</v>
      </c>
      <c r="BG36" s="231">
        <v>16294.238276727385</v>
      </c>
      <c r="BH36" s="414">
        <f t="shared" si="93"/>
        <v>73706.46971526141</v>
      </c>
      <c r="BI36" s="415">
        <f t="shared" si="94"/>
        <v>78433.834664664551</v>
      </c>
      <c r="BJ36" s="300">
        <v>14</v>
      </c>
      <c r="BK36" s="231">
        <v>0</v>
      </c>
      <c r="BL36" s="231">
        <v>0</v>
      </c>
      <c r="BM36" s="231">
        <v>0</v>
      </c>
      <c r="BN36" s="231">
        <v>0</v>
      </c>
      <c r="BO36" s="231">
        <v>0</v>
      </c>
      <c r="BP36" s="231">
        <v>1652.2357240797401</v>
      </c>
      <c r="BQ36" s="231">
        <v>0</v>
      </c>
      <c r="BR36" s="231">
        <v>0</v>
      </c>
      <c r="BS36" s="412">
        <f t="shared" si="95"/>
        <v>1652.2357240797401</v>
      </c>
      <c r="BT36" s="417">
        <v>0</v>
      </c>
      <c r="BU36" s="231">
        <v>0</v>
      </c>
      <c r="BV36" s="231">
        <v>0</v>
      </c>
      <c r="BW36" s="231">
        <v>0</v>
      </c>
      <c r="BX36" s="231">
        <v>0</v>
      </c>
      <c r="BY36" s="231">
        <v>4332.6391426656974</v>
      </c>
      <c r="BZ36" s="231">
        <v>0</v>
      </c>
      <c r="CA36" s="231">
        <v>0</v>
      </c>
      <c r="CB36" s="414">
        <f t="shared" si="96"/>
        <v>4332.6391426656974</v>
      </c>
      <c r="CC36" s="415">
        <f t="shared" si="97"/>
        <v>5984.8748667454374</v>
      </c>
      <c r="CD36" s="300">
        <v>14</v>
      </c>
      <c r="CE36" s="414">
        <f t="shared" si="98"/>
        <v>1365.8485276558947</v>
      </c>
      <c r="CF36" s="414">
        <f t="shared" si="99"/>
        <v>1709.367809972334</v>
      </c>
      <c r="CG36" s="414">
        <f t="shared" si="100"/>
        <v>3304.4714481594801</v>
      </c>
      <c r="CH36" s="414">
        <f t="shared" si="101"/>
        <v>1709.2806976675095</v>
      </c>
      <c r="CI36" s="416">
        <f t="shared" si="102"/>
        <v>8088.9684834552181</v>
      </c>
      <c r="CJ36" s="414">
        <f t="shared" si="103"/>
        <v>30235.752062316849</v>
      </c>
      <c r="CK36" s="414">
        <f t="shared" si="104"/>
        <v>0</v>
      </c>
      <c r="CL36" s="414">
        <f t="shared" si="105"/>
        <v>31509.118518882875</v>
      </c>
      <c r="CM36" s="414">
        <f t="shared" si="106"/>
        <v>16294.238276727385</v>
      </c>
      <c r="CN36" s="416">
        <f t="shared" si="107"/>
        <v>78039.108857927102</v>
      </c>
      <c r="CO36" s="414">
        <f t="shared" si="108"/>
        <v>31601.600589972742</v>
      </c>
      <c r="CP36" s="414">
        <f t="shared" si="109"/>
        <v>1709.367809972334</v>
      </c>
      <c r="CQ36" s="414">
        <f t="shared" si="110"/>
        <v>34813.589967042353</v>
      </c>
      <c r="CR36" s="414">
        <f t="shared" si="111"/>
        <v>18003.518974394894</v>
      </c>
      <c r="CS36" s="416">
        <f t="shared" si="112"/>
        <v>86128.077341382319</v>
      </c>
      <c r="CT36" s="319"/>
      <c r="CV36" s="319"/>
      <c r="CX36" s="319"/>
    </row>
    <row r="37" spans="1:102" ht="15.75" customHeight="1">
      <c r="A37" s="88" t="s">
        <v>200</v>
      </c>
      <c r="B37" s="300">
        <v>15</v>
      </c>
      <c r="C37" s="231">
        <v>5994.3026376601474</v>
      </c>
      <c r="D37" s="231">
        <v>17426.414759930958</v>
      </c>
      <c r="E37" s="231">
        <v>26997.724719830429</v>
      </c>
      <c r="F37" s="231">
        <v>21560.148355597303</v>
      </c>
      <c r="G37" s="231">
        <v>21051.983751147505</v>
      </c>
      <c r="H37" s="231">
        <v>25607.67954452155</v>
      </c>
      <c r="I37" s="231">
        <v>8234.8577552933202</v>
      </c>
      <c r="J37" s="231">
        <v>8250.4109528180543</v>
      </c>
      <c r="K37" s="412">
        <f t="shared" si="86"/>
        <v>135123.52247679929</v>
      </c>
      <c r="L37" s="417">
        <v>0</v>
      </c>
      <c r="M37" s="231">
        <v>60398.005554556934</v>
      </c>
      <c r="N37" s="231">
        <v>0</v>
      </c>
      <c r="O37" s="231">
        <v>172946.25096274947</v>
      </c>
      <c r="P37" s="231">
        <v>0</v>
      </c>
      <c r="Q37" s="231">
        <v>174087.14204669523</v>
      </c>
      <c r="R37" s="231">
        <v>0</v>
      </c>
      <c r="S37" s="231">
        <v>189439.03594411266</v>
      </c>
      <c r="T37" s="414">
        <f t="shared" si="87"/>
        <v>596870.43450811435</v>
      </c>
      <c r="U37" s="415">
        <f t="shared" si="88"/>
        <v>731993.95698491368</v>
      </c>
      <c r="V37" s="300">
        <v>15</v>
      </c>
      <c r="W37" s="231">
        <v>1667.8873043398005</v>
      </c>
      <c r="X37" s="231">
        <v>7195.0677428311819</v>
      </c>
      <c r="Y37" s="231">
        <v>894.17668342952436</v>
      </c>
      <c r="Z37" s="231">
        <v>2794.6243466398018</v>
      </c>
      <c r="AA37" s="231">
        <v>8121.4270154036249</v>
      </c>
      <c r="AB37" s="231">
        <v>2184.4945534778294</v>
      </c>
      <c r="AC37" s="231">
        <v>538.25584322627844</v>
      </c>
      <c r="AD37" s="231">
        <v>166.08929720350102</v>
      </c>
      <c r="AE37" s="412">
        <f t="shared" si="89"/>
        <v>23562.022786551541</v>
      </c>
      <c r="AF37" s="417">
        <v>0</v>
      </c>
      <c r="AG37" s="231">
        <v>33243.757624576778</v>
      </c>
      <c r="AH37" s="231">
        <v>0</v>
      </c>
      <c r="AI37" s="231">
        <v>13315.022022106605</v>
      </c>
      <c r="AJ37" s="231">
        <v>0</v>
      </c>
      <c r="AK37" s="231">
        <v>9546.6696924743392</v>
      </c>
      <c r="AL37" s="231">
        <v>0</v>
      </c>
      <c r="AM37" s="231">
        <v>6777.5008204153719</v>
      </c>
      <c r="AN37" s="414">
        <f t="shared" si="90"/>
        <v>62882.950159573091</v>
      </c>
      <c r="AO37" s="415">
        <f t="shared" si="91"/>
        <v>86444.972946124632</v>
      </c>
      <c r="AP37" s="300">
        <v>15</v>
      </c>
      <c r="AQ37" s="231">
        <v>49953.636822652312</v>
      </c>
      <c r="AR37" s="231">
        <v>77243.961313218257</v>
      </c>
      <c r="AS37" s="231">
        <v>70428.60768557158</v>
      </c>
      <c r="AT37" s="231">
        <v>81721.997713925972</v>
      </c>
      <c r="AU37" s="231">
        <v>80173.948839483637</v>
      </c>
      <c r="AV37" s="231">
        <v>61152.64580997602</v>
      </c>
      <c r="AW37" s="231">
        <v>118597.04822767989</v>
      </c>
      <c r="AX37" s="231">
        <v>70942.951735798226</v>
      </c>
      <c r="AY37" s="412">
        <f t="shared" si="92"/>
        <v>610214.79814830597</v>
      </c>
      <c r="AZ37" s="417">
        <v>0</v>
      </c>
      <c r="BA37" s="231">
        <v>358776.56266001827</v>
      </c>
      <c r="BB37" s="231">
        <v>0</v>
      </c>
      <c r="BC37" s="231">
        <v>384336.59800868627</v>
      </c>
      <c r="BD37" s="231">
        <v>0</v>
      </c>
      <c r="BE37" s="231">
        <v>316906.52938605077</v>
      </c>
      <c r="BF37" s="231">
        <v>0</v>
      </c>
      <c r="BG37" s="231">
        <v>440615.0326641532</v>
      </c>
      <c r="BH37" s="414">
        <f t="shared" si="93"/>
        <v>1500634.7227189085</v>
      </c>
      <c r="BI37" s="415">
        <f t="shared" si="94"/>
        <v>2110849.5208672145</v>
      </c>
      <c r="BJ37" s="300">
        <v>15</v>
      </c>
      <c r="BK37" s="231">
        <v>11445.390092561664</v>
      </c>
      <c r="BL37" s="231">
        <v>1777.7760267921158</v>
      </c>
      <c r="BM37" s="231">
        <v>0</v>
      </c>
      <c r="BN37" s="231">
        <v>979.22030715555036</v>
      </c>
      <c r="BO37" s="231">
        <v>1991.7033470216381</v>
      </c>
      <c r="BP37" s="231">
        <v>1844.6118468062305</v>
      </c>
      <c r="BQ37" s="231">
        <v>0</v>
      </c>
      <c r="BR37" s="231">
        <v>1720.7492170544331</v>
      </c>
      <c r="BS37" s="412">
        <f t="shared" si="95"/>
        <v>19759.450837391629</v>
      </c>
      <c r="BT37" s="417">
        <v>0</v>
      </c>
      <c r="BU37" s="231">
        <v>19926.64160845699</v>
      </c>
      <c r="BV37" s="231">
        <v>0</v>
      </c>
      <c r="BW37" s="231">
        <v>20517.309977758963</v>
      </c>
      <c r="BX37" s="231">
        <v>0</v>
      </c>
      <c r="BY37" s="231">
        <v>12293.863820061479</v>
      </c>
      <c r="BZ37" s="231">
        <v>0</v>
      </c>
      <c r="CA37" s="231">
        <v>11636.076437767273</v>
      </c>
      <c r="CB37" s="414">
        <f t="shared" si="96"/>
        <v>64373.891844044709</v>
      </c>
      <c r="CC37" s="415">
        <f t="shared" si="97"/>
        <v>84133.342681436334</v>
      </c>
      <c r="CD37" s="300">
        <v>15</v>
      </c>
      <c r="CE37" s="414">
        <f t="shared" si="98"/>
        <v>172704.43669998646</v>
      </c>
      <c r="CF37" s="414">
        <f t="shared" si="99"/>
        <v>205376.49981215017</v>
      </c>
      <c r="CG37" s="414">
        <f t="shared" si="100"/>
        <v>202128.49470783805</v>
      </c>
      <c r="CH37" s="414">
        <f t="shared" si="101"/>
        <v>208450.36302907372</v>
      </c>
      <c r="CI37" s="416">
        <f t="shared" si="102"/>
        <v>788659.79424904846</v>
      </c>
      <c r="CJ37" s="414">
        <f t="shared" si="103"/>
        <v>472344.96744760894</v>
      </c>
      <c r="CK37" s="414">
        <f t="shared" si="104"/>
        <v>591115.18097130128</v>
      </c>
      <c r="CL37" s="414">
        <f t="shared" si="105"/>
        <v>512834.20494528179</v>
      </c>
      <c r="CM37" s="414">
        <f t="shared" si="106"/>
        <v>648467.64586644853</v>
      </c>
      <c r="CN37" s="416">
        <f t="shared" si="107"/>
        <v>2224761.9992306409</v>
      </c>
      <c r="CO37" s="414">
        <f t="shared" si="108"/>
        <v>645049.4041475954</v>
      </c>
      <c r="CP37" s="414">
        <f t="shared" si="109"/>
        <v>796491.6807834513</v>
      </c>
      <c r="CQ37" s="414">
        <f t="shared" si="110"/>
        <v>714962.69965311978</v>
      </c>
      <c r="CR37" s="414">
        <f t="shared" si="111"/>
        <v>856918.00889552222</v>
      </c>
      <c r="CS37" s="416">
        <f t="shared" si="112"/>
        <v>3013421.7934796894</v>
      </c>
      <c r="CT37" s="319"/>
    </row>
    <row r="38" spans="1:102" ht="15.75" customHeight="1">
      <c r="A38" s="88" t="s">
        <v>201</v>
      </c>
      <c r="B38" s="300">
        <v>16</v>
      </c>
      <c r="C38" s="231">
        <v>0</v>
      </c>
      <c r="D38" s="231">
        <v>834.15894354339434</v>
      </c>
      <c r="E38" s="231">
        <v>0</v>
      </c>
      <c r="F38" s="231">
        <v>1472.7421264077152</v>
      </c>
      <c r="G38" s="231">
        <v>1168.1671033006428</v>
      </c>
      <c r="H38" s="231">
        <v>1848.8538000439112</v>
      </c>
      <c r="I38" s="231">
        <v>2204.5007909751862</v>
      </c>
      <c r="J38" s="231">
        <v>2585.1299522168079</v>
      </c>
      <c r="K38" s="412">
        <f t="shared" si="86"/>
        <v>10113.552716487658</v>
      </c>
      <c r="L38" s="417">
        <v>0</v>
      </c>
      <c r="M38" s="231">
        <v>1133.7019289879731</v>
      </c>
      <c r="N38" s="231">
        <v>0</v>
      </c>
      <c r="O38" s="231">
        <v>5847.9973640678727</v>
      </c>
      <c r="P38" s="231">
        <v>0</v>
      </c>
      <c r="Q38" s="231">
        <v>9778.0853599879247</v>
      </c>
      <c r="R38" s="231">
        <v>0</v>
      </c>
      <c r="S38" s="231">
        <v>5775.5158714002464</v>
      </c>
      <c r="T38" s="414">
        <f t="shared" si="87"/>
        <v>22535.300524444017</v>
      </c>
      <c r="U38" s="415">
        <f t="shared" si="88"/>
        <v>32648.853240931676</v>
      </c>
      <c r="V38" s="300">
        <v>16</v>
      </c>
      <c r="W38" s="231">
        <v>1956.2675957471472</v>
      </c>
      <c r="X38" s="231">
        <v>2855.2542765929197</v>
      </c>
      <c r="Y38" s="231">
        <v>890.40543652293331</v>
      </c>
      <c r="Z38" s="231">
        <v>800.7982028434526</v>
      </c>
      <c r="AA38" s="231">
        <v>935.04190710956334</v>
      </c>
      <c r="AB38" s="231">
        <v>620.46918395634214</v>
      </c>
      <c r="AC38" s="231">
        <v>859.76190680654531</v>
      </c>
      <c r="AD38" s="231">
        <v>67.564765812825385</v>
      </c>
      <c r="AE38" s="412">
        <f t="shared" si="89"/>
        <v>8985.5632753917289</v>
      </c>
      <c r="AF38" s="417">
        <v>0</v>
      </c>
      <c r="AG38" s="231">
        <v>5759.0364181902942</v>
      </c>
      <c r="AH38" s="231">
        <v>0</v>
      </c>
      <c r="AI38" s="231">
        <v>7048.3101841541747</v>
      </c>
      <c r="AJ38" s="231">
        <v>0</v>
      </c>
      <c r="AK38" s="231">
        <v>2773.7528413729915</v>
      </c>
      <c r="AL38" s="231">
        <v>0</v>
      </c>
      <c r="AM38" s="231">
        <v>5516.7617470472851</v>
      </c>
      <c r="AN38" s="414">
        <f t="shared" si="90"/>
        <v>21097.861190764743</v>
      </c>
      <c r="AO38" s="415">
        <f t="shared" si="91"/>
        <v>30083.424466156473</v>
      </c>
      <c r="AP38" s="300">
        <v>16</v>
      </c>
      <c r="AQ38" s="231">
        <v>0</v>
      </c>
      <c r="AR38" s="231">
        <v>8847.3038649955688</v>
      </c>
      <c r="AS38" s="231">
        <v>0</v>
      </c>
      <c r="AT38" s="231">
        <v>9434.2455427009099</v>
      </c>
      <c r="AU38" s="231">
        <v>215.71192753043519</v>
      </c>
      <c r="AV38" s="231">
        <v>9643.7314080934175</v>
      </c>
      <c r="AW38" s="231">
        <v>2727.821375164247</v>
      </c>
      <c r="AX38" s="231">
        <v>10815.787820501766</v>
      </c>
      <c r="AY38" s="412">
        <f t="shared" si="92"/>
        <v>41684.60193898635</v>
      </c>
      <c r="AZ38" s="417">
        <v>0</v>
      </c>
      <c r="BA38" s="231">
        <v>36358.927745904068</v>
      </c>
      <c r="BB38" s="231">
        <v>0</v>
      </c>
      <c r="BC38" s="231">
        <v>45840.683354511428</v>
      </c>
      <c r="BD38" s="231">
        <v>0</v>
      </c>
      <c r="BE38" s="231">
        <v>40900.479889629671</v>
      </c>
      <c r="BF38" s="231">
        <v>0</v>
      </c>
      <c r="BG38" s="231">
        <v>58119.775383391832</v>
      </c>
      <c r="BH38" s="414">
        <f t="shared" si="93"/>
        <v>181219.86637343699</v>
      </c>
      <c r="BI38" s="415">
        <f t="shared" si="94"/>
        <v>222904.46831242333</v>
      </c>
      <c r="BJ38" s="300">
        <v>16</v>
      </c>
      <c r="BK38" s="231">
        <v>0</v>
      </c>
      <c r="BL38" s="231">
        <v>1058.6227309036185</v>
      </c>
      <c r="BM38" s="231">
        <v>0</v>
      </c>
      <c r="BN38" s="231">
        <v>592.86809746967731</v>
      </c>
      <c r="BO38" s="231">
        <v>0</v>
      </c>
      <c r="BP38" s="231">
        <v>494.42546603481782</v>
      </c>
      <c r="BQ38" s="231">
        <v>0</v>
      </c>
      <c r="BR38" s="231">
        <v>197.6146336004324</v>
      </c>
      <c r="BS38" s="412">
        <f t="shared" si="95"/>
        <v>2343.5309280085457</v>
      </c>
      <c r="BT38" s="417">
        <v>0</v>
      </c>
      <c r="BU38" s="231">
        <v>2120.0863753757721</v>
      </c>
      <c r="BV38" s="231">
        <v>0</v>
      </c>
      <c r="BW38" s="231">
        <v>3508.2851257849034</v>
      </c>
      <c r="BX38" s="231">
        <v>0</v>
      </c>
      <c r="BY38" s="231">
        <v>1962.5949266816353</v>
      </c>
      <c r="BZ38" s="231">
        <v>0</v>
      </c>
      <c r="CA38" s="231">
        <v>2767.3994935512737</v>
      </c>
      <c r="CB38" s="414">
        <f t="shared" si="96"/>
        <v>10358.365921393584</v>
      </c>
      <c r="CC38" s="415">
        <f t="shared" si="97"/>
        <v>12701.89684940213</v>
      </c>
      <c r="CD38" s="300">
        <v>16</v>
      </c>
      <c r="CE38" s="414">
        <f t="shared" si="98"/>
        <v>15551.607411782648</v>
      </c>
      <c r="CF38" s="414">
        <f t="shared" si="99"/>
        <v>13191.05940594469</v>
      </c>
      <c r="CG38" s="414">
        <f t="shared" si="100"/>
        <v>14926.400796069129</v>
      </c>
      <c r="CH38" s="414">
        <f t="shared" si="101"/>
        <v>19458.181245077809</v>
      </c>
      <c r="CI38" s="416">
        <f t="shared" si="102"/>
        <v>63127.248858874285</v>
      </c>
      <c r="CJ38" s="414">
        <f t="shared" si="103"/>
        <v>45371.752468458108</v>
      </c>
      <c r="CK38" s="414">
        <f t="shared" si="104"/>
        <v>62245.276028518383</v>
      </c>
      <c r="CL38" s="414">
        <f t="shared" si="105"/>
        <v>55414.913017672225</v>
      </c>
      <c r="CM38" s="414">
        <f t="shared" si="106"/>
        <v>72179.452495390637</v>
      </c>
      <c r="CN38" s="416">
        <f t="shared" si="107"/>
        <v>235211.39401003934</v>
      </c>
      <c r="CO38" s="414">
        <f t="shared" si="108"/>
        <v>60923.359880240758</v>
      </c>
      <c r="CP38" s="414">
        <f t="shared" si="109"/>
        <v>75436.33543446305</v>
      </c>
      <c r="CQ38" s="414">
        <f t="shared" si="110"/>
        <v>70341.313813741348</v>
      </c>
      <c r="CR38" s="414">
        <f t="shared" si="111"/>
        <v>91637.633740468445</v>
      </c>
      <c r="CS38" s="416">
        <f t="shared" si="112"/>
        <v>298338.64286891365</v>
      </c>
      <c r="CT38" s="319"/>
    </row>
    <row r="39" spans="1:102" ht="15.75" customHeight="1">
      <c r="A39" s="88" t="s">
        <v>202</v>
      </c>
      <c r="B39" s="300">
        <v>17</v>
      </c>
      <c r="C39" s="231">
        <v>6478.6181060516792</v>
      </c>
      <c r="D39" s="231">
        <v>22463.712194976735</v>
      </c>
      <c r="E39" s="231">
        <v>20674.146050436055</v>
      </c>
      <c r="F39" s="231">
        <v>19076.792297519041</v>
      </c>
      <c r="G39" s="231">
        <v>14187.713741095144</v>
      </c>
      <c r="H39" s="231">
        <v>25363.225599707632</v>
      </c>
      <c r="I39" s="231">
        <v>10477.220370545885</v>
      </c>
      <c r="J39" s="231">
        <v>8924.5713691627934</v>
      </c>
      <c r="K39" s="412">
        <f t="shared" si="86"/>
        <v>127645.99972949496</v>
      </c>
      <c r="L39" s="417">
        <v>0</v>
      </c>
      <c r="M39" s="231">
        <v>47152.135700686726</v>
      </c>
      <c r="N39" s="231">
        <v>0</v>
      </c>
      <c r="O39" s="231">
        <v>103586.09710877553</v>
      </c>
      <c r="P39" s="231">
        <v>0</v>
      </c>
      <c r="Q39" s="231">
        <v>101283.64161818866</v>
      </c>
      <c r="R39" s="231">
        <v>0</v>
      </c>
      <c r="S39" s="231">
        <v>87803.395872775232</v>
      </c>
      <c r="T39" s="414">
        <f t="shared" si="87"/>
        <v>339825.27030042617</v>
      </c>
      <c r="U39" s="415">
        <f t="shared" si="88"/>
        <v>467471.27002992114</v>
      </c>
      <c r="V39" s="300">
        <v>17</v>
      </c>
      <c r="W39" s="231">
        <v>1257.4317973851444</v>
      </c>
      <c r="X39" s="231">
        <v>6594.2345803941671</v>
      </c>
      <c r="Y39" s="231">
        <v>788.52159057306051</v>
      </c>
      <c r="Z39" s="231">
        <v>3267.9960727128669</v>
      </c>
      <c r="AA39" s="231">
        <v>3071.2450120343278</v>
      </c>
      <c r="AB39" s="231">
        <v>3104.7858021928814</v>
      </c>
      <c r="AC39" s="231">
        <v>609.31876929045768</v>
      </c>
      <c r="AD39" s="231">
        <v>434.0232359763578</v>
      </c>
      <c r="AE39" s="412">
        <f t="shared" si="89"/>
        <v>19127.556860559263</v>
      </c>
      <c r="AF39" s="417">
        <v>0</v>
      </c>
      <c r="AG39" s="231">
        <v>19903.396759680305</v>
      </c>
      <c r="AH39" s="231">
        <v>0</v>
      </c>
      <c r="AI39" s="231">
        <v>14221.444720995627</v>
      </c>
      <c r="AJ39" s="231">
        <v>0</v>
      </c>
      <c r="AK39" s="231">
        <v>11416.162527319693</v>
      </c>
      <c r="AL39" s="231">
        <v>0</v>
      </c>
      <c r="AM39" s="231">
        <v>12164.549733510863</v>
      </c>
      <c r="AN39" s="414">
        <f t="shared" si="90"/>
        <v>57705.55374150649</v>
      </c>
      <c r="AO39" s="415">
        <f t="shared" si="91"/>
        <v>76833.110602065746</v>
      </c>
      <c r="AP39" s="300">
        <v>17</v>
      </c>
      <c r="AQ39" s="231">
        <v>50607.621920461745</v>
      </c>
      <c r="AR39" s="231">
        <v>93645.969650302766</v>
      </c>
      <c r="AS39" s="231">
        <v>42674.567422553868</v>
      </c>
      <c r="AT39" s="231">
        <v>69488.152988240428</v>
      </c>
      <c r="AU39" s="231">
        <v>69115.824684429375</v>
      </c>
      <c r="AV39" s="231">
        <v>73955.923700602652</v>
      </c>
      <c r="AW39" s="231">
        <v>81719.044863627481</v>
      </c>
      <c r="AX39" s="231">
        <v>71638.184901920496</v>
      </c>
      <c r="AY39" s="412">
        <f t="shared" si="92"/>
        <v>552845.29013213888</v>
      </c>
      <c r="AZ39" s="417">
        <v>0</v>
      </c>
      <c r="BA39" s="231">
        <v>272269.74674974795</v>
      </c>
      <c r="BB39" s="231">
        <v>0</v>
      </c>
      <c r="BC39" s="231">
        <v>273796.67867046501</v>
      </c>
      <c r="BD39" s="231">
        <v>0</v>
      </c>
      <c r="BE39" s="231">
        <v>319621.15951778507</v>
      </c>
      <c r="BF39" s="231">
        <v>0</v>
      </c>
      <c r="BG39" s="231">
        <v>388683.10089225037</v>
      </c>
      <c r="BH39" s="414">
        <f t="shared" si="93"/>
        <v>1254370.6858302485</v>
      </c>
      <c r="BI39" s="415">
        <f t="shared" si="94"/>
        <v>1807215.9759623874</v>
      </c>
      <c r="BJ39" s="300">
        <v>17</v>
      </c>
      <c r="BK39" s="231">
        <v>1148.1839422771836</v>
      </c>
      <c r="BL39" s="231">
        <v>6829.4028551155625</v>
      </c>
      <c r="BM39" s="231">
        <v>348.24857405252351</v>
      </c>
      <c r="BN39" s="231">
        <v>2208.2054825768741</v>
      </c>
      <c r="BO39" s="231">
        <v>912.47552580457716</v>
      </c>
      <c r="BP39" s="231">
        <v>3498.4977818113698</v>
      </c>
      <c r="BQ39" s="231">
        <v>205.01942191692095</v>
      </c>
      <c r="BR39" s="231">
        <v>761.77152563389063</v>
      </c>
      <c r="BS39" s="412">
        <f t="shared" si="95"/>
        <v>15911.805109188901</v>
      </c>
      <c r="BT39" s="417">
        <v>0</v>
      </c>
      <c r="BU39" s="231">
        <v>16178.184502434859</v>
      </c>
      <c r="BV39" s="231">
        <v>0</v>
      </c>
      <c r="BW39" s="231">
        <v>16818.6955341869</v>
      </c>
      <c r="BX39" s="231">
        <v>0</v>
      </c>
      <c r="BY39" s="231">
        <v>15332.213028851054</v>
      </c>
      <c r="BZ39" s="231">
        <v>0</v>
      </c>
      <c r="CA39" s="231">
        <v>19102.643898339127</v>
      </c>
      <c r="CB39" s="414">
        <f t="shared" si="96"/>
        <v>67431.736963811942</v>
      </c>
      <c r="CC39" s="415">
        <f t="shared" si="97"/>
        <v>83343.542073000848</v>
      </c>
      <c r="CD39" s="300">
        <v>17</v>
      </c>
      <c r="CE39" s="414">
        <f t="shared" si="98"/>
        <v>189025.17504696499</v>
      </c>
      <c r="CF39" s="414">
        <f t="shared" si="99"/>
        <v>158526.63047866474</v>
      </c>
      <c r="CG39" s="414">
        <f t="shared" si="100"/>
        <v>193209.69184767798</v>
      </c>
      <c r="CH39" s="414">
        <f t="shared" si="101"/>
        <v>174769.15445807428</v>
      </c>
      <c r="CI39" s="416">
        <f t="shared" si="102"/>
        <v>715530.65183138195</v>
      </c>
      <c r="CJ39" s="414">
        <f t="shared" si="103"/>
        <v>355503.46371254983</v>
      </c>
      <c r="CK39" s="414">
        <f t="shared" si="104"/>
        <v>408422.91603442305</v>
      </c>
      <c r="CL39" s="414">
        <f t="shared" si="105"/>
        <v>447653.17669214448</v>
      </c>
      <c r="CM39" s="414">
        <f t="shared" si="106"/>
        <v>507753.69039687561</v>
      </c>
      <c r="CN39" s="416">
        <f t="shared" si="107"/>
        <v>1719333.2468359931</v>
      </c>
      <c r="CO39" s="414">
        <f t="shared" si="108"/>
        <v>544528.63875951478</v>
      </c>
      <c r="CP39" s="414">
        <f t="shared" si="109"/>
        <v>566949.5465130877</v>
      </c>
      <c r="CQ39" s="414">
        <f t="shared" si="110"/>
        <v>640862.86853982252</v>
      </c>
      <c r="CR39" s="414">
        <f t="shared" si="111"/>
        <v>682522.84485494986</v>
      </c>
      <c r="CS39" s="416">
        <f t="shared" si="112"/>
        <v>2434863.8986673751</v>
      </c>
      <c r="CT39" s="319"/>
    </row>
    <row r="40" spans="1:102" ht="15.75" customHeight="1">
      <c r="A40" s="88" t="s">
        <v>203</v>
      </c>
      <c r="B40" s="300">
        <v>18</v>
      </c>
      <c r="C40" s="231">
        <v>300.4065676662525</v>
      </c>
      <c r="D40" s="231">
        <v>2865.0775713556059</v>
      </c>
      <c r="E40" s="231">
        <v>918.08799360322962</v>
      </c>
      <c r="F40" s="231">
        <v>5071.2639186945244</v>
      </c>
      <c r="G40" s="231">
        <v>0</v>
      </c>
      <c r="H40" s="231">
        <v>5491.4160080418887</v>
      </c>
      <c r="I40" s="231">
        <v>475.86500305467706</v>
      </c>
      <c r="J40" s="231">
        <v>4207.4803202848052</v>
      </c>
      <c r="K40" s="412">
        <f t="shared" si="86"/>
        <v>19329.597382700984</v>
      </c>
      <c r="L40" s="417">
        <v>0</v>
      </c>
      <c r="M40" s="231">
        <v>0</v>
      </c>
      <c r="N40" s="231">
        <v>0</v>
      </c>
      <c r="O40" s="231">
        <v>0</v>
      </c>
      <c r="P40" s="231">
        <v>0</v>
      </c>
      <c r="Q40" s="231">
        <v>0</v>
      </c>
      <c r="R40" s="231">
        <v>0</v>
      </c>
      <c r="S40" s="231">
        <v>0</v>
      </c>
      <c r="T40" s="414">
        <f t="shared" si="87"/>
        <v>0</v>
      </c>
      <c r="U40" s="415">
        <f t="shared" si="88"/>
        <v>19329.597382700984</v>
      </c>
      <c r="V40" s="300">
        <v>18</v>
      </c>
      <c r="W40" s="231">
        <v>0</v>
      </c>
      <c r="X40" s="231">
        <v>469.71570920295238</v>
      </c>
      <c r="Y40" s="231">
        <v>180.53841574106224</v>
      </c>
      <c r="Z40" s="231">
        <v>838.56082146929168</v>
      </c>
      <c r="AA40" s="231">
        <v>182.23188133232429</v>
      </c>
      <c r="AB40" s="231">
        <v>1313.6083925906523</v>
      </c>
      <c r="AC40" s="231">
        <v>0</v>
      </c>
      <c r="AD40" s="231">
        <v>361.33691219074188</v>
      </c>
      <c r="AE40" s="412">
        <f t="shared" si="89"/>
        <v>3345.9921325270243</v>
      </c>
      <c r="AF40" s="417">
        <v>0</v>
      </c>
      <c r="AG40" s="231">
        <v>0</v>
      </c>
      <c r="AH40" s="231">
        <v>0</v>
      </c>
      <c r="AI40" s="231">
        <v>0</v>
      </c>
      <c r="AJ40" s="231">
        <v>0</v>
      </c>
      <c r="AK40" s="231">
        <v>0</v>
      </c>
      <c r="AL40" s="231">
        <v>0</v>
      </c>
      <c r="AM40" s="231">
        <v>0</v>
      </c>
      <c r="AN40" s="414">
        <f t="shared" si="90"/>
        <v>0</v>
      </c>
      <c r="AO40" s="415">
        <f t="shared" si="91"/>
        <v>3345.9921325270243</v>
      </c>
      <c r="AP40" s="300">
        <v>18</v>
      </c>
      <c r="AQ40" s="231">
        <v>1320.6573663266349</v>
      </c>
      <c r="AR40" s="231">
        <v>8474.8998566119699</v>
      </c>
      <c r="AS40" s="231">
        <v>3332.8394536998653</v>
      </c>
      <c r="AT40" s="231">
        <v>9569.328397323161</v>
      </c>
      <c r="AU40" s="231">
        <v>1707.2393802618801</v>
      </c>
      <c r="AV40" s="231">
        <v>7410.317718471264</v>
      </c>
      <c r="AW40" s="231">
        <v>5128.9941817080644</v>
      </c>
      <c r="AX40" s="231">
        <v>10386.111101005381</v>
      </c>
      <c r="AY40" s="412">
        <f t="shared" si="92"/>
        <v>47330.387455408214</v>
      </c>
      <c r="AZ40" s="417">
        <v>0</v>
      </c>
      <c r="BA40" s="231">
        <v>0</v>
      </c>
      <c r="BB40" s="231">
        <v>0</v>
      </c>
      <c r="BC40" s="231">
        <v>0</v>
      </c>
      <c r="BD40" s="231">
        <v>0</v>
      </c>
      <c r="BE40" s="231">
        <v>0</v>
      </c>
      <c r="BF40" s="231">
        <v>0</v>
      </c>
      <c r="BG40" s="231">
        <v>0</v>
      </c>
      <c r="BH40" s="414">
        <f t="shared" si="93"/>
        <v>0</v>
      </c>
      <c r="BI40" s="415">
        <f t="shared" si="94"/>
        <v>47330.387455408214</v>
      </c>
      <c r="BJ40" s="300">
        <v>18</v>
      </c>
      <c r="BK40" s="231">
        <v>0</v>
      </c>
      <c r="BL40" s="231">
        <v>517.66059740248636</v>
      </c>
      <c r="BM40" s="231">
        <v>0</v>
      </c>
      <c r="BN40" s="231">
        <v>349.2014156911568</v>
      </c>
      <c r="BO40" s="231">
        <v>0</v>
      </c>
      <c r="BP40" s="231">
        <v>210.74104676742567</v>
      </c>
      <c r="BQ40" s="231">
        <v>0</v>
      </c>
      <c r="BR40" s="231">
        <v>218.01707722210097</v>
      </c>
      <c r="BS40" s="412">
        <f t="shared" si="95"/>
        <v>1295.6201370831695</v>
      </c>
      <c r="BT40" s="417">
        <v>0</v>
      </c>
      <c r="BU40" s="231">
        <v>0</v>
      </c>
      <c r="BV40" s="231">
        <v>0</v>
      </c>
      <c r="BW40" s="231">
        <v>0</v>
      </c>
      <c r="BX40" s="231">
        <v>0</v>
      </c>
      <c r="BY40" s="231">
        <v>0</v>
      </c>
      <c r="BZ40" s="231">
        <v>0</v>
      </c>
      <c r="CA40" s="231">
        <v>0</v>
      </c>
      <c r="CB40" s="414">
        <f t="shared" si="96"/>
        <v>0</v>
      </c>
      <c r="CC40" s="415">
        <f t="shared" si="97"/>
        <v>1295.6201370831695</v>
      </c>
      <c r="CD40" s="300">
        <v>18</v>
      </c>
      <c r="CE40" s="414">
        <f t="shared" si="98"/>
        <v>13948.417668565902</v>
      </c>
      <c r="CF40" s="414">
        <f t="shared" si="99"/>
        <v>20259.820416222294</v>
      </c>
      <c r="CG40" s="414">
        <f t="shared" si="100"/>
        <v>16315.554427465435</v>
      </c>
      <c r="CH40" s="414">
        <f t="shared" si="101"/>
        <v>20777.804595465772</v>
      </c>
      <c r="CI40" s="416">
        <f t="shared" si="102"/>
        <v>71301.597107719397</v>
      </c>
      <c r="CJ40" s="414">
        <f t="shared" si="103"/>
        <v>0</v>
      </c>
      <c r="CK40" s="414">
        <f t="shared" si="104"/>
        <v>0</v>
      </c>
      <c r="CL40" s="414">
        <f t="shared" si="105"/>
        <v>0</v>
      </c>
      <c r="CM40" s="414">
        <f t="shared" si="106"/>
        <v>0</v>
      </c>
      <c r="CN40" s="416">
        <f t="shared" si="107"/>
        <v>0</v>
      </c>
      <c r="CO40" s="414">
        <f t="shared" si="108"/>
        <v>13948.417668565902</v>
      </c>
      <c r="CP40" s="414">
        <f t="shared" si="109"/>
        <v>20259.820416222294</v>
      </c>
      <c r="CQ40" s="414">
        <f t="shared" si="110"/>
        <v>16315.554427465435</v>
      </c>
      <c r="CR40" s="414">
        <f t="shared" si="111"/>
        <v>20777.804595465772</v>
      </c>
      <c r="CS40" s="416">
        <f t="shared" si="112"/>
        <v>71301.597107719397</v>
      </c>
      <c r="CT40" s="319"/>
    </row>
    <row r="41" spans="1:102" ht="15.75" customHeight="1">
      <c r="A41" s="88" t="s">
        <v>204</v>
      </c>
      <c r="B41" s="300">
        <v>19</v>
      </c>
      <c r="C41" s="231">
        <v>143</v>
      </c>
      <c r="D41" s="231">
        <v>13628.570546783991</v>
      </c>
      <c r="E41" s="231">
        <v>3649</v>
      </c>
      <c r="F41" s="231">
        <v>23417.26</v>
      </c>
      <c r="G41" s="231">
        <v>10378</v>
      </c>
      <c r="H41" s="231">
        <v>37586</v>
      </c>
      <c r="I41" s="231">
        <v>5432</v>
      </c>
      <c r="J41" s="231">
        <v>34881</v>
      </c>
      <c r="K41" s="412">
        <f t="shared" si="86"/>
        <v>129114.83054678398</v>
      </c>
      <c r="L41" s="417">
        <v>0</v>
      </c>
      <c r="M41" s="231">
        <v>1650.1139742049158</v>
      </c>
      <c r="N41" s="231">
        <v>0</v>
      </c>
      <c r="O41" s="231">
        <v>550.26576743225894</v>
      </c>
      <c r="P41" s="231">
        <v>0</v>
      </c>
      <c r="Q41" s="231">
        <v>0</v>
      </c>
      <c r="R41" s="231">
        <v>0</v>
      </c>
      <c r="S41" s="231">
        <v>0</v>
      </c>
      <c r="T41" s="414">
        <f t="shared" si="87"/>
        <v>2200.3797416371749</v>
      </c>
      <c r="U41" s="415">
        <f t="shared" si="88"/>
        <v>131315.21028842116</v>
      </c>
      <c r="V41" s="300">
        <v>19</v>
      </c>
      <c r="W41" s="231">
        <v>0</v>
      </c>
      <c r="X41" s="231">
        <v>7770</v>
      </c>
      <c r="Y41" s="231">
        <v>0</v>
      </c>
      <c r="Z41" s="231">
        <v>2117</v>
      </c>
      <c r="AA41" s="231">
        <v>0</v>
      </c>
      <c r="AB41" s="231">
        <v>5460</v>
      </c>
      <c r="AC41" s="231">
        <v>0</v>
      </c>
      <c r="AD41" s="231">
        <v>5507</v>
      </c>
      <c r="AE41" s="412">
        <f t="shared" si="89"/>
        <v>20854</v>
      </c>
      <c r="AF41" s="417">
        <v>0</v>
      </c>
      <c r="AG41" s="231">
        <v>0</v>
      </c>
      <c r="AH41" s="231">
        <v>0</v>
      </c>
      <c r="AI41" s="231">
        <v>0</v>
      </c>
      <c r="AJ41" s="231">
        <v>0</v>
      </c>
      <c r="AK41" s="231">
        <v>0</v>
      </c>
      <c r="AL41" s="231">
        <v>0</v>
      </c>
      <c r="AM41" s="231">
        <v>0</v>
      </c>
      <c r="AN41" s="414">
        <f t="shared" si="90"/>
        <v>0</v>
      </c>
      <c r="AO41" s="415">
        <f t="shared" si="91"/>
        <v>20854</v>
      </c>
      <c r="AP41" s="300">
        <v>19</v>
      </c>
      <c r="AQ41" s="231">
        <v>29284</v>
      </c>
      <c r="AR41" s="231">
        <v>58093.963484494263</v>
      </c>
      <c r="AS41" s="231">
        <v>53839</v>
      </c>
      <c r="AT41" s="231">
        <v>52335</v>
      </c>
      <c r="AU41" s="231">
        <v>39363</v>
      </c>
      <c r="AV41" s="231">
        <v>99049.814714481603</v>
      </c>
      <c r="AW41" s="231">
        <v>29431</v>
      </c>
      <c r="AX41" s="231">
        <v>89815</v>
      </c>
      <c r="AY41" s="412">
        <f t="shared" si="92"/>
        <v>451210.77819897584</v>
      </c>
      <c r="AZ41" s="417">
        <v>0</v>
      </c>
      <c r="BA41" s="231">
        <v>39.041735671423979</v>
      </c>
      <c r="BB41" s="231">
        <v>0</v>
      </c>
      <c r="BC41" s="231">
        <v>0</v>
      </c>
      <c r="BD41" s="231">
        <v>0</v>
      </c>
      <c r="BE41" s="231">
        <v>129.35620208983605</v>
      </c>
      <c r="BF41" s="231">
        <v>0</v>
      </c>
      <c r="BG41" s="231">
        <v>0</v>
      </c>
      <c r="BH41" s="414">
        <f t="shared" si="93"/>
        <v>168.39793776126004</v>
      </c>
      <c r="BI41" s="415">
        <f t="shared" si="94"/>
        <v>451379.17613673711</v>
      </c>
      <c r="BJ41" s="300">
        <v>19</v>
      </c>
      <c r="BK41" s="231">
        <v>0</v>
      </c>
      <c r="BL41" s="231">
        <v>420.8</v>
      </c>
      <c r="BM41" s="231">
        <v>0</v>
      </c>
      <c r="BN41" s="231">
        <v>875</v>
      </c>
      <c r="BO41" s="231">
        <v>0</v>
      </c>
      <c r="BP41" s="231">
        <v>194</v>
      </c>
      <c r="BQ41" s="231">
        <v>0</v>
      </c>
      <c r="BR41" s="231">
        <v>1511</v>
      </c>
      <c r="BS41" s="412">
        <f t="shared" si="95"/>
        <v>3000.8</v>
      </c>
      <c r="BT41" s="417">
        <v>0</v>
      </c>
      <c r="BU41" s="231">
        <v>0</v>
      </c>
      <c r="BV41" s="231">
        <v>0</v>
      </c>
      <c r="BW41" s="231">
        <v>0</v>
      </c>
      <c r="BX41" s="231">
        <v>0</v>
      </c>
      <c r="BY41" s="231">
        <v>0</v>
      </c>
      <c r="BZ41" s="231">
        <v>0</v>
      </c>
      <c r="CA41" s="231">
        <v>0</v>
      </c>
      <c r="CB41" s="414">
        <f t="shared" si="96"/>
        <v>0</v>
      </c>
      <c r="CC41" s="415">
        <f t="shared" si="97"/>
        <v>3000.8</v>
      </c>
      <c r="CD41" s="300">
        <v>19</v>
      </c>
      <c r="CE41" s="414">
        <f t="shared" si="98"/>
        <v>109340.33403127825</v>
      </c>
      <c r="CF41" s="414">
        <f t="shared" si="99"/>
        <v>136232.26</v>
      </c>
      <c r="CG41" s="414">
        <f t="shared" si="100"/>
        <v>192030.81471448159</v>
      </c>
      <c r="CH41" s="414">
        <f t="shared" si="101"/>
        <v>166577</v>
      </c>
      <c r="CI41" s="416">
        <f t="shared" si="102"/>
        <v>604180.40874575987</v>
      </c>
      <c r="CJ41" s="414">
        <f t="shared" si="103"/>
        <v>1689.1557098763399</v>
      </c>
      <c r="CK41" s="414">
        <f t="shared" si="104"/>
        <v>550.26576743225894</v>
      </c>
      <c r="CL41" s="414">
        <f t="shared" si="105"/>
        <v>129.35620208983605</v>
      </c>
      <c r="CM41" s="414">
        <f t="shared" si="106"/>
        <v>0</v>
      </c>
      <c r="CN41" s="416">
        <f t="shared" si="107"/>
        <v>2368.7776793984349</v>
      </c>
      <c r="CO41" s="414">
        <f t="shared" si="108"/>
        <v>111029.4897411546</v>
      </c>
      <c r="CP41" s="414">
        <f t="shared" si="109"/>
        <v>136782.52576743226</v>
      </c>
      <c r="CQ41" s="414">
        <f t="shared" si="110"/>
        <v>192160.17091657143</v>
      </c>
      <c r="CR41" s="414">
        <f t="shared" si="111"/>
        <v>166577</v>
      </c>
      <c r="CS41" s="416">
        <f t="shared" si="112"/>
        <v>606549.18642515829</v>
      </c>
      <c r="CT41" s="319"/>
    </row>
    <row r="42" spans="1:102" ht="15.75" customHeight="1">
      <c r="A42" s="88" t="s">
        <v>205</v>
      </c>
      <c r="B42" s="300">
        <v>20</v>
      </c>
      <c r="C42" s="231">
        <v>0</v>
      </c>
      <c r="D42" s="231">
        <v>1930.3625360620608</v>
      </c>
      <c r="E42" s="231">
        <v>0</v>
      </c>
      <c r="F42" s="231">
        <v>165.45342811469794</v>
      </c>
      <c r="G42" s="231">
        <v>0</v>
      </c>
      <c r="H42" s="231">
        <v>1006.1325888159845</v>
      </c>
      <c r="I42" s="231">
        <v>0</v>
      </c>
      <c r="J42" s="231">
        <v>2010.9708355125622</v>
      </c>
      <c r="K42" s="412">
        <f t="shared" si="86"/>
        <v>5112.9193885053055</v>
      </c>
      <c r="L42" s="417">
        <v>0</v>
      </c>
      <c r="M42" s="231">
        <v>365.99124516596419</v>
      </c>
      <c r="N42" s="231">
        <v>0</v>
      </c>
      <c r="O42" s="231">
        <v>1561.0713400004879</v>
      </c>
      <c r="P42" s="231">
        <v>0</v>
      </c>
      <c r="Q42" s="231">
        <v>4089.3847793610048</v>
      </c>
      <c r="R42" s="231">
        <v>0</v>
      </c>
      <c r="S42" s="231">
        <v>3104.7766776680924</v>
      </c>
      <c r="T42" s="414">
        <f t="shared" si="87"/>
        <v>9121.2240421955503</v>
      </c>
      <c r="U42" s="415">
        <f t="shared" si="88"/>
        <v>14234.143430700857</v>
      </c>
      <c r="V42" s="300">
        <v>20</v>
      </c>
      <c r="W42" s="231">
        <v>0</v>
      </c>
      <c r="X42" s="231">
        <v>53.392260626548612</v>
      </c>
      <c r="Y42" s="231">
        <v>0</v>
      </c>
      <c r="Z42" s="231">
        <v>0</v>
      </c>
      <c r="AA42" s="231">
        <v>0</v>
      </c>
      <c r="AB42" s="231">
        <v>0</v>
      </c>
      <c r="AC42" s="231">
        <v>0</v>
      </c>
      <c r="AD42" s="231">
        <v>0</v>
      </c>
      <c r="AE42" s="412">
        <f t="shared" si="89"/>
        <v>53.392260626548612</v>
      </c>
      <c r="AF42" s="417">
        <v>0</v>
      </c>
      <c r="AG42" s="231">
        <v>209.19362828865309</v>
      </c>
      <c r="AH42" s="231">
        <v>0</v>
      </c>
      <c r="AI42" s="231">
        <v>0</v>
      </c>
      <c r="AJ42" s="231">
        <v>0</v>
      </c>
      <c r="AK42" s="231">
        <v>0</v>
      </c>
      <c r="AL42" s="231">
        <v>0</v>
      </c>
      <c r="AM42" s="231">
        <v>0</v>
      </c>
      <c r="AN42" s="414">
        <f t="shared" si="90"/>
        <v>209.19362828865309</v>
      </c>
      <c r="AO42" s="415">
        <f t="shared" si="91"/>
        <v>262.58588891520168</v>
      </c>
      <c r="AP42" s="300">
        <v>20</v>
      </c>
      <c r="AQ42" s="231">
        <v>2060.6388509066587</v>
      </c>
      <c r="AR42" s="231">
        <v>5761.1470869421137</v>
      </c>
      <c r="AS42" s="231">
        <v>275.76240013248696</v>
      </c>
      <c r="AT42" s="231">
        <v>3659.4434776874318</v>
      </c>
      <c r="AU42" s="231">
        <v>1113.5886548416117</v>
      </c>
      <c r="AV42" s="231">
        <v>2549.7378636348444</v>
      </c>
      <c r="AW42" s="231">
        <v>5332.7148854478364</v>
      </c>
      <c r="AX42" s="231">
        <v>5518.2640082412026</v>
      </c>
      <c r="AY42" s="412">
        <f t="shared" si="92"/>
        <v>26271.297227834184</v>
      </c>
      <c r="AZ42" s="417">
        <v>0</v>
      </c>
      <c r="BA42" s="231">
        <v>4444.9716811017979</v>
      </c>
      <c r="BB42" s="231">
        <v>0</v>
      </c>
      <c r="BC42" s="231">
        <v>8832.5034254804978</v>
      </c>
      <c r="BD42" s="231">
        <v>0</v>
      </c>
      <c r="BE42" s="231">
        <v>8891.0526272673269</v>
      </c>
      <c r="BF42" s="231">
        <v>0</v>
      </c>
      <c r="BG42" s="231">
        <v>8053.7903241277909</v>
      </c>
      <c r="BH42" s="414">
        <f t="shared" si="93"/>
        <v>30222.318057977413</v>
      </c>
      <c r="BI42" s="415">
        <f t="shared" si="94"/>
        <v>56493.615285811597</v>
      </c>
      <c r="BJ42" s="300">
        <v>20</v>
      </c>
      <c r="BK42" s="231">
        <v>0</v>
      </c>
      <c r="BL42" s="231">
        <v>0</v>
      </c>
      <c r="BM42" s="231">
        <v>0</v>
      </c>
      <c r="BN42" s="231">
        <v>0</v>
      </c>
      <c r="BO42" s="231">
        <v>0</v>
      </c>
      <c r="BP42" s="231">
        <v>0</v>
      </c>
      <c r="BQ42" s="231">
        <v>0</v>
      </c>
      <c r="BR42" s="231">
        <v>0</v>
      </c>
      <c r="BS42" s="412">
        <f t="shared" si="95"/>
        <v>0</v>
      </c>
      <c r="BT42" s="417">
        <v>0</v>
      </c>
      <c r="BU42" s="231">
        <v>0</v>
      </c>
      <c r="BV42" s="231">
        <v>0</v>
      </c>
      <c r="BW42" s="231">
        <v>0</v>
      </c>
      <c r="BX42" s="231">
        <v>0</v>
      </c>
      <c r="BY42" s="231">
        <v>0</v>
      </c>
      <c r="BZ42" s="231">
        <v>0</v>
      </c>
      <c r="CA42" s="231">
        <v>0</v>
      </c>
      <c r="CB42" s="414">
        <f t="shared" si="96"/>
        <v>0</v>
      </c>
      <c r="CC42" s="415">
        <f t="shared" si="97"/>
        <v>0</v>
      </c>
      <c r="CD42" s="300">
        <v>20</v>
      </c>
      <c r="CE42" s="414">
        <f t="shared" si="98"/>
        <v>9805.5407345373824</v>
      </c>
      <c r="CF42" s="414">
        <f t="shared" si="99"/>
        <v>4100.6593059346169</v>
      </c>
      <c r="CG42" s="414">
        <f t="shared" si="100"/>
        <v>4669.4591072924413</v>
      </c>
      <c r="CH42" s="414">
        <f t="shared" si="101"/>
        <v>12861.949729201602</v>
      </c>
      <c r="CI42" s="416">
        <f t="shared" si="102"/>
        <v>31437.608876966038</v>
      </c>
      <c r="CJ42" s="414">
        <f t="shared" si="103"/>
        <v>5020.1565545564154</v>
      </c>
      <c r="CK42" s="414">
        <f t="shared" si="104"/>
        <v>10393.574765480986</v>
      </c>
      <c r="CL42" s="414">
        <f t="shared" si="105"/>
        <v>12980.437406628331</v>
      </c>
      <c r="CM42" s="414">
        <f t="shared" si="106"/>
        <v>11158.567001795884</v>
      </c>
      <c r="CN42" s="416">
        <f t="shared" si="107"/>
        <v>39552.735728461616</v>
      </c>
      <c r="CO42" s="414">
        <f t="shared" si="108"/>
        <v>14825.697289093798</v>
      </c>
      <c r="CP42" s="414">
        <f t="shared" si="109"/>
        <v>14494.234071415602</v>
      </c>
      <c r="CQ42" s="414">
        <f t="shared" si="110"/>
        <v>17649.896513920772</v>
      </c>
      <c r="CR42" s="414">
        <f t="shared" si="111"/>
        <v>24020.516730997486</v>
      </c>
      <c r="CS42" s="416">
        <f t="shared" si="112"/>
        <v>70990.344605427657</v>
      </c>
      <c r="CT42" s="319"/>
    </row>
    <row r="43" spans="1:102" ht="15.75" customHeight="1">
      <c r="A43" s="88" t="s">
        <v>206</v>
      </c>
      <c r="B43" s="300">
        <v>21</v>
      </c>
      <c r="C43" s="231"/>
      <c r="D43" s="231"/>
      <c r="E43" s="231"/>
      <c r="F43" s="231"/>
      <c r="G43" s="231"/>
      <c r="H43" s="231"/>
      <c r="I43" s="231"/>
      <c r="J43" s="231"/>
      <c r="K43" s="412">
        <f t="shared" si="86"/>
        <v>0</v>
      </c>
      <c r="L43" s="417"/>
      <c r="M43" s="231">
        <f>M19</f>
        <v>42459</v>
      </c>
      <c r="N43" s="231">
        <f t="shared" ref="N43:S43" si="113">N19</f>
        <v>0</v>
      </c>
      <c r="O43" s="231">
        <f t="shared" si="113"/>
        <v>43600</v>
      </c>
      <c r="P43" s="231">
        <f t="shared" si="113"/>
        <v>0</v>
      </c>
      <c r="Q43" s="231">
        <f t="shared" si="113"/>
        <v>57454</v>
      </c>
      <c r="R43" s="231">
        <f t="shared" si="113"/>
        <v>0</v>
      </c>
      <c r="S43" s="231">
        <f t="shared" si="113"/>
        <v>82682</v>
      </c>
      <c r="T43" s="414">
        <f t="shared" si="87"/>
        <v>226195</v>
      </c>
      <c r="U43" s="415">
        <f t="shared" si="88"/>
        <v>226195</v>
      </c>
      <c r="V43" s="300">
        <v>21</v>
      </c>
      <c r="W43" s="231"/>
      <c r="X43" s="231"/>
      <c r="Y43" s="231"/>
      <c r="Z43" s="231"/>
      <c r="AA43" s="231"/>
      <c r="AB43" s="231"/>
      <c r="AC43" s="231"/>
      <c r="AD43" s="231"/>
      <c r="AE43" s="412">
        <f t="shared" si="89"/>
        <v>0</v>
      </c>
      <c r="AF43" s="417"/>
      <c r="AG43" s="231">
        <f>AG19</f>
        <v>23381</v>
      </c>
      <c r="AH43" s="231"/>
      <c r="AI43" s="231">
        <f>AI19</f>
        <v>18641</v>
      </c>
      <c r="AJ43" s="231"/>
      <c r="AK43" s="231">
        <f>AK19</f>
        <v>41635</v>
      </c>
      <c r="AL43" s="231"/>
      <c r="AM43" s="231">
        <f>AM19</f>
        <v>31127</v>
      </c>
      <c r="AN43" s="414">
        <f t="shared" si="90"/>
        <v>114784</v>
      </c>
      <c r="AO43" s="415">
        <f t="shared" si="91"/>
        <v>114784</v>
      </c>
      <c r="AP43" s="300">
        <v>21</v>
      </c>
      <c r="AQ43" s="231">
        <f t="shared" ref="AQ43:AX43" si="114">AQ19</f>
        <v>0</v>
      </c>
      <c r="AR43" s="231">
        <f t="shared" si="114"/>
        <v>0</v>
      </c>
      <c r="AS43" s="231">
        <f t="shared" si="114"/>
        <v>0</v>
      </c>
      <c r="AT43" s="231">
        <f t="shared" si="114"/>
        <v>0</v>
      </c>
      <c r="AU43" s="231">
        <f t="shared" si="114"/>
        <v>0</v>
      </c>
      <c r="AV43" s="231">
        <f t="shared" si="114"/>
        <v>0</v>
      </c>
      <c r="AW43" s="231">
        <f t="shared" si="114"/>
        <v>0</v>
      </c>
      <c r="AX43" s="231">
        <f t="shared" si="114"/>
        <v>0</v>
      </c>
      <c r="AY43" s="412">
        <f t="shared" si="92"/>
        <v>0</v>
      </c>
      <c r="AZ43" s="417">
        <f t="shared" ref="AZ43:BG43" si="115">AZ19</f>
        <v>0</v>
      </c>
      <c r="BA43" s="231">
        <f t="shared" si="115"/>
        <v>516558</v>
      </c>
      <c r="BB43" s="231">
        <f t="shared" si="115"/>
        <v>0</v>
      </c>
      <c r="BC43" s="231">
        <f t="shared" si="115"/>
        <v>605058</v>
      </c>
      <c r="BD43" s="231">
        <f t="shared" si="115"/>
        <v>0</v>
      </c>
      <c r="BE43" s="231">
        <f t="shared" si="115"/>
        <v>561818</v>
      </c>
      <c r="BF43" s="231">
        <f t="shared" si="115"/>
        <v>0</v>
      </c>
      <c r="BG43" s="231">
        <f t="shared" si="115"/>
        <v>578487</v>
      </c>
      <c r="BH43" s="414">
        <f t="shared" si="93"/>
        <v>2261921</v>
      </c>
      <c r="BI43" s="415">
        <f t="shared" si="94"/>
        <v>2261921</v>
      </c>
      <c r="BJ43" s="300">
        <v>21</v>
      </c>
      <c r="BK43" s="231">
        <f t="shared" ref="BK43:BR43" si="116">BK19</f>
        <v>0</v>
      </c>
      <c r="BL43" s="231">
        <f t="shared" si="116"/>
        <v>0</v>
      </c>
      <c r="BM43" s="231">
        <f t="shared" si="116"/>
        <v>0</v>
      </c>
      <c r="BN43" s="231">
        <f t="shared" si="116"/>
        <v>0</v>
      </c>
      <c r="BO43" s="231">
        <f t="shared" si="116"/>
        <v>0</v>
      </c>
      <c r="BP43" s="231">
        <f t="shared" si="116"/>
        <v>0</v>
      </c>
      <c r="BQ43" s="231">
        <f t="shared" si="116"/>
        <v>0</v>
      </c>
      <c r="BR43" s="231">
        <f t="shared" si="116"/>
        <v>0</v>
      </c>
      <c r="BS43" s="412">
        <f t="shared" si="95"/>
        <v>0</v>
      </c>
      <c r="BT43" s="417">
        <f t="shared" ref="BT43:CA43" si="117">BT19</f>
        <v>0</v>
      </c>
      <c r="BU43" s="231">
        <f t="shared" si="117"/>
        <v>20968</v>
      </c>
      <c r="BV43" s="231">
        <f t="shared" si="117"/>
        <v>0</v>
      </c>
      <c r="BW43" s="231">
        <f t="shared" si="117"/>
        <v>19665</v>
      </c>
      <c r="BX43" s="231">
        <f t="shared" si="117"/>
        <v>0</v>
      </c>
      <c r="BY43" s="231">
        <f t="shared" si="117"/>
        <v>25078</v>
      </c>
      <c r="BZ43" s="231">
        <f t="shared" si="117"/>
        <v>0</v>
      </c>
      <c r="CA43" s="231">
        <f t="shared" si="117"/>
        <v>22983</v>
      </c>
      <c r="CB43" s="414">
        <f t="shared" si="96"/>
        <v>88694</v>
      </c>
      <c r="CC43" s="415">
        <f t="shared" si="97"/>
        <v>88694</v>
      </c>
      <c r="CD43" s="300">
        <v>21</v>
      </c>
      <c r="CE43" s="414">
        <f t="shared" si="98"/>
        <v>0</v>
      </c>
      <c r="CF43" s="414">
        <f t="shared" si="99"/>
        <v>0</v>
      </c>
      <c r="CG43" s="414">
        <f t="shared" si="100"/>
        <v>0</v>
      </c>
      <c r="CH43" s="414">
        <f t="shared" si="101"/>
        <v>0</v>
      </c>
      <c r="CI43" s="416">
        <f t="shared" si="102"/>
        <v>0</v>
      </c>
      <c r="CJ43" s="414">
        <f t="shared" si="103"/>
        <v>603366</v>
      </c>
      <c r="CK43" s="414">
        <f t="shared" si="104"/>
        <v>686964</v>
      </c>
      <c r="CL43" s="414">
        <f t="shared" si="105"/>
        <v>685985</v>
      </c>
      <c r="CM43" s="414">
        <f t="shared" si="106"/>
        <v>715279</v>
      </c>
      <c r="CN43" s="416">
        <f t="shared" si="107"/>
        <v>2691594</v>
      </c>
      <c r="CO43" s="414">
        <f t="shared" si="108"/>
        <v>603366</v>
      </c>
      <c r="CP43" s="414">
        <f t="shared" si="109"/>
        <v>686964</v>
      </c>
      <c r="CQ43" s="414">
        <f t="shared" si="110"/>
        <v>685985</v>
      </c>
      <c r="CR43" s="414">
        <f t="shared" si="111"/>
        <v>715279</v>
      </c>
      <c r="CS43" s="416">
        <f t="shared" si="112"/>
        <v>2691594</v>
      </c>
      <c r="CT43" s="319"/>
    </row>
    <row r="44" spans="1:102" ht="15.75" customHeight="1">
      <c r="A44" s="88" t="s">
        <v>207</v>
      </c>
      <c r="B44" s="300">
        <v>22</v>
      </c>
      <c r="C44" s="231">
        <v>5506.82</v>
      </c>
      <c r="D44" s="231">
        <v>0</v>
      </c>
      <c r="E44" s="231">
        <v>6823.9626550661906</v>
      </c>
      <c r="F44" s="231">
        <v>1144.4129575586223</v>
      </c>
      <c r="G44" s="231">
        <v>20075.47</v>
      </c>
      <c r="H44" s="231">
        <v>35.008769202620961</v>
      </c>
      <c r="I44" s="231">
        <v>12380.45</v>
      </c>
      <c r="J44" s="231">
        <v>0</v>
      </c>
      <c r="K44" s="412">
        <f t="shared" si="86"/>
        <v>45966.124381827438</v>
      </c>
      <c r="L44" s="417">
        <v>0</v>
      </c>
      <c r="M44" s="231">
        <v>48539.73648813492</v>
      </c>
      <c r="N44" s="231">
        <v>0</v>
      </c>
      <c r="O44" s="231">
        <v>43089.98170169261</v>
      </c>
      <c r="P44" s="231">
        <v>0</v>
      </c>
      <c r="Q44" s="231">
        <v>62231.61</v>
      </c>
      <c r="R44" s="231">
        <v>0</v>
      </c>
      <c r="S44" s="231">
        <v>56113.420000000013</v>
      </c>
      <c r="T44" s="414">
        <f t="shared" si="87"/>
        <v>209974.74818982754</v>
      </c>
      <c r="U44" s="415">
        <f t="shared" si="88"/>
        <v>255940.87257165497</v>
      </c>
      <c r="V44" s="300">
        <v>22</v>
      </c>
      <c r="W44" s="231">
        <v>63.33</v>
      </c>
      <c r="X44" s="231">
        <v>0</v>
      </c>
      <c r="Y44" s="231">
        <v>1180.8800000000001</v>
      </c>
      <c r="Z44" s="231">
        <v>22.547242143661553</v>
      </c>
      <c r="AA44" s="231">
        <v>994.65</v>
      </c>
      <c r="AB44" s="231">
        <v>0</v>
      </c>
      <c r="AC44" s="231">
        <v>343.41</v>
      </c>
      <c r="AD44" s="231">
        <v>0</v>
      </c>
      <c r="AE44" s="412">
        <f t="shared" si="89"/>
        <v>2604.8172421436616</v>
      </c>
      <c r="AF44" s="417">
        <v>0</v>
      </c>
      <c r="AG44" s="231">
        <v>32306.294896424264</v>
      </c>
      <c r="AH44" s="231">
        <v>0</v>
      </c>
      <c r="AI44" s="231">
        <v>26437.441855331224</v>
      </c>
      <c r="AJ44" s="231">
        <v>0</v>
      </c>
      <c r="AK44" s="231">
        <v>7997.5900000000038</v>
      </c>
      <c r="AL44" s="231">
        <v>0</v>
      </c>
      <c r="AM44" s="231">
        <v>18417.650000000001</v>
      </c>
      <c r="AN44" s="414">
        <f t="shared" si="90"/>
        <v>85158.976751755486</v>
      </c>
      <c r="AO44" s="415">
        <f t="shared" si="91"/>
        <v>87763.793993899148</v>
      </c>
      <c r="AP44" s="300">
        <v>22</v>
      </c>
      <c r="AQ44" s="231">
        <v>112356.63</v>
      </c>
      <c r="AR44" s="231">
        <v>0</v>
      </c>
      <c r="AS44" s="231">
        <v>103558.55683191569</v>
      </c>
      <c r="AT44" s="231">
        <v>10254.933061011834</v>
      </c>
      <c r="AU44" s="231">
        <v>102116.31384516168</v>
      </c>
      <c r="AV44" s="231">
        <v>0</v>
      </c>
      <c r="AW44" s="231">
        <v>153219.1</v>
      </c>
      <c r="AX44" s="231">
        <v>0</v>
      </c>
      <c r="AY44" s="412">
        <f t="shared" si="92"/>
        <v>481505.53373808926</v>
      </c>
      <c r="AZ44" s="417">
        <v>0</v>
      </c>
      <c r="BA44" s="231">
        <v>379707.17154838279</v>
      </c>
      <c r="BB44" s="231">
        <v>0</v>
      </c>
      <c r="BC44" s="231">
        <v>428614.02787806507</v>
      </c>
      <c r="BD44" s="231">
        <v>0</v>
      </c>
      <c r="BE44" s="231">
        <v>523295.953320692</v>
      </c>
      <c r="BF44" s="231">
        <v>0</v>
      </c>
      <c r="BG44" s="231">
        <v>572117.63592347596</v>
      </c>
      <c r="BH44" s="414">
        <f t="shared" si="93"/>
        <v>1903734.7886706158</v>
      </c>
      <c r="BI44" s="415">
        <f t="shared" si="94"/>
        <v>2385240.322408705</v>
      </c>
      <c r="BJ44" s="300">
        <v>22</v>
      </c>
      <c r="BK44" s="231">
        <v>0</v>
      </c>
      <c r="BL44" s="231">
        <v>0</v>
      </c>
      <c r="BM44" s="231">
        <v>0</v>
      </c>
      <c r="BN44" s="231">
        <v>0</v>
      </c>
      <c r="BO44" s="231">
        <v>214.7</v>
      </c>
      <c r="BP44" s="231">
        <v>0</v>
      </c>
      <c r="BQ44" s="231">
        <v>0</v>
      </c>
      <c r="BR44" s="231">
        <v>0</v>
      </c>
      <c r="BS44" s="412">
        <f t="shared" si="95"/>
        <v>214.7</v>
      </c>
      <c r="BT44" s="417">
        <v>0</v>
      </c>
      <c r="BU44" s="231">
        <v>8099.09</v>
      </c>
      <c r="BV44" s="231">
        <v>0</v>
      </c>
      <c r="BW44" s="231">
        <v>12098.89</v>
      </c>
      <c r="BX44" s="231">
        <v>0</v>
      </c>
      <c r="BY44" s="231">
        <v>4645.7999999999993</v>
      </c>
      <c r="BZ44" s="231">
        <v>0</v>
      </c>
      <c r="CA44" s="231">
        <v>2769.619999999999</v>
      </c>
      <c r="CB44" s="414">
        <f t="shared" si="96"/>
        <v>27613.399999999998</v>
      </c>
      <c r="CC44" s="415">
        <f t="shared" si="97"/>
        <v>27828.1</v>
      </c>
      <c r="CD44" s="300">
        <v>22</v>
      </c>
      <c r="CE44" s="414">
        <f t="shared" si="98"/>
        <v>117926.78</v>
      </c>
      <c r="CF44" s="414">
        <f t="shared" si="99"/>
        <v>122985.29274769599</v>
      </c>
      <c r="CG44" s="414">
        <f t="shared" si="100"/>
        <v>123436.1426143643</v>
      </c>
      <c r="CH44" s="414">
        <f t="shared" si="101"/>
        <v>165942.96000000002</v>
      </c>
      <c r="CI44" s="416">
        <f t="shared" si="102"/>
        <v>530291.17536206031</v>
      </c>
      <c r="CJ44" s="414">
        <f t="shared" si="103"/>
        <v>468652.29293294199</v>
      </c>
      <c r="CK44" s="414">
        <f t="shared" si="104"/>
        <v>510240.34143508889</v>
      </c>
      <c r="CL44" s="414">
        <f t="shared" si="105"/>
        <v>598170.95332069206</v>
      </c>
      <c r="CM44" s="414">
        <f t="shared" si="106"/>
        <v>649418.32592347602</v>
      </c>
      <c r="CN44" s="416">
        <f t="shared" si="107"/>
        <v>2226481.9136121986</v>
      </c>
      <c r="CO44" s="414">
        <f t="shared" si="108"/>
        <v>586579.07293294196</v>
      </c>
      <c r="CP44" s="414">
        <f t="shared" si="109"/>
        <v>633225.63418278494</v>
      </c>
      <c r="CQ44" s="414">
        <f t="shared" si="110"/>
        <v>721607.09593505622</v>
      </c>
      <c r="CR44" s="414">
        <f t="shared" si="111"/>
        <v>815361.28592347598</v>
      </c>
      <c r="CS44" s="416">
        <f t="shared" si="112"/>
        <v>2756773.0889742593</v>
      </c>
      <c r="CU44" s="319"/>
    </row>
    <row r="45" spans="1:102" ht="15.75" customHeight="1">
      <c r="A45" s="88" t="s">
        <v>209</v>
      </c>
      <c r="B45" s="300">
        <v>23</v>
      </c>
      <c r="C45" s="231">
        <v>4015.9081704627306</v>
      </c>
      <c r="D45" s="231">
        <v>0</v>
      </c>
      <c r="E45" s="231">
        <v>5287.0744357575322</v>
      </c>
      <c r="F45" s="231">
        <v>1144.4129575586223</v>
      </c>
      <c r="G45" s="231">
        <v>15889.241476569268</v>
      </c>
      <c r="H45" s="231">
        <v>35.008769202620961</v>
      </c>
      <c r="I45" s="231">
        <v>9967.5121465926095</v>
      </c>
      <c r="J45" s="231">
        <v>0</v>
      </c>
      <c r="K45" s="412">
        <f t="shared" si="86"/>
        <v>36339.15795614339</v>
      </c>
      <c r="L45" s="417">
        <v>0</v>
      </c>
      <c r="M45" s="231">
        <v>21316.985281538706</v>
      </c>
      <c r="N45" s="231">
        <v>0</v>
      </c>
      <c r="O45" s="231">
        <v>18253.523455585473</v>
      </c>
      <c r="P45" s="231">
        <v>0</v>
      </c>
      <c r="Q45" s="231">
        <v>30348.393647388541</v>
      </c>
      <c r="R45" s="231">
        <v>0</v>
      </c>
      <c r="S45" s="231">
        <v>20847.101775857242</v>
      </c>
      <c r="T45" s="414">
        <f t="shared" si="87"/>
        <v>90766.004160369965</v>
      </c>
      <c r="U45" s="415">
        <f t="shared" si="88"/>
        <v>127105.16211651335</v>
      </c>
      <c r="V45" s="300">
        <v>23</v>
      </c>
      <c r="W45" s="231">
        <v>46.184088899837789</v>
      </c>
      <c r="X45" s="231">
        <v>0</v>
      </c>
      <c r="Y45" s="231">
        <v>894.63116945197362</v>
      </c>
      <c r="Z45" s="231">
        <v>22.547242143661553</v>
      </c>
      <c r="AA45" s="231">
        <v>787.2410476402107</v>
      </c>
      <c r="AB45" s="231">
        <v>0</v>
      </c>
      <c r="AC45" s="231">
        <v>276.47971974050768</v>
      </c>
      <c r="AD45" s="231">
        <v>0</v>
      </c>
      <c r="AE45" s="412">
        <f t="shared" si="89"/>
        <v>2027.0832678761913</v>
      </c>
      <c r="AF45" s="417">
        <v>0</v>
      </c>
      <c r="AG45" s="231">
        <v>15639.922826198506</v>
      </c>
      <c r="AH45" s="231">
        <v>0</v>
      </c>
      <c r="AI45" s="231">
        <v>13424.497179134874</v>
      </c>
      <c r="AJ45" s="231">
        <v>0</v>
      </c>
      <c r="AK45" s="231">
        <v>-5224.1055329349983</v>
      </c>
      <c r="AL45" s="231">
        <v>0</v>
      </c>
      <c r="AM45" s="231">
        <v>5828.9249644958472</v>
      </c>
      <c r="AN45" s="414">
        <f t="shared" si="90"/>
        <v>29669.23943689423</v>
      </c>
      <c r="AO45" s="415">
        <f t="shared" si="91"/>
        <v>31696.32270477042</v>
      </c>
      <c r="AP45" s="300">
        <v>23</v>
      </c>
      <c r="AQ45" s="231">
        <v>81937.290200634481</v>
      </c>
      <c r="AR45" s="231">
        <v>0</v>
      </c>
      <c r="AS45" s="231">
        <v>78967.467824191015</v>
      </c>
      <c r="AT45" s="231">
        <v>10254.933061011834</v>
      </c>
      <c r="AU45" s="231">
        <v>80826.025209983272</v>
      </c>
      <c r="AV45" s="231">
        <v>0</v>
      </c>
      <c r="AW45" s="231">
        <v>123356.84408401858</v>
      </c>
      <c r="AX45" s="231">
        <v>0</v>
      </c>
      <c r="AY45" s="412">
        <f t="shared" si="92"/>
        <v>375342.56037983915</v>
      </c>
      <c r="AZ45" s="417">
        <v>0</v>
      </c>
      <c r="BA45" s="231">
        <v>111471.77056674164</v>
      </c>
      <c r="BB45" s="231">
        <v>0</v>
      </c>
      <c r="BC45" s="231">
        <v>131483.14527053171</v>
      </c>
      <c r="BD45" s="231">
        <v>0</v>
      </c>
      <c r="BE45" s="231">
        <v>234236.16553919652</v>
      </c>
      <c r="BF45" s="231">
        <v>0</v>
      </c>
      <c r="BG45" s="231">
        <v>279799.66430357826</v>
      </c>
      <c r="BH45" s="414">
        <f t="shared" si="93"/>
        <v>756990.74568004813</v>
      </c>
      <c r="BI45" s="415">
        <f t="shared" si="94"/>
        <v>1132333.3060598872</v>
      </c>
      <c r="BJ45" s="300">
        <v>23</v>
      </c>
      <c r="BK45" s="231">
        <v>0</v>
      </c>
      <c r="BL45" s="231">
        <v>0</v>
      </c>
      <c r="BM45" s="231">
        <v>0</v>
      </c>
      <c r="BN45" s="231">
        <v>0</v>
      </c>
      <c r="BO45" s="231">
        <v>169.9297772365689</v>
      </c>
      <c r="BP45" s="231">
        <v>0</v>
      </c>
      <c r="BQ45" s="231">
        <v>0</v>
      </c>
      <c r="BR45" s="231">
        <v>0</v>
      </c>
      <c r="BS45" s="412">
        <f t="shared" si="95"/>
        <v>169.9297772365689</v>
      </c>
      <c r="BT45" s="417">
        <v>0</v>
      </c>
      <c r="BU45" s="231">
        <v>-602.43065474853938</v>
      </c>
      <c r="BV45" s="231">
        <v>0</v>
      </c>
      <c r="BW45" s="231">
        <v>2905.054471598145</v>
      </c>
      <c r="BX45" s="231">
        <v>0</v>
      </c>
      <c r="BY45" s="231">
        <v>-3272.3644824975672</v>
      </c>
      <c r="BZ45" s="231">
        <v>0</v>
      </c>
      <c r="CA45" s="231">
        <v>-3773.8245469273752</v>
      </c>
      <c r="CB45" s="414">
        <f t="shared" si="96"/>
        <v>-4743.5652125753368</v>
      </c>
      <c r="CC45" s="415">
        <f t="shared" si="97"/>
        <v>-4573.6354353387678</v>
      </c>
      <c r="CD45" s="300">
        <v>23</v>
      </c>
      <c r="CE45" s="414">
        <f t="shared" si="98"/>
        <v>85999.382459997054</v>
      </c>
      <c r="CF45" s="414">
        <f t="shared" si="99"/>
        <v>96571.066690114632</v>
      </c>
      <c r="CG45" s="414">
        <f t="shared" si="100"/>
        <v>97707.446280631935</v>
      </c>
      <c r="CH45" s="414">
        <f t="shared" si="101"/>
        <v>133600.8359503517</v>
      </c>
      <c r="CI45" s="416">
        <f t="shared" si="102"/>
        <v>413878.73138109531</v>
      </c>
      <c r="CJ45" s="414">
        <f t="shared" si="103"/>
        <v>147826.24801973029</v>
      </c>
      <c r="CK45" s="414">
        <f t="shared" si="104"/>
        <v>166066.22037685019</v>
      </c>
      <c r="CL45" s="414">
        <f t="shared" si="105"/>
        <v>256088.0891711525</v>
      </c>
      <c r="CM45" s="414">
        <f t="shared" si="106"/>
        <v>302701.866497004</v>
      </c>
      <c r="CN45" s="416">
        <f t="shared" si="107"/>
        <v>872682.42406473693</v>
      </c>
      <c r="CO45" s="414">
        <f t="shared" si="108"/>
        <v>233825.63047972738</v>
      </c>
      <c r="CP45" s="414">
        <f t="shared" si="109"/>
        <v>262637.28706696484</v>
      </c>
      <c r="CQ45" s="414">
        <f t="shared" si="110"/>
        <v>353795.53545178444</v>
      </c>
      <c r="CR45" s="414">
        <f t="shared" si="111"/>
        <v>436302.70244735572</v>
      </c>
      <c r="CS45" s="416">
        <f t="shared" si="112"/>
        <v>1286561.1554458321</v>
      </c>
      <c r="CU45" s="319"/>
      <c r="CV45" s="319"/>
    </row>
    <row r="46" spans="1:102" ht="15.75" customHeight="1">
      <c r="A46" s="88" t="s">
        <v>211</v>
      </c>
      <c r="B46" s="300">
        <v>24</v>
      </c>
      <c r="C46" s="231">
        <v>0</v>
      </c>
      <c r="D46" s="231">
        <v>0</v>
      </c>
      <c r="E46" s="231">
        <v>555.85</v>
      </c>
      <c r="F46" s="231">
        <v>0</v>
      </c>
      <c r="G46" s="231">
        <v>1889.48</v>
      </c>
      <c r="H46" s="231">
        <v>0</v>
      </c>
      <c r="I46" s="231">
        <v>1291.8699999999999</v>
      </c>
      <c r="J46" s="231">
        <v>0</v>
      </c>
      <c r="K46" s="412">
        <f t="shared" si="86"/>
        <v>3737.2</v>
      </c>
      <c r="L46" s="417">
        <v>0</v>
      </c>
      <c r="M46" s="231">
        <v>5274.85</v>
      </c>
      <c r="N46" s="231">
        <v>0</v>
      </c>
      <c r="O46" s="231">
        <v>3577.34</v>
      </c>
      <c r="P46" s="231">
        <v>0</v>
      </c>
      <c r="Q46" s="231">
        <v>6186.19</v>
      </c>
      <c r="R46" s="231">
        <v>0</v>
      </c>
      <c r="S46" s="231">
        <v>10667.48</v>
      </c>
      <c r="T46" s="414">
        <f t="shared" si="87"/>
        <v>25705.86</v>
      </c>
      <c r="U46" s="415">
        <f t="shared" si="88"/>
        <v>29443.06</v>
      </c>
      <c r="V46" s="300">
        <v>24</v>
      </c>
      <c r="W46" s="231">
        <v>0</v>
      </c>
      <c r="X46" s="231">
        <v>0</v>
      </c>
      <c r="Y46" s="231">
        <v>0</v>
      </c>
      <c r="Z46" s="231">
        <v>0</v>
      </c>
      <c r="AA46" s="231">
        <v>97.8</v>
      </c>
      <c r="AB46" s="231">
        <v>0</v>
      </c>
      <c r="AC46" s="231">
        <v>0</v>
      </c>
      <c r="AD46" s="231">
        <v>0</v>
      </c>
      <c r="AE46" s="412">
        <f t="shared" si="89"/>
        <v>97.8</v>
      </c>
      <c r="AF46" s="417">
        <v>0</v>
      </c>
      <c r="AG46" s="231">
        <v>1183.3900000000001</v>
      </c>
      <c r="AH46" s="231">
        <v>0</v>
      </c>
      <c r="AI46" s="231">
        <v>1254.32</v>
      </c>
      <c r="AJ46" s="231">
        <v>0</v>
      </c>
      <c r="AK46" s="231">
        <v>1871.42</v>
      </c>
      <c r="AL46" s="231">
        <v>0</v>
      </c>
      <c r="AM46" s="231">
        <v>1498.66</v>
      </c>
      <c r="AN46" s="414">
        <f t="shared" si="90"/>
        <v>5807.79</v>
      </c>
      <c r="AO46" s="415">
        <f t="shared" si="91"/>
        <v>5905.59</v>
      </c>
      <c r="AP46" s="300">
        <v>24</v>
      </c>
      <c r="AQ46" s="231">
        <v>1341.41</v>
      </c>
      <c r="AR46" s="231">
        <v>0</v>
      </c>
      <c r="AS46" s="231">
        <v>749.36</v>
      </c>
      <c r="AT46" s="231">
        <v>0</v>
      </c>
      <c r="AU46" s="231">
        <v>5081.7</v>
      </c>
      <c r="AV46" s="231">
        <v>0</v>
      </c>
      <c r="AW46" s="231">
        <v>11060.07</v>
      </c>
      <c r="AX46" s="231">
        <v>0</v>
      </c>
      <c r="AY46" s="412">
        <f t="shared" si="92"/>
        <v>18232.54</v>
      </c>
      <c r="AZ46" s="417">
        <v>0</v>
      </c>
      <c r="BA46" s="231">
        <v>25092.55</v>
      </c>
      <c r="BB46" s="231">
        <v>0</v>
      </c>
      <c r="BC46" s="231">
        <v>28527.26</v>
      </c>
      <c r="BD46" s="231">
        <v>0</v>
      </c>
      <c r="BE46" s="231">
        <v>48282.11</v>
      </c>
      <c r="BF46" s="231">
        <v>0</v>
      </c>
      <c r="BG46" s="231">
        <v>52546.01</v>
      </c>
      <c r="BH46" s="414">
        <f t="shared" si="93"/>
        <v>154447.93</v>
      </c>
      <c r="BI46" s="415">
        <f t="shared" si="94"/>
        <v>172680.47</v>
      </c>
      <c r="BJ46" s="300">
        <v>24</v>
      </c>
      <c r="BK46" s="231">
        <v>0</v>
      </c>
      <c r="BL46" s="231">
        <v>0</v>
      </c>
      <c r="BM46" s="231">
        <v>0</v>
      </c>
      <c r="BN46" s="231">
        <v>0</v>
      </c>
      <c r="BO46" s="231">
        <v>0</v>
      </c>
      <c r="BP46" s="231">
        <v>0</v>
      </c>
      <c r="BQ46" s="231">
        <v>0</v>
      </c>
      <c r="BR46" s="231">
        <v>0</v>
      </c>
      <c r="BS46" s="412">
        <f t="shared" si="95"/>
        <v>0</v>
      </c>
      <c r="BT46" s="417">
        <v>0</v>
      </c>
      <c r="BU46" s="231">
        <v>1288.56</v>
      </c>
      <c r="BV46" s="231">
        <v>0</v>
      </c>
      <c r="BW46" s="231">
        <v>730.89</v>
      </c>
      <c r="BX46" s="231">
        <v>0</v>
      </c>
      <c r="BY46" s="231">
        <v>279.74</v>
      </c>
      <c r="BZ46" s="231">
        <v>0</v>
      </c>
      <c r="CA46" s="231">
        <v>523.16</v>
      </c>
      <c r="CB46" s="414">
        <f t="shared" si="96"/>
        <v>2822.3499999999995</v>
      </c>
      <c r="CC46" s="415">
        <f t="shared" si="97"/>
        <v>2822.3499999999995</v>
      </c>
      <c r="CD46" s="300">
        <v>24</v>
      </c>
      <c r="CE46" s="414">
        <f t="shared" si="98"/>
        <v>1341.41</v>
      </c>
      <c r="CF46" s="414">
        <f t="shared" si="99"/>
        <v>1305.21</v>
      </c>
      <c r="CG46" s="414">
        <f t="shared" si="100"/>
        <v>7068.98</v>
      </c>
      <c r="CH46" s="414">
        <f t="shared" si="101"/>
        <v>12351.939999999999</v>
      </c>
      <c r="CI46" s="416">
        <f t="shared" si="102"/>
        <v>22067.54</v>
      </c>
      <c r="CJ46" s="414">
        <f t="shared" si="103"/>
        <v>32839.35</v>
      </c>
      <c r="CK46" s="414">
        <f t="shared" si="104"/>
        <v>34089.81</v>
      </c>
      <c r="CL46" s="414">
        <f t="shared" si="105"/>
        <v>56619.46</v>
      </c>
      <c r="CM46" s="414">
        <f t="shared" si="106"/>
        <v>65235.310000000005</v>
      </c>
      <c r="CN46" s="416">
        <f t="shared" si="107"/>
        <v>188783.93</v>
      </c>
      <c r="CO46" s="414">
        <f t="shared" si="108"/>
        <v>34180.759999999995</v>
      </c>
      <c r="CP46" s="414">
        <f t="shared" si="109"/>
        <v>35395.019999999997</v>
      </c>
      <c r="CQ46" s="414">
        <f t="shared" si="110"/>
        <v>63688.439999999995</v>
      </c>
      <c r="CR46" s="414">
        <f t="shared" si="111"/>
        <v>77587.25</v>
      </c>
      <c r="CS46" s="416">
        <f t="shared" si="112"/>
        <v>210851.47</v>
      </c>
    </row>
    <row r="47" spans="1:102" ht="15.75" customHeight="1">
      <c r="A47" s="88" t="s">
        <v>212</v>
      </c>
      <c r="B47" s="300">
        <v>25</v>
      </c>
      <c r="C47" s="231">
        <v>0</v>
      </c>
      <c r="D47" s="231">
        <v>0</v>
      </c>
      <c r="E47" s="231">
        <v>421.1103037902916</v>
      </c>
      <c r="F47" s="231">
        <v>0</v>
      </c>
      <c r="G47" s="231">
        <v>1495.4770167347565</v>
      </c>
      <c r="H47" s="231">
        <v>0</v>
      </c>
      <c r="I47" s="231">
        <v>1040.085773685011</v>
      </c>
      <c r="J47" s="231">
        <v>0</v>
      </c>
      <c r="K47" s="412">
        <f t="shared" si="86"/>
        <v>2956.6730942100594</v>
      </c>
      <c r="L47" s="417">
        <v>0</v>
      </c>
      <c r="M47" s="231">
        <v>3507.4147702750024</v>
      </c>
      <c r="N47" s="231">
        <v>0</v>
      </c>
      <c r="O47" s="231">
        <v>2364.9924424004512</v>
      </c>
      <c r="P47" s="231">
        <v>0</v>
      </c>
      <c r="Q47" s="231">
        <v>4833.8898697340146</v>
      </c>
      <c r="R47" s="231">
        <v>0</v>
      </c>
      <c r="S47" s="231">
        <v>8542.8982383402617</v>
      </c>
      <c r="T47" s="414">
        <f t="shared" si="87"/>
        <v>19249.195320749728</v>
      </c>
      <c r="U47" s="415">
        <f t="shared" si="88"/>
        <v>22205.868414959787</v>
      </c>
      <c r="V47" s="300">
        <v>25</v>
      </c>
      <c r="W47" s="231">
        <v>0</v>
      </c>
      <c r="X47" s="231">
        <v>0</v>
      </c>
      <c r="Y47" s="231">
        <v>0</v>
      </c>
      <c r="Z47" s="231">
        <v>0</v>
      </c>
      <c r="AA47" s="231">
        <v>77.406298154338316</v>
      </c>
      <c r="AB47" s="231">
        <v>0</v>
      </c>
      <c r="AC47" s="231">
        <v>0</v>
      </c>
      <c r="AD47" s="231">
        <v>0</v>
      </c>
      <c r="AE47" s="412">
        <f t="shared" si="89"/>
        <v>77.406298154338316</v>
      </c>
      <c r="AF47" s="417">
        <v>0</v>
      </c>
      <c r="AG47" s="231">
        <v>786.87347791799482</v>
      </c>
      <c r="AH47" s="231">
        <v>0</v>
      </c>
      <c r="AI47" s="231">
        <v>829.23549910037445</v>
      </c>
      <c r="AJ47" s="231">
        <v>0</v>
      </c>
      <c r="AK47" s="231">
        <v>1462.3278916453635</v>
      </c>
      <c r="AL47" s="231">
        <v>0</v>
      </c>
      <c r="AM47" s="231">
        <v>1200.1803494237643</v>
      </c>
      <c r="AN47" s="414">
        <f t="shared" si="90"/>
        <v>4278.6172180874964</v>
      </c>
      <c r="AO47" s="415">
        <f t="shared" si="91"/>
        <v>4356.0235162418348</v>
      </c>
      <c r="AP47" s="300">
        <v>25</v>
      </c>
      <c r="AQ47" s="231">
        <v>978.23778132214466</v>
      </c>
      <c r="AR47" s="231">
        <v>0</v>
      </c>
      <c r="AS47" s="231">
        <v>567.71290320822686</v>
      </c>
      <c r="AT47" s="231">
        <v>0</v>
      </c>
      <c r="AU47" s="231">
        <v>4022.0407498047143</v>
      </c>
      <c r="AV47" s="231">
        <v>0</v>
      </c>
      <c r="AW47" s="231">
        <v>8904.4729446154633</v>
      </c>
      <c r="AX47" s="231">
        <v>0</v>
      </c>
      <c r="AY47" s="412">
        <f t="shared" si="92"/>
        <v>14472.46437895055</v>
      </c>
      <c r="AZ47" s="417">
        <v>0</v>
      </c>
      <c r="BA47" s="231">
        <v>16684.830941896736</v>
      </c>
      <c r="BB47" s="231">
        <v>0</v>
      </c>
      <c r="BC47" s="231">
        <v>18859.475001647224</v>
      </c>
      <c r="BD47" s="231">
        <v>0</v>
      </c>
      <c r="BE47" s="231">
        <v>37727.648587965028</v>
      </c>
      <c r="BF47" s="231">
        <v>0</v>
      </c>
      <c r="BG47" s="231">
        <v>42080.717869713357</v>
      </c>
      <c r="BH47" s="414">
        <f t="shared" si="93"/>
        <v>115352.67240122234</v>
      </c>
      <c r="BI47" s="415">
        <f t="shared" si="94"/>
        <v>129825.13678017289</v>
      </c>
      <c r="BJ47" s="300">
        <v>25</v>
      </c>
      <c r="BK47" s="231">
        <v>0</v>
      </c>
      <c r="BL47" s="231">
        <v>0</v>
      </c>
      <c r="BM47" s="231">
        <v>0</v>
      </c>
      <c r="BN47" s="231">
        <v>0</v>
      </c>
      <c r="BO47" s="231">
        <v>0</v>
      </c>
      <c r="BP47" s="231">
        <v>0</v>
      </c>
      <c r="BQ47" s="231">
        <v>0</v>
      </c>
      <c r="BR47" s="231">
        <v>0</v>
      </c>
      <c r="BS47" s="412">
        <f t="shared" si="95"/>
        <v>0</v>
      </c>
      <c r="BT47" s="417">
        <v>0</v>
      </c>
      <c r="BU47" s="231">
        <v>856.80434067045621</v>
      </c>
      <c r="BV47" s="231">
        <v>0</v>
      </c>
      <c r="BW47" s="231">
        <v>483.19402858718087</v>
      </c>
      <c r="BX47" s="231">
        <v>0</v>
      </c>
      <c r="BY47" s="231">
        <v>218.58888138893138</v>
      </c>
      <c r="BZ47" s="231">
        <v>0</v>
      </c>
      <c r="CA47" s="231">
        <v>418.96517662747823</v>
      </c>
      <c r="CB47" s="414">
        <f t="shared" si="96"/>
        <v>1977.5524272740467</v>
      </c>
      <c r="CC47" s="415">
        <f t="shared" si="97"/>
        <v>1977.5524272740467</v>
      </c>
      <c r="CD47" s="300">
        <v>25</v>
      </c>
      <c r="CE47" s="414">
        <f t="shared" si="98"/>
        <v>978.23778132214466</v>
      </c>
      <c r="CF47" s="414">
        <f t="shared" si="99"/>
        <v>988.82320699851846</v>
      </c>
      <c r="CG47" s="414">
        <f t="shared" si="100"/>
        <v>5594.9240646938088</v>
      </c>
      <c r="CH47" s="414">
        <f t="shared" si="101"/>
        <v>9944.5587183004736</v>
      </c>
      <c r="CI47" s="416">
        <f t="shared" si="102"/>
        <v>17506.543771314948</v>
      </c>
      <c r="CJ47" s="414">
        <f t="shared" si="103"/>
        <v>21835.923530760188</v>
      </c>
      <c r="CK47" s="414">
        <f t="shared" si="104"/>
        <v>22536.896971735234</v>
      </c>
      <c r="CL47" s="414">
        <f t="shared" si="105"/>
        <v>44242.455230733336</v>
      </c>
      <c r="CM47" s="414">
        <f t="shared" si="106"/>
        <v>52242.761634104856</v>
      </c>
      <c r="CN47" s="416">
        <f t="shared" si="107"/>
        <v>140858.03736733363</v>
      </c>
      <c r="CO47" s="414">
        <f t="shared" si="108"/>
        <v>22814.161312082335</v>
      </c>
      <c r="CP47" s="414">
        <f t="shared" si="109"/>
        <v>23525.720178733751</v>
      </c>
      <c r="CQ47" s="414">
        <f t="shared" si="110"/>
        <v>49837.379295427148</v>
      </c>
      <c r="CR47" s="414">
        <f t="shared" si="111"/>
        <v>62187.320352405332</v>
      </c>
      <c r="CS47" s="416">
        <f t="shared" si="112"/>
        <v>158364.58113864856</v>
      </c>
    </row>
    <row r="48" spans="1:102" ht="15.75" customHeight="1">
      <c r="A48" s="88" t="s">
        <v>213</v>
      </c>
      <c r="B48" s="300">
        <v>26</v>
      </c>
      <c r="C48" s="231">
        <v>833.73837434866175</v>
      </c>
      <c r="D48" s="231">
        <v>1749.5578365359991</v>
      </c>
      <c r="E48" s="231">
        <v>2267.6828606515692</v>
      </c>
      <c r="F48" s="231">
        <v>907.38607751457891</v>
      </c>
      <c r="G48" s="231">
        <v>2204.7121683123105</v>
      </c>
      <c r="H48" s="231">
        <v>629.60102600977302</v>
      </c>
      <c r="I48" s="231">
        <v>974.32141827154067</v>
      </c>
      <c r="J48" s="231">
        <v>194.45162642705259</v>
      </c>
      <c r="K48" s="412">
        <f t="shared" si="86"/>
        <v>9761.4513880714858</v>
      </c>
      <c r="L48" s="417">
        <v>0</v>
      </c>
      <c r="M48" s="231">
        <v>10622.765751823206</v>
      </c>
      <c r="N48" s="231">
        <v>0</v>
      </c>
      <c r="O48" s="231">
        <v>12023.810285803494</v>
      </c>
      <c r="P48" s="231">
        <v>0</v>
      </c>
      <c r="Q48" s="231">
        <v>8633.2501143098561</v>
      </c>
      <c r="R48" s="231">
        <v>0</v>
      </c>
      <c r="S48" s="231">
        <v>15312.58850585483</v>
      </c>
      <c r="T48" s="414">
        <f t="shared" si="87"/>
        <v>46592.414657791385</v>
      </c>
      <c r="U48" s="415">
        <f t="shared" si="88"/>
        <v>56353.866045862873</v>
      </c>
      <c r="V48" s="300">
        <v>26</v>
      </c>
      <c r="W48" s="231">
        <v>126.1106771062928</v>
      </c>
      <c r="X48" s="231">
        <v>418.48637586360081</v>
      </c>
      <c r="Y48" s="231">
        <v>0</v>
      </c>
      <c r="Z48" s="231">
        <v>0</v>
      </c>
      <c r="AA48" s="231">
        <v>0</v>
      </c>
      <c r="AB48" s="231">
        <v>30.361856228646694</v>
      </c>
      <c r="AC48" s="231">
        <v>123.20017675651295</v>
      </c>
      <c r="AD48" s="231">
        <v>0</v>
      </c>
      <c r="AE48" s="412">
        <f t="shared" si="89"/>
        <v>698.15908595505334</v>
      </c>
      <c r="AF48" s="417">
        <v>0</v>
      </c>
      <c r="AG48" s="231">
        <v>2292.3805581042029</v>
      </c>
      <c r="AH48" s="231">
        <v>0</v>
      </c>
      <c r="AI48" s="231">
        <v>2027.6062429524557</v>
      </c>
      <c r="AJ48" s="231">
        <v>0</v>
      </c>
      <c r="AK48" s="231">
        <v>2374.8464196568007</v>
      </c>
      <c r="AL48" s="231">
        <v>0</v>
      </c>
      <c r="AM48" s="231">
        <v>1171.6336384935796</v>
      </c>
      <c r="AN48" s="414">
        <f t="shared" si="90"/>
        <v>7866.4668592070384</v>
      </c>
      <c r="AO48" s="415">
        <f t="shared" si="91"/>
        <v>8564.6259451620917</v>
      </c>
      <c r="AP48" s="300">
        <v>26</v>
      </c>
      <c r="AQ48" s="231">
        <v>2690.9018434227114</v>
      </c>
      <c r="AR48" s="231">
        <v>5587.1516029498189</v>
      </c>
      <c r="AS48" s="231">
        <v>2721.5464079126136</v>
      </c>
      <c r="AT48" s="231">
        <v>2057.6565036728002</v>
      </c>
      <c r="AU48" s="231">
        <v>4110.71591114072</v>
      </c>
      <c r="AV48" s="231">
        <v>2116.7954095628716</v>
      </c>
      <c r="AW48" s="231">
        <v>5138.5879385650696</v>
      </c>
      <c r="AX48" s="231">
        <v>3245.9366131110237</v>
      </c>
      <c r="AY48" s="412">
        <f t="shared" si="92"/>
        <v>27669.292230337633</v>
      </c>
      <c r="AZ48" s="417">
        <v>0</v>
      </c>
      <c r="BA48" s="231">
        <v>39257.406223553502</v>
      </c>
      <c r="BB48" s="231">
        <v>0</v>
      </c>
      <c r="BC48" s="231">
        <v>25384.196551417434</v>
      </c>
      <c r="BD48" s="231">
        <v>0</v>
      </c>
      <c r="BE48" s="231">
        <v>30633.48975614721</v>
      </c>
      <c r="BF48" s="231">
        <v>0</v>
      </c>
      <c r="BG48" s="231">
        <v>42366.570365378422</v>
      </c>
      <c r="BH48" s="414">
        <f t="shared" si="93"/>
        <v>137641.66289649656</v>
      </c>
      <c r="BI48" s="415">
        <f t="shared" si="94"/>
        <v>165310.95512683419</v>
      </c>
      <c r="BJ48" s="300">
        <v>26</v>
      </c>
      <c r="BK48" s="231">
        <v>584.87156014168249</v>
      </c>
      <c r="BL48" s="231">
        <v>350.96499300448284</v>
      </c>
      <c r="BM48" s="231">
        <v>0</v>
      </c>
      <c r="BN48" s="231">
        <v>74.281528165461495</v>
      </c>
      <c r="BO48" s="231">
        <v>207.54186485070267</v>
      </c>
      <c r="BP48" s="231">
        <v>83.816541419461828</v>
      </c>
      <c r="BQ48" s="231">
        <v>0</v>
      </c>
      <c r="BR48" s="231">
        <v>24.916536640631158</v>
      </c>
      <c r="BS48" s="412">
        <f t="shared" si="95"/>
        <v>1326.3930242224226</v>
      </c>
      <c r="BT48" s="417">
        <v>0</v>
      </c>
      <c r="BU48" s="231">
        <v>1973.589770294845</v>
      </c>
      <c r="BV48" s="231">
        <v>0</v>
      </c>
      <c r="BW48" s="231">
        <v>1250.2185005679703</v>
      </c>
      <c r="BX48" s="231">
        <v>0</v>
      </c>
      <c r="BY48" s="231">
        <v>696.24876322960768</v>
      </c>
      <c r="BZ48" s="231">
        <v>0</v>
      </c>
      <c r="CA48" s="231">
        <v>1326.0152050631307</v>
      </c>
      <c r="CB48" s="414">
        <f t="shared" si="96"/>
        <v>5246.0722391555537</v>
      </c>
      <c r="CC48" s="415">
        <f t="shared" si="97"/>
        <v>6572.465263377976</v>
      </c>
      <c r="CD48" s="300">
        <v>26</v>
      </c>
      <c r="CE48" s="414">
        <f t="shared" si="98"/>
        <v>12341.783263373251</v>
      </c>
      <c r="CF48" s="414">
        <f t="shared" si="99"/>
        <v>8028.5533779170228</v>
      </c>
      <c r="CG48" s="414">
        <f t="shared" si="100"/>
        <v>9383.5447775244866</v>
      </c>
      <c r="CH48" s="414">
        <f t="shared" si="101"/>
        <v>9701.4143097718297</v>
      </c>
      <c r="CI48" s="416">
        <f t="shared" si="102"/>
        <v>39455.295728586592</v>
      </c>
      <c r="CJ48" s="414">
        <f t="shared" si="103"/>
        <v>54146.142303775756</v>
      </c>
      <c r="CK48" s="414">
        <f t="shared" si="104"/>
        <v>40685.831580741353</v>
      </c>
      <c r="CL48" s="414">
        <f t="shared" si="105"/>
        <v>42337.835053343479</v>
      </c>
      <c r="CM48" s="414">
        <f t="shared" si="106"/>
        <v>60176.80771478996</v>
      </c>
      <c r="CN48" s="416">
        <f t="shared" si="107"/>
        <v>197346.61665265055</v>
      </c>
      <c r="CO48" s="414">
        <f t="shared" si="108"/>
        <v>66487.92556714901</v>
      </c>
      <c r="CP48" s="414">
        <f t="shared" si="109"/>
        <v>48714.384958658375</v>
      </c>
      <c r="CQ48" s="414">
        <f t="shared" si="110"/>
        <v>51721.379830867962</v>
      </c>
      <c r="CR48" s="414">
        <f t="shared" si="111"/>
        <v>69878.222024561808</v>
      </c>
      <c r="CS48" s="416">
        <f t="shared" si="112"/>
        <v>236801.91238123711</v>
      </c>
      <c r="CT48" s="319"/>
    </row>
    <row r="49" spans="1:98" ht="15.75" customHeight="1">
      <c r="A49" s="88" t="s">
        <v>214</v>
      </c>
      <c r="B49" s="300">
        <v>27</v>
      </c>
      <c r="C49" s="231">
        <v>0</v>
      </c>
      <c r="D49" s="231">
        <v>51382.600770174919</v>
      </c>
      <c r="E49" s="231">
        <v>16645.641931325939</v>
      </c>
      <c r="F49" s="231">
        <v>74299.110601172273</v>
      </c>
      <c r="G49" s="231">
        <v>8445.3745564520523</v>
      </c>
      <c r="H49" s="231">
        <v>39143.094266387634</v>
      </c>
      <c r="I49" s="231">
        <v>0</v>
      </c>
      <c r="J49" s="231">
        <v>3094.0599011203594</v>
      </c>
      <c r="K49" s="412">
        <f t="shared" si="86"/>
        <v>193009.88202663319</v>
      </c>
      <c r="L49" s="417">
        <v>0</v>
      </c>
      <c r="M49" s="231">
        <v>4670.7730631029954</v>
      </c>
      <c r="N49" s="231">
        <v>0</v>
      </c>
      <c r="O49" s="231">
        <v>62070.5058943607</v>
      </c>
      <c r="P49" s="231">
        <v>0</v>
      </c>
      <c r="Q49" s="231">
        <v>4963.9621122398985</v>
      </c>
      <c r="R49" s="231">
        <v>0</v>
      </c>
      <c r="S49" s="231">
        <v>22062.125833107169</v>
      </c>
      <c r="T49" s="414">
        <f t="shared" si="87"/>
        <v>93767.366902810769</v>
      </c>
      <c r="U49" s="415">
        <f t="shared" si="88"/>
        <v>286777.24892944394</v>
      </c>
      <c r="V49" s="300">
        <v>27</v>
      </c>
      <c r="W49" s="231">
        <v>0</v>
      </c>
      <c r="X49" s="231">
        <v>1057.4311181852088</v>
      </c>
      <c r="Y49" s="231">
        <v>0</v>
      </c>
      <c r="Z49" s="231">
        <v>0</v>
      </c>
      <c r="AA49" s="231">
        <v>0</v>
      </c>
      <c r="AB49" s="231">
        <v>0</v>
      </c>
      <c r="AC49" s="231">
        <v>0</v>
      </c>
      <c r="AD49" s="231">
        <v>0</v>
      </c>
      <c r="AE49" s="412">
        <f t="shared" si="89"/>
        <v>1057.4311181852088</v>
      </c>
      <c r="AF49" s="417">
        <v>0</v>
      </c>
      <c r="AG49" s="231">
        <v>11722.531402881405</v>
      </c>
      <c r="AH49" s="231">
        <v>0</v>
      </c>
      <c r="AI49" s="231">
        <v>7383.5945509739613</v>
      </c>
      <c r="AJ49" s="231">
        <v>0</v>
      </c>
      <c r="AK49" s="231">
        <v>0</v>
      </c>
      <c r="AL49" s="231">
        <v>0</v>
      </c>
      <c r="AM49" s="231">
        <v>0</v>
      </c>
      <c r="AN49" s="414">
        <f t="shared" si="90"/>
        <v>19106.125953855364</v>
      </c>
      <c r="AO49" s="415">
        <f t="shared" si="91"/>
        <v>20163.557072040574</v>
      </c>
      <c r="AP49" s="300">
        <v>27</v>
      </c>
      <c r="AQ49" s="231">
        <v>2769.7485538828482</v>
      </c>
      <c r="AR49" s="231">
        <v>67566.033288625476</v>
      </c>
      <c r="AS49" s="231">
        <v>6158.365959167345</v>
      </c>
      <c r="AT49" s="231">
        <v>2095.9707674578476</v>
      </c>
      <c r="AU49" s="231">
        <v>0</v>
      </c>
      <c r="AV49" s="231">
        <v>7768.6564651244644</v>
      </c>
      <c r="AW49" s="231">
        <v>12553.577476864441</v>
      </c>
      <c r="AX49" s="231">
        <v>5298.3826420228716</v>
      </c>
      <c r="AY49" s="412">
        <f t="shared" si="92"/>
        <v>104210.73515314532</v>
      </c>
      <c r="AZ49" s="417">
        <v>0</v>
      </c>
      <c r="BA49" s="231">
        <v>114157.03403309829</v>
      </c>
      <c r="BB49" s="231">
        <v>0</v>
      </c>
      <c r="BC49" s="231">
        <v>47251.776996640125</v>
      </c>
      <c r="BD49" s="231">
        <v>0</v>
      </c>
      <c r="BE49" s="231">
        <v>80837.637722508254</v>
      </c>
      <c r="BF49" s="231">
        <v>0</v>
      </c>
      <c r="BG49" s="231">
        <v>139183.52870341859</v>
      </c>
      <c r="BH49" s="414">
        <f t="shared" si="93"/>
        <v>381429.97745566524</v>
      </c>
      <c r="BI49" s="415">
        <f t="shared" si="94"/>
        <v>485640.71260881057</v>
      </c>
      <c r="BJ49" s="300">
        <v>27</v>
      </c>
      <c r="BK49" s="231">
        <v>51387.207004212454</v>
      </c>
      <c r="BL49" s="231">
        <v>393123.80037195829</v>
      </c>
      <c r="BM49" s="231">
        <v>50698.055694918155</v>
      </c>
      <c r="BN49" s="231">
        <v>269606.88266832364</v>
      </c>
      <c r="BO49" s="231">
        <v>45197.333439924398</v>
      </c>
      <c r="BP49" s="231">
        <v>310315.93826519913</v>
      </c>
      <c r="BQ49" s="231">
        <v>26008.276845064156</v>
      </c>
      <c r="BR49" s="231">
        <v>323618.72195434349</v>
      </c>
      <c r="BS49" s="412">
        <f t="shared" si="95"/>
        <v>1469956.2162439437</v>
      </c>
      <c r="BT49" s="417">
        <v>0</v>
      </c>
      <c r="BU49" s="231">
        <v>7249.890142960121</v>
      </c>
      <c r="BV49" s="231">
        <v>0</v>
      </c>
      <c r="BW49" s="231">
        <v>72187.975327148524</v>
      </c>
      <c r="BX49" s="231">
        <v>0</v>
      </c>
      <c r="BY49" s="231">
        <v>11486.133162307045</v>
      </c>
      <c r="BZ49" s="231">
        <v>0</v>
      </c>
      <c r="CA49" s="231">
        <v>14884.65787108252</v>
      </c>
      <c r="CB49" s="414">
        <f t="shared" si="96"/>
        <v>105808.6565034982</v>
      </c>
      <c r="CC49" s="415">
        <f t="shared" si="97"/>
        <v>1575764.8727474418</v>
      </c>
      <c r="CD49" s="300">
        <v>27</v>
      </c>
      <c r="CE49" s="414">
        <f t="shared" si="98"/>
        <v>567286.82110703923</v>
      </c>
      <c r="CF49" s="414">
        <f t="shared" si="99"/>
        <v>419504.02762236522</v>
      </c>
      <c r="CG49" s="414">
        <f t="shared" si="100"/>
        <v>410870.39699308766</v>
      </c>
      <c r="CH49" s="414">
        <f t="shared" si="101"/>
        <v>370573.0188194153</v>
      </c>
      <c r="CI49" s="416">
        <f t="shared" si="102"/>
        <v>1768234.2645419072</v>
      </c>
      <c r="CJ49" s="414">
        <f t="shared" si="103"/>
        <v>137800.22864204281</v>
      </c>
      <c r="CK49" s="414">
        <f t="shared" si="104"/>
        <v>188893.8527691233</v>
      </c>
      <c r="CL49" s="414">
        <f t="shared" si="105"/>
        <v>97287.732997055195</v>
      </c>
      <c r="CM49" s="414">
        <f t="shared" si="106"/>
        <v>176130.31240760826</v>
      </c>
      <c r="CN49" s="416">
        <f t="shared" si="107"/>
        <v>600112.12681582954</v>
      </c>
      <c r="CO49" s="414">
        <f t="shared" si="108"/>
        <v>705087.04974908207</v>
      </c>
      <c r="CP49" s="414">
        <f t="shared" si="109"/>
        <v>608397.88039148855</v>
      </c>
      <c r="CQ49" s="414">
        <f t="shared" si="110"/>
        <v>508158.12999014283</v>
      </c>
      <c r="CR49" s="414">
        <f t="shared" si="111"/>
        <v>546703.33122702362</v>
      </c>
      <c r="CS49" s="416">
        <f t="shared" si="112"/>
        <v>2368346.3913577367</v>
      </c>
      <c r="CT49" s="319"/>
    </row>
    <row r="50" spans="1:98" ht="15.75" customHeight="1">
      <c r="A50" s="88" t="s">
        <v>215</v>
      </c>
      <c r="B50" s="300">
        <v>28</v>
      </c>
      <c r="C50" s="231">
        <v>0</v>
      </c>
      <c r="D50" s="231">
        <v>12564.915248283487</v>
      </c>
      <c r="E50" s="231">
        <v>19108.536968953522</v>
      </c>
      <c r="F50" s="231">
        <v>77867.743255741982</v>
      </c>
      <c r="G50" s="231">
        <v>16464.954198177722</v>
      </c>
      <c r="H50" s="231">
        <v>97711.135179433913</v>
      </c>
      <c r="I50" s="231">
        <v>8840.3327377207643</v>
      </c>
      <c r="J50" s="231">
        <v>43143.700630310406</v>
      </c>
      <c r="K50" s="412">
        <f t="shared" si="86"/>
        <v>275701.31821862183</v>
      </c>
      <c r="L50" s="417">
        <v>0</v>
      </c>
      <c r="M50" s="231">
        <v>0</v>
      </c>
      <c r="N50" s="231">
        <v>0</v>
      </c>
      <c r="O50" s="231">
        <v>0</v>
      </c>
      <c r="P50" s="231">
        <v>0</v>
      </c>
      <c r="Q50" s="231">
        <v>0</v>
      </c>
      <c r="R50" s="231">
        <v>0</v>
      </c>
      <c r="S50" s="231">
        <v>0</v>
      </c>
      <c r="T50" s="414">
        <f t="shared" si="87"/>
        <v>0</v>
      </c>
      <c r="U50" s="415">
        <f t="shared" si="88"/>
        <v>275701.31821862183</v>
      </c>
      <c r="V50" s="300">
        <v>28</v>
      </c>
      <c r="W50" s="231">
        <v>0</v>
      </c>
      <c r="X50" s="231">
        <v>0</v>
      </c>
      <c r="Y50" s="231">
        <v>0</v>
      </c>
      <c r="Z50" s="231">
        <v>285.55159423044677</v>
      </c>
      <c r="AA50" s="231">
        <v>0</v>
      </c>
      <c r="AB50" s="231">
        <v>0</v>
      </c>
      <c r="AC50" s="231">
        <v>0</v>
      </c>
      <c r="AD50" s="231">
        <v>0</v>
      </c>
      <c r="AE50" s="412">
        <f t="shared" si="89"/>
        <v>285.55159423044677</v>
      </c>
      <c r="AF50" s="417">
        <v>0</v>
      </c>
      <c r="AG50" s="231">
        <v>0</v>
      </c>
      <c r="AH50" s="231">
        <v>0</v>
      </c>
      <c r="AI50" s="231">
        <v>0</v>
      </c>
      <c r="AJ50" s="231">
        <v>0</v>
      </c>
      <c r="AK50" s="231">
        <v>0</v>
      </c>
      <c r="AL50" s="231">
        <v>0</v>
      </c>
      <c r="AM50" s="231">
        <v>0</v>
      </c>
      <c r="AN50" s="414">
        <f t="shared" si="90"/>
        <v>0</v>
      </c>
      <c r="AO50" s="415">
        <f t="shared" si="91"/>
        <v>285.55159423044677</v>
      </c>
      <c r="AP50" s="300">
        <v>28</v>
      </c>
      <c r="AQ50" s="231">
        <v>166299.99898904411</v>
      </c>
      <c r="AR50" s="231">
        <v>1137153.4336816787</v>
      </c>
      <c r="AS50" s="231">
        <v>149937.58555916787</v>
      </c>
      <c r="AT50" s="231">
        <v>1068484.2269776757</v>
      </c>
      <c r="AU50" s="231">
        <v>193551.15389732126</v>
      </c>
      <c r="AV50" s="231">
        <v>1212209.8459124111</v>
      </c>
      <c r="AW50" s="231">
        <v>245242.94425237743</v>
      </c>
      <c r="AX50" s="231">
        <v>1388038.3890860467</v>
      </c>
      <c r="AY50" s="412">
        <f t="shared" si="92"/>
        <v>5560917.5783557221</v>
      </c>
      <c r="AZ50" s="417">
        <v>0</v>
      </c>
      <c r="BA50" s="231">
        <v>0</v>
      </c>
      <c r="BB50" s="231">
        <v>0</v>
      </c>
      <c r="BC50" s="231">
        <v>0</v>
      </c>
      <c r="BD50" s="231">
        <v>0</v>
      </c>
      <c r="BE50" s="231">
        <v>0</v>
      </c>
      <c r="BF50" s="231">
        <v>0</v>
      </c>
      <c r="BG50" s="231">
        <v>0</v>
      </c>
      <c r="BH50" s="414">
        <f t="shared" si="93"/>
        <v>0</v>
      </c>
      <c r="BI50" s="415">
        <f t="shared" si="94"/>
        <v>5560917.5783557221</v>
      </c>
      <c r="BJ50" s="300">
        <v>28</v>
      </c>
      <c r="BK50" s="231">
        <v>0</v>
      </c>
      <c r="BL50" s="231">
        <v>18703.893688931705</v>
      </c>
      <c r="BM50" s="231">
        <v>0</v>
      </c>
      <c r="BN50" s="231">
        <v>3962.136191501294</v>
      </c>
      <c r="BO50" s="231">
        <v>0</v>
      </c>
      <c r="BP50" s="231">
        <v>2576.3234703225494</v>
      </c>
      <c r="BQ50" s="231">
        <v>0</v>
      </c>
      <c r="BR50" s="231">
        <v>5411.3920705022365</v>
      </c>
      <c r="BS50" s="412">
        <f t="shared" si="95"/>
        <v>30653.745421257783</v>
      </c>
      <c r="BT50" s="417">
        <v>0</v>
      </c>
      <c r="BU50" s="231">
        <v>0</v>
      </c>
      <c r="BV50" s="231">
        <v>0</v>
      </c>
      <c r="BW50" s="231">
        <v>0</v>
      </c>
      <c r="BX50" s="231">
        <v>0</v>
      </c>
      <c r="BY50" s="231">
        <v>0</v>
      </c>
      <c r="BZ50" s="231">
        <v>0</v>
      </c>
      <c r="CA50" s="231">
        <v>0</v>
      </c>
      <c r="CB50" s="414">
        <f t="shared" si="96"/>
        <v>0</v>
      </c>
      <c r="CC50" s="415">
        <f t="shared" si="97"/>
        <v>30653.745421257783</v>
      </c>
      <c r="CD50" s="300">
        <v>28</v>
      </c>
      <c r="CE50" s="414">
        <f t="shared" si="98"/>
        <v>1334722.241607938</v>
      </c>
      <c r="CF50" s="414">
        <f t="shared" si="99"/>
        <v>1319645.7805472708</v>
      </c>
      <c r="CG50" s="414">
        <f t="shared" si="100"/>
        <v>1522513.4126576667</v>
      </c>
      <c r="CH50" s="414">
        <f t="shared" si="101"/>
        <v>1690676.7587769576</v>
      </c>
      <c r="CI50" s="416">
        <f t="shared" si="102"/>
        <v>5867558.1935898326</v>
      </c>
      <c r="CJ50" s="414">
        <f t="shared" si="103"/>
        <v>0</v>
      </c>
      <c r="CK50" s="414">
        <f t="shared" si="104"/>
        <v>0</v>
      </c>
      <c r="CL50" s="414">
        <f t="shared" si="105"/>
        <v>0</v>
      </c>
      <c r="CM50" s="414">
        <f t="shared" si="106"/>
        <v>0</v>
      </c>
      <c r="CN50" s="416">
        <f t="shared" si="107"/>
        <v>0</v>
      </c>
      <c r="CO50" s="414">
        <f t="shared" si="108"/>
        <v>1334722.241607938</v>
      </c>
      <c r="CP50" s="414">
        <f t="shared" si="109"/>
        <v>1319645.7805472708</v>
      </c>
      <c r="CQ50" s="414">
        <f t="shared" si="110"/>
        <v>1522513.4126576667</v>
      </c>
      <c r="CR50" s="414">
        <f t="shared" si="111"/>
        <v>1690676.7587769576</v>
      </c>
      <c r="CS50" s="416">
        <f t="shared" si="112"/>
        <v>5867558.1935898317</v>
      </c>
      <c r="CT50" s="319"/>
    </row>
    <row r="51" spans="1:98" ht="15.75" customHeight="1">
      <c r="A51" s="88" t="s">
        <v>216</v>
      </c>
      <c r="B51" s="300">
        <v>29</v>
      </c>
      <c r="C51" s="231">
        <v>200.27104511083499</v>
      </c>
      <c r="D51" s="231">
        <v>138.39730572384252</v>
      </c>
      <c r="E51" s="231">
        <v>0</v>
      </c>
      <c r="F51" s="231">
        <v>454.70605986783653</v>
      </c>
      <c r="G51" s="231">
        <v>2060.9312139411072</v>
      </c>
      <c r="H51" s="231">
        <v>105.58312724526722</v>
      </c>
      <c r="I51" s="231">
        <v>689.24230485357521</v>
      </c>
      <c r="J51" s="231">
        <v>0</v>
      </c>
      <c r="K51" s="412">
        <f t="shared" si="86"/>
        <v>3649.1310567424639</v>
      </c>
      <c r="L51" s="417">
        <v>0</v>
      </c>
      <c r="M51" s="231">
        <v>2579.1671333644472</v>
      </c>
      <c r="N51" s="231">
        <v>0</v>
      </c>
      <c r="O51" s="231">
        <v>5665.5980168032147</v>
      </c>
      <c r="P51" s="231">
        <v>0</v>
      </c>
      <c r="Q51" s="231">
        <v>7837.2469434194118</v>
      </c>
      <c r="R51" s="231">
        <v>0</v>
      </c>
      <c r="S51" s="231">
        <v>17973.653275310699</v>
      </c>
      <c r="T51" s="414">
        <f t="shared" si="87"/>
        <v>34055.665368897775</v>
      </c>
      <c r="U51" s="415">
        <f t="shared" si="88"/>
        <v>37704.796425640241</v>
      </c>
      <c r="V51" s="300">
        <v>29</v>
      </c>
      <c r="W51" s="231">
        <v>0</v>
      </c>
      <c r="X51" s="231">
        <v>0</v>
      </c>
      <c r="Y51" s="231">
        <v>0</v>
      </c>
      <c r="Z51" s="231">
        <v>0</v>
      </c>
      <c r="AA51" s="231">
        <v>411.35810012749999</v>
      </c>
      <c r="AB51" s="231">
        <v>0</v>
      </c>
      <c r="AC51" s="231">
        <v>0</v>
      </c>
      <c r="AD51" s="231">
        <v>0</v>
      </c>
      <c r="AE51" s="412">
        <f t="shared" si="89"/>
        <v>411.35810012749999</v>
      </c>
      <c r="AF51" s="417">
        <v>0</v>
      </c>
      <c r="AG51" s="231">
        <v>716.84630973316098</v>
      </c>
      <c r="AH51" s="231">
        <v>0</v>
      </c>
      <c r="AI51" s="231">
        <v>1198.6486290537675</v>
      </c>
      <c r="AJ51" s="231">
        <v>0</v>
      </c>
      <c r="AK51" s="231">
        <v>64.99656297268902</v>
      </c>
      <c r="AL51" s="231">
        <v>0</v>
      </c>
      <c r="AM51" s="231">
        <v>0</v>
      </c>
      <c r="AN51" s="414">
        <f t="shared" si="90"/>
        <v>1980.4915017596174</v>
      </c>
      <c r="AO51" s="415">
        <f t="shared" si="91"/>
        <v>2391.8496018871174</v>
      </c>
      <c r="AP51" s="300">
        <v>29</v>
      </c>
      <c r="AQ51" s="231">
        <v>6181.6361732568212</v>
      </c>
      <c r="AR51" s="231">
        <v>6889.7044667984346</v>
      </c>
      <c r="AS51" s="231">
        <v>5349.3933780556163</v>
      </c>
      <c r="AT51" s="231">
        <v>12387.161960297677</v>
      </c>
      <c r="AU51" s="231">
        <v>5556.7765094797496</v>
      </c>
      <c r="AV51" s="231">
        <v>19952.983770805891</v>
      </c>
      <c r="AW51" s="231">
        <v>6045.2608027542919</v>
      </c>
      <c r="AX51" s="231">
        <v>13487.98425825601</v>
      </c>
      <c r="AY51" s="412">
        <f t="shared" si="92"/>
        <v>75850.901319704499</v>
      </c>
      <c r="AZ51" s="417">
        <v>0</v>
      </c>
      <c r="BA51" s="231">
        <v>48471.606216560467</v>
      </c>
      <c r="BB51" s="231">
        <v>0</v>
      </c>
      <c r="BC51" s="231">
        <v>44129.072902796841</v>
      </c>
      <c r="BD51" s="231">
        <v>0</v>
      </c>
      <c r="BE51" s="231">
        <v>74087.943317377983</v>
      </c>
      <c r="BF51" s="231">
        <v>0</v>
      </c>
      <c r="BG51" s="231">
        <v>41479.261970501742</v>
      </c>
      <c r="BH51" s="414">
        <f t="shared" si="93"/>
        <v>208167.88440723706</v>
      </c>
      <c r="BI51" s="415">
        <f t="shared" si="94"/>
        <v>284018.78572694154</v>
      </c>
      <c r="BJ51" s="300">
        <v>29</v>
      </c>
      <c r="BK51" s="231">
        <v>419.73806989554356</v>
      </c>
      <c r="BL51" s="231">
        <v>524.50986714527687</v>
      </c>
      <c r="BM51" s="231">
        <v>672.82655581899644</v>
      </c>
      <c r="BN51" s="231">
        <v>0</v>
      </c>
      <c r="BO51" s="231">
        <v>0</v>
      </c>
      <c r="BP51" s="231">
        <v>0</v>
      </c>
      <c r="BQ51" s="231">
        <v>1193.8152637434644</v>
      </c>
      <c r="BR51" s="231">
        <v>367.32777345952758</v>
      </c>
      <c r="BS51" s="412">
        <f t="shared" si="95"/>
        <v>3178.2175300628087</v>
      </c>
      <c r="BT51" s="417">
        <v>0</v>
      </c>
      <c r="BU51" s="231">
        <v>2098.0928642808708</v>
      </c>
      <c r="BV51" s="231">
        <v>0</v>
      </c>
      <c r="BW51" s="231">
        <v>839.51419918338024</v>
      </c>
      <c r="BX51" s="231">
        <v>0</v>
      </c>
      <c r="BY51" s="231">
        <v>941.90928332190356</v>
      </c>
      <c r="BZ51" s="231">
        <v>0</v>
      </c>
      <c r="CA51" s="231">
        <v>1136.2726734056041</v>
      </c>
      <c r="CB51" s="414">
        <f t="shared" si="96"/>
        <v>5015.7890201917589</v>
      </c>
      <c r="CC51" s="415">
        <f t="shared" si="97"/>
        <v>8194.0065502545676</v>
      </c>
      <c r="CD51" s="300">
        <v>29</v>
      </c>
      <c r="CE51" s="414">
        <f t="shared" si="98"/>
        <v>14354.256927930754</v>
      </c>
      <c r="CF51" s="414">
        <f t="shared" si="99"/>
        <v>18864.087954040126</v>
      </c>
      <c r="CG51" s="414">
        <f t="shared" si="100"/>
        <v>28087.632721599515</v>
      </c>
      <c r="CH51" s="414">
        <f t="shared" si="101"/>
        <v>21783.630403066869</v>
      </c>
      <c r="CI51" s="416">
        <f t="shared" si="102"/>
        <v>83089.608006637282</v>
      </c>
      <c r="CJ51" s="414">
        <f t="shared" si="103"/>
        <v>53865.71252393895</v>
      </c>
      <c r="CK51" s="414">
        <f t="shared" si="104"/>
        <v>51832.833747837205</v>
      </c>
      <c r="CL51" s="414">
        <f t="shared" si="105"/>
        <v>82932.096107091988</v>
      </c>
      <c r="CM51" s="414">
        <f t="shared" si="106"/>
        <v>60589.18791921805</v>
      </c>
      <c r="CN51" s="416">
        <f t="shared" si="107"/>
        <v>249219.83029808622</v>
      </c>
      <c r="CO51" s="414">
        <f t="shared" si="108"/>
        <v>68219.969451869692</v>
      </c>
      <c r="CP51" s="414">
        <f t="shared" si="109"/>
        <v>70696.921701877334</v>
      </c>
      <c r="CQ51" s="414">
        <f t="shared" si="110"/>
        <v>111019.7288286915</v>
      </c>
      <c r="CR51" s="414">
        <f t="shared" si="111"/>
        <v>82372.818322284918</v>
      </c>
      <c r="CS51" s="416">
        <f t="shared" si="112"/>
        <v>332309.43830472347</v>
      </c>
      <c r="CT51" s="319"/>
    </row>
    <row r="52" spans="1:98" ht="15.75" customHeight="1">
      <c r="A52" s="88" t="s">
        <v>217</v>
      </c>
      <c r="B52" s="300">
        <v>30</v>
      </c>
      <c r="C52" s="231">
        <v>5668.8922300118065</v>
      </c>
      <c r="D52" s="231">
        <v>10130.330301945878</v>
      </c>
      <c r="E52" s="231">
        <v>23860.659118177784</v>
      </c>
      <c r="F52" s="231">
        <v>30370.583522352896</v>
      </c>
      <c r="G52" s="231">
        <v>14279.305509451449</v>
      </c>
      <c r="H52" s="231">
        <v>23621.088814170613</v>
      </c>
      <c r="I52" s="231">
        <v>12241.131019923159</v>
      </c>
      <c r="J52" s="231">
        <v>24683.144415957009</v>
      </c>
      <c r="K52" s="412">
        <f t="shared" si="86"/>
        <v>144855.13493199059</v>
      </c>
      <c r="L52" s="417">
        <v>0</v>
      </c>
      <c r="M52" s="231">
        <v>0</v>
      </c>
      <c r="N52" s="231">
        <v>0</v>
      </c>
      <c r="O52" s="231">
        <v>0</v>
      </c>
      <c r="P52" s="231">
        <v>0</v>
      </c>
      <c r="Q52" s="231">
        <v>0</v>
      </c>
      <c r="R52" s="231">
        <v>0</v>
      </c>
      <c r="S52" s="231">
        <v>0</v>
      </c>
      <c r="T52" s="414">
        <f t="shared" si="87"/>
        <v>0</v>
      </c>
      <c r="U52" s="415">
        <f t="shared" si="88"/>
        <v>144855.13493199059</v>
      </c>
      <c r="V52" s="300">
        <v>30</v>
      </c>
      <c r="W52" s="231">
        <v>0</v>
      </c>
      <c r="X52" s="231">
        <v>0</v>
      </c>
      <c r="Y52" s="231">
        <v>0</v>
      </c>
      <c r="Z52" s="231">
        <v>267.41751336045564</v>
      </c>
      <c r="AA52" s="231">
        <v>0</v>
      </c>
      <c r="AB52" s="231">
        <v>0</v>
      </c>
      <c r="AC52" s="231">
        <v>0</v>
      </c>
      <c r="AD52" s="231">
        <v>0</v>
      </c>
      <c r="AE52" s="412">
        <f t="shared" si="89"/>
        <v>267.41751336045564</v>
      </c>
      <c r="AF52" s="417">
        <v>0</v>
      </c>
      <c r="AG52" s="231">
        <v>0</v>
      </c>
      <c r="AH52" s="231">
        <v>0</v>
      </c>
      <c r="AI52" s="231">
        <v>0</v>
      </c>
      <c r="AJ52" s="231">
        <v>0</v>
      </c>
      <c r="AK52" s="231">
        <v>0</v>
      </c>
      <c r="AL52" s="231">
        <v>0</v>
      </c>
      <c r="AM52" s="231">
        <v>0</v>
      </c>
      <c r="AN52" s="414">
        <f t="shared" si="90"/>
        <v>0</v>
      </c>
      <c r="AO52" s="415">
        <f t="shared" si="91"/>
        <v>267.41751336045564</v>
      </c>
      <c r="AP52" s="300">
        <v>30</v>
      </c>
      <c r="AQ52" s="231">
        <v>172580.02832676371</v>
      </c>
      <c r="AR52" s="231">
        <v>408472.59329635621</v>
      </c>
      <c r="AS52" s="231">
        <v>170251.6076197603</v>
      </c>
      <c r="AT52" s="231">
        <v>379960.63824312744</v>
      </c>
      <c r="AU52" s="231">
        <v>199299.01065837158</v>
      </c>
      <c r="AV52" s="231">
        <v>495347.58972633828</v>
      </c>
      <c r="AW52" s="231">
        <v>246668.21413706313</v>
      </c>
      <c r="AX52" s="231">
        <v>597832.51821099978</v>
      </c>
      <c r="AY52" s="412">
        <f t="shared" si="92"/>
        <v>2670412.2002187804</v>
      </c>
      <c r="AZ52" s="417">
        <v>0</v>
      </c>
      <c r="BA52" s="231">
        <v>380.99728664585263</v>
      </c>
      <c r="BB52" s="231">
        <v>0</v>
      </c>
      <c r="BC52" s="231">
        <v>47002.078165029561</v>
      </c>
      <c r="BD52" s="231">
        <v>0</v>
      </c>
      <c r="BE52" s="231">
        <v>934.44817529981913</v>
      </c>
      <c r="BF52" s="231">
        <v>0</v>
      </c>
      <c r="BG52" s="231">
        <v>228.19889279917774</v>
      </c>
      <c r="BH52" s="414">
        <f t="shared" si="93"/>
        <v>48545.722519774412</v>
      </c>
      <c r="BI52" s="415">
        <f t="shared" si="94"/>
        <v>2718957.9227385549</v>
      </c>
      <c r="BJ52" s="300">
        <v>30</v>
      </c>
      <c r="BK52" s="231">
        <v>0</v>
      </c>
      <c r="BL52" s="231">
        <v>0</v>
      </c>
      <c r="BM52" s="231">
        <v>0</v>
      </c>
      <c r="BN52" s="231">
        <v>0</v>
      </c>
      <c r="BO52" s="231">
        <v>0</v>
      </c>
      <c r="BP52" s="231">
        <v>0</v>
      </c>
      <c r="BQ52" s="231">
        <v>0</v>
      </c>
      <c r="BR52" s="231">
        <v>0</v>
      </c>
      <c r="BS52" s="412">
        <f t="shared" si="95"/>
        <v>0</v>
      </c>
      <c r="BT52" s="417">
        <v>0</v>
      </c>
      <c r="BU52" s="231">
        <v>0</v>
      </c>
      <c r="BV52" s="231">
        <v>0</v>
      </c>
      <c r="BW52" s="231">
        <v>0</v>
      </c>
      <c r="BX52" s="231">
        <v>0</v>
      </c>
      <c r="BY52" s="231">
        <v>0</v>
      </c>
      <c r="BZ52" s="231">
        <v>0</v>
      </c>
      <c r="CA52" s="231">
        <v>0</v>
      </c>
      <c r="CB52" s="414">
        <f t="shared" si="96"/>
        <v>0</v>
      </c>
      <c r="CC52" s="415">
        <f t="shared" si="97"/>
        <v>0</v>
      </c>
      <c r="CD52" s="300">
        <v>30</v>
      </c>
      <c r="CE52" s="414">
        <f t="shared" si="98"/>
        <v>596851.84415507759</v>
      </c>
      <c r="CF52" s="414">
        <f t="shared" si="99"/>
        <v>604710.9060167789</v>
      </c>
      <c r="CG52" s="414">
        <f t="shared" si="100"/>
        <v>732546.994708332</v>
      </c>
      <c r="CH52" s="414">
        <f t="shared" si="101"/>
        <v>881425.00778394309</v>
      </c>
      <c r="CI52" s="416">
        <f t="shared" si="102"/>
        <v>2815534.7526641316</v>
      </c>
      <c r="CJ52" s="414">
        <f t="shared" si="103"/>
        <v>380.99728664585263</v>
      </c>
      <c r="CK52" s="414">
        <f t="shared" si="104"/>
        <v>47002.078165029561</v>
      </c>
      <c r="CL52" s="414">
        <f t="shared" si="105"/>
        <v>934.44817529981913</v>
      </c>
      <c r="CM52" s="414">
        <f t="shared" si="106"/>
        <v>228.19889279917774</v>
      </c>
      <c r="CN52" s="416">
        <f t="shared" si="107"/>
        <v>48545.722519774412</v>
      </c>
      <c r="CO52" s="414">
        <f t="shared" si="108"/>
        <v>597232.8414417234</v>
      </c>
      <c r="CP52" s="414">
        <f t="shared" si="109"/>
        <v>651712.98418180842</v>
      </c>
      <c r="CQ52" s="414">
        <f t="shared" si="110"/>
        <v>733481.4428836318</v>
      </c>
      <c r="CR52" s="414">
        <f t="shared" si="111"/>
        <v>881653.20667674229</v>
      </c>
      <c r="CS52" s="416">
        <f t="shared" si="112"/>
        <v>2864080.4751839056</v>
      </c>
      <c r="CT52" s="319"/>
    </row>
    <row r="53" spans="1:98" ht="15.75" customHeight="1">
      <c r="A53" s="88" t="s">
        <v>218</v>
      </c>
      <c r="B53" s="300">
        <v>31</v>
      </c>
      <c r="C53" s="231">
        <v>2454.6220644009495</v>
      </c>
      <c r="D53" s="231">
        <v>11503.50874985283</v>
      </c>
      <c r="E53" s="231">
        <v>37570.565871138308</v>
      </c>
      <c r="F53" s="231">
        <v>6590.6551657473328</v>
      </c>
      <c r="G53" s="231">
        <v>23842.409434048721</v>
      </c>
      <c r="H53" s="231">
        <v>7493.2737204511004</v>
      </c>
      <c r="I53" s="231">
        <v>858.82976230842996</v>
      </c>
      <c r="J53" s="231">
        <v>3106.7852445496856</v>
      </c>
      <c r="K53" s="412">
        <f t="shared" si="86"/>
        <v>93420.650012497368</v>
      </c>
      <c r="L53" s="417">
        <v>0</v>
      </c>
      <c r="M53" s="231">
        <v>0</v>
      </c>
      <c r="N53" s="231">
        <v>0</v>
      </c>
      <c r="O53" s="231">
        <v>0</v>
      </c>
      <c r="P53" s="231">
        <v>0</v>
      </c>
      <c r="Q53" s="231">
        <v>0</v>
      </c>
      <c r="R53" s="231">
        <v>0</v>
      </c>
      <c r="S53" s="231">
        <v>0</v>
      </c>
      <c r="T53" s="414">
        <f t="shared" si="87"/>
        <v>0</v>
      </c>
      <c r="U53" s="415">
        <f t="shared" si="88"/>
        <v>93420.650012497368</v>
      </c>
      <c r="V53" s="300">
        <v>31</v>
      </c>
      <c r="W53" s="231">
        <v>327.32299612914869</v>
      </c>
      <c r="X53" s="231">
        <v>555.75215018256711</v>
      </c>
      <c r="Y53" s="231">
        <v>0</v>
      </c>
      <c r="Z53" s="231">
        <v>150.44867978421854</v>
      </c>
      <c r="AA53" s="231">
        <v>0</v>
      </c>
      <c r="AB53" s="231">
        <v>151.85990111027024</v>
      </c>
      <c r="AC53" s="231">
        <v>0</v>
      </c>
      <c r="AD53" s="231">
        <v>0</v>
      </c>
      <c r="AE53" s="412">
        <f t="shared" si="89"/>
        <v>1185.3837272062046</v>
      </c>
      <c r="AF53" s="417">
        <v>0</v>
      </c>
      <c r="AG53" s="231">
        <v>0</v>
      </c>
      <c r="AH53" s="231">
        <v>0</v>
      </c>
      <c r="AI53" s="231">
        <v>0</v>
      </c>
      <c r="AJ53" s="231">
        <v>0</v>
      </c>
      <c r="AK53" s="231">
        <v>0</v>
      </c>
      <c r="AL53" s="231">
        <v>0</v>
      </c>
      <c r="AM53" s="231">
        <v>0</v>
      </c>
      <c r="AN53" s="414">
        <f t="shared" si="90"/>
        <v>0</v>
      </c>
      <c r="AO53" s="415">
        <f t="shared" si="91"/>
        <v>1185.3837272062046</v>
      </c>
      <c r="AP53" s="300">
        <v>31</v>
      </c>
      <c r="AQ53" s="231">
        <v>468678.30518927932</v>
      </c>
      <c r="AR53" s="231">
        <v>246435.53373288567</v>
      </c>
      <c r="AS53" s="231">
        <v>429154.71866571467</v>
      </c>
      <c r="AT53" s="231">
        <v>278333.66836911917</v>
      </c>
      <c r="AU53" s="231">
        <v>561292.50880763156</v>
      </c>
      <c r="AV53" s="231">
        <v>282777.84602974425</v>
      </c>
      <c r="AW53" s="231">
        <v>629830.38902727631</v>
      </c>
      <c r="AX53" s="231">
        <v>326901.09599115036</v>
      </c>
      <c r="AY53" s="412">
        <f t="shared" si="92"/>
        <v>3223404.065812801</v>
      </c>
      <c r="AZ53" s="417">
        <v>0</v>
      </c>
      <c r="BA53" s="231">
        <v>0</v>
      </c>
      <c r="BB53" s="231">
        <v>0</v>
      </c>
      <c r="BC53" s="231">
        <v>0</v>
      </c>
      <c r="BD53" s="231">
        <v>0</v>
      </c>
      <c r="BE53" s="231">
        <v>0</v>
      </c>
      <c r="BF53" s="231">
        <v>0</v>
      </c>
      <c r="BG53" s="231">
        <v>0</v>
      </c>
      <c r="BH53" s="414">
        <f t="shared" si="93"/>
        <v>0</v>
      </c>
      <c r="BI53" s="415">
        <f t="shared" si="94"/>
        <v>3223404.065812801</v>
      </c>
      <c r="BJ53" s="300">
        <v>31</v>
      </c>
      <c r="BK53" s="231">
        <v>0</v>
      </c>
      <c r="BL53" s="231">
        <v>0</v>
      </c>
      <c r="BM53" s="231">
        <v>0</v>
      </c>
      <c r="BN53" s="231">
        <v>0</v>
      </c>
      <c r="BO53" s="231">
        <v>0</v>
      </c>
      <c r="BP53" s="231">
        <v>0</v>
      </c>
      <c r="BQ53" s="231">
        <v>0</v>
      </c>
      <c r="BR53" s="231">
        <v>0</v>
      </c>
      <c r="BS53" s="412">
        <f t="shared" si="95"/>
        <v>0</v>
      </c>
      <c r="BT53" s="417">
        <v>0</v>
      </c>
      <c r="BU53" s="231">
        <v>0</v>
      </c>
      <c r="BV53" s="231">
        <v>0</v>
      </c>
      <c r="BW53" s="231">
        <v>0</v>
      </c>
      <c r="BX53" s="231">
        <v>0</v>
      </c>
      <c r="BY53" s="231">
        <v>0</v>
      </c>
      <c r="BZ53" s="231">
        <v>0</v>
      </c>
      <c r="CA53" s="231">
        <v>0</v>
      </c>
      <c r="CB53" s="414">
        <f t="shared" si="96"/>
        <v>0</v>
      </c>
      <c r="CC53" s="415">
        <f t="shared" si="97"/>
        <v>0</v>
      </c>
      <c r="CD53" s="300">
        <v>31</v>
      </c>
      <c r="CE53" s="414">
        <f t="shared" si="98"/>
        <v>729955.04488273046</v>
      </c>
      <c r="CF53" s="414">
        <f t="shared" si="99"/>
        <v>751800.05675150373</v>
      </c>
      <c r="CG53" s="414">
        <f t="shared" si="100"/>
        <v>875557.89789298596</v>
      </c>
      <c r="CH53" s="414">
        <f t="shared" si="101"/>
        <v>960697.1000252848</v>
      </c>
      <c r="CI53" s="416">
        <f t="shared" si="102"/>
        <v>3318010.0995525047</v>
      </c>
      <c r="CJ53" s="414">
        <f t="shared" si="103"/>
        <v>0</v>
      </c>
      <c r="CK53" s="414">
        <f t="shared" si="104"/>
        <v>0</v>
      </c>
      <c r="CL53" s="414">
        <f t="shared" si="105"/>
        <v>0</v>
      </c>
      <c r="CM53" s="414">
        <f t="shared" si="106"/>
        <v>0</v>
      </c>
      <c r="CN53" s="416">
        <f t="shared" si="107"/>
        <v>0</v>
      </c>
      <c r="CO53" s="414">
        <f t="shared" si="108"/>
        <v>729955.04488273046</v>
      </c>
      <c r="CP53" s="414">
        <f t="shared" si="109"/>
        <v>751800.05675150373</v>
      </c>
      <c r="CQ53" s="414">
        <f t="shared" si="110"/>
        <v>875557.89789298596</v>
      </c>
      <c r="CR53" s="414">
        <f t="shared" si="111"/>
        <v>960697.1000252848</v>
      </c>
      <c r="CS53" s="416">
        <f t="shared" si="112"/>
        <v>3318010.0995525047</v>
      </c>
      <c r="CT53" s="319"/>
    </row>
    <row r="54" spans="1:98" ht="15.75" customHeight="1">
      <c r="A54" s="88" t="s">
        <v>219</v>
      </c>
      <c r="B54" s="300">
        <v>32</v>
      </c>
      <c r="C54" s="231">
        <v>0</v>
      </c>
      <c r="D54" s="231">
        <v>0</v>
      </c>
      <c r="E54" s="231">
        <v>0</v>
      </c>
      <c r="F54" s="231">
        <v>0</v>
      </c>
      <c r="G54" s="231">
        <v>0</v>
      </c>
      <c r="H54" s="231">
        <v>0</v>
      </c>
      <c r="I54" s="231">
        <v>0</v>
      </c>
      <c r="J54" s="231">
        <v>0</v>
      </c>
      <c r="K54" s="412">
        <f t="shared" si="86"/>
        <v>0</v>
      </c>
      <c r="L54" s="417">
        <v>0</v>
      </c>
      <c r="M54" s="231">
        <v>0</v>
      </c>
      <c r="N54" s="231">
        <v>0</v>
      </c>
      <c r="O54" s="231">
        <v>0</v>
      </c>
      <c r="P54" s="231">
        <v>0</v>
      </c>
      <c r="Q54" s="231">
        <v>0</v>
      </c>
      <c r="R54" s="231">
        <v>0</v>
      </c>
      <c r="S54" s="231">
        <v>0</v>
      </c>
      <c r="T54" s="414">
        <f t="shared" si="87"/>
        <v>0</v>
      </c>
      <c r="U54" s="415">
        <f t="shared" si="88"/>
        <v>0</v>
      </c>
      <c r="V54" s="300">
        <v>32</v>
      </c>
      <c r="W54" s="231">
        <v>0</v>
      </c>
      <c r="X54" s="231">
        <v>0</v>
      </c>
      <c r="Y54" s="231">
        <v>0</v>
      </c>
      <c r="Z54" s="231">
        <v>0</v>
      </c>
      <c r="AA54" s="231">
        <v>0</v>
      </c>
      <c r="AB54" s="231">
        <v>0</v>
      </c>
      <c r="AC54" s="231">
        <v>0</v>
      </c>
      <c r="AD54" s="231">
        <v>0</v>
      </c>
      <c r="AE54" s="412">
        <f t="shared" si="89"/>
        <v>0</v>
      </c>
      <c r="AF54" s="417">
        <v>0</v>
      </c>
      <c r="AG54" s="231">
        <v>0</v>
      </c>
      <c r="AH54" s="231">
        <v>0</v>
      </c>
      <c r="AI54" s="231">
        <v>0</v>
      </c>
      <c r="AJ54" s="231">
        <v>0</v>
      </c>
      <c r="AK54" s="231">
        <v>0</v>
      </c>
      <c r="AL54" s="231">
        <v>0</v>
      </c>
      <c r="AM54" s="231">
        <v>0</v>
      </c>
      <c r="AN54" s="414">
        <f t="shared" si="90"/>
        <v>0</v>
      </c>
      <c r="AO54" s="415">
        <f t="shared" si="91"/>
        <v>0</v>
      </c>
      <c r="AP54" s="300">
        <v>32</v>
      </c>
      <c r="AQ54" s="231">
        <v>0</v>
      </c>
      <c r="AR54" s="231">
        <v>0</v>
      </c>
      <c r="AS54" s="231">
        <v>0</v>
      </c>
      <c r="AT54" s="231">
        <v>0</v>
      </c>
      <c r="AU54" s="231">
        <v>0</v>
      </c>
      <c r="AV54" s="231">
        <v>0</v>
      </c>
      <c r="AW54" s="231">
        <v>0</v>
      </c>
      <c r="AX54" s="231">
        <v>0</v>
      </c>
      <c r="AY54" s="412">
        <f t="shared" si="92"/>
        <v>0</v>
      </c>
      <c r="AZ54" s="417">
        <v>0</v>
      </c>
      <c r="BA54" s="231">
        <v>0</v>
      </c>
      <c r="BB54" s="231">
        <v>0</v>
      </c>
      <c r="BC54" s="231">
        <v>0</v>
      </c>
      <c r="BD54" s="231">
        <v>0</v>
      </c>
      <c r="BE54" s="231">
        <v>0</v>
      </c>
      <c r="BF54" s="231">
        <v>0</v>
      </c>
      <c r="BG54" s="231">
        <v>0</v>
      </c>
      <c r="BH54" s="414">
        <f t="shared" si="93"/>
        <v>0</v>
      </c>
      <c r="BI54" s="415">
        <f t="shared" si="94"/>
        <v>0</v>
      </c>
      <c r="BJ54" s="300">
        <v>32</v>
      </c>
      <c r="BK54" s="231">
        <v>0</v>
      </c>
      <c r="BL54" s="231">
        <v>0</v>
      </c>
      <c r="BM54" s="231">
        <v>0</v>
      </c>
      <c r="BN54" s="231">
        <v>0</v>
      </c>
      <c r="BO54" s="231">
        <v>0</v>
      </c>
      <c r="BP54" s="231">
        <v>0</v>
      </c>
      <c r="BQ54" s="231">
        <v>0</v>
      </c>
      <c r="BR54" s="231">
        <v>0</v>
      </c>
      <c r="BS54" s="412">
        <f t="shared" si="95"/>
        <v>0</v>
      </c>
      <c r="BT54" s="417">
        <v>0</v>
      </c>
      <c r="BU54" s="231">
        <v>0</v>
      </c>
      <c r="BV54" s="231">
        <v>0</v>
      </c>
      <c r="BW54" s="231">
        <v>0</v>
      </c>
      <c r="BX54" s="231">
        <v>0</v>
      </c>
      <c r="BY54" s="231">
        <v>0</v>
      </c>
      <c r="BZ54" s="231">
        <v>0</v>
      </c>
      <c r="CA54" s="231">
        <v>0</v>
      </c>
      <c r="CB54" s="414">
        <f t="shared" si="96"/>
        <v>0</v>
      </c>
      <c r="CC54" s="415">
        <f t="shared" si="97"/>
        <v>0</v>
      </c>
      <c r="CD54" s="300">
        <v>32</v>
      </c>
      <c r="CE54" s="414">
        <f t="shared" si="98"/>
        <v>0</v>
      </c>
      <c r="CF54" s="414">
        <f t="shared" si="99"/>
        <v>0</v>
      </c>
      <c r="CG54" s="414">
        <f t="shared" si="100"/>
        <v>0</v>
      </c>
      <c r="CH54" s="414">
        <f t="shared" si="101"/>
        <v>0</v>
      </c>
      <c r="CI54" s="416">
        <f t="shared" si="102"/>
        <v>0</v>
      </c>
      <c r="CJ54" s="414">
        <f t="shared" si="103"/>
        <v>0</v>
      </c>
      <c r="CK54" s="414">
        <f t="shared" si="104"/>
        <v>0</v>
      </c>
      <c r="CL54" s="414">
        <f t="shared" si="105"/>
        <v>0</v>
      </c>
      <c r="CM54" s="414">
        <f t="shared" si="106"/>
        <v>0</v>
      </c>
      <c r="CN54" s="416">
        <f t="shared" si="107"/>
        <v>0</v>
      </c>
      <c r="CO54" s="414">
        <f t="shared" si="108"/>
        <v>0</v>
      </c>
      <c r="CP54" s="414">
        <f t="shared" si="109"/>
        <v>0</v>
      </c>
      <c r="CQ54" s="414">
        <f t="shared" si="110"/>
        <v>0</v>
      </c>
      <c r="CR54" s="414">
        <f t="shared" si="111"/>
        <v>0</v>
      </c>
      <c r="CS54" s="416">
        <f t="shared" si="112"/>
        <v>0</v>
      </c>
      <c r="CT54" s="319"/>
    </row>
    <row r="55" spans="1:98" ht="15.75" customHeight="1">
      <c r="A55" s="88" t="s">
        <v>220</v>
      </c>
      <c r="B55" s="300">
        <v>33</v>
      </c>
      <c r="C55" s="231">
        <v>595.26562738293489</v>
      </c>
      <c r="D55" s="231">
        <v>22275.948076633063</v>
      </c>
      <c r="E55" s="231">
        <v>3904.2134497843699</v>
      </c>
      <c r="F55" s="231">
        <v>47339.820504070703</v>
      </c>
      <c r="G55" s="231">
        <v>5838.1222862700433</v>
      </c>
      <c r="H55" s="231">
        <v>44096.733868624426</v>
      </c>
      <c r="I55" s="231">
        <v>12041.599729658064</v>
      </c>
      <c r="J55" s="231">
        <v>20614.899252503026</v>
      </c>
      <c r="K55" s="412">
        <f t="shared" si="86"/>
        <v>156706.60279492664</v>
      </c>
      <c r="L55" s="417">
        <v>0</v>
      </c>
      <c r="M55" s="231">
        <v>3604.4731870062196</v>
      </c>
      <c r="N55" s="231">
        <v>0</v>
      </c>
      <c r="O55" s="231">
        <v>22106.081075728685</v>
      </c>
      <c r="P55" s="231">
        <v>0</v>
      </c>
      <c r="Q55" s="231">
        <v>16759.791916877442</v>
      </c>
      <c r="R55" s="231">
        <v>0</v>
      </c>
      <c r="S55" s="231">
        <v>16998.960275907979</v>
      </c>
      <c r="T55" s="414">
        <f t="shared" si="87"/>
        <v>59469.306455520324</v>
      </c>
      <c r="U55" s="415">
        <f t="shared" si="88"/>
        <v>216175.90925044697</v>
      </c>
      <c r="V55" s="300">
        <v>33</v>
      </c>
      <c r="W55" s="231">
        <v>999.44263707336643</v>
      </c>
      <c r="X55" s="231">
        <v>12535.345228472874</v>
      </c>
      <c r="Y55" s="231">
        <v>981.96850303960878</v>
      </c>
      <c r="Z55" s="231">
        <v>7639.7739295306319</v>
      </c>
      <c r="AA55" s="231">
        <v>5070.0351544411114</v>
      </c>
      <c r="AB55" s="231">
        <v>6164.398345802163</v>
      </c>
      <c r="AC55" s="231">
        <v>3329.5887266666032</v>
      </c>
      <c r="AD55" s="231">
        <v>4192.932581993995</v>
      </c>
      <c r="AE55" s="412">
        <f t="shared" si="89"/>
        <v>40913.485107020359</v>
      </c>
      <c r="AF55" s="417">
        <v>0</v>
      </c>
      <c r="AG55" s="231">
        <v>1832.098515941022</v>
      </c>
      <c r="AH55" s="231">
        <v>0</v>
      </c>
      <c r="AI55" s="231">
        <v>8107.868533777917</v>
      </c>
      <c r="AJ55" s="231">
        <v>0</v>
      </c>
      <c r="AK55" s="231">
        <v>6395.7972692056837</v>
      </c>
      <c r="AL55" s="231">
        <v>0</v>
      </c>
      <c r="AM55" s="231">
        <v>10773.646632867896</v>
      </c>
      <c r="AN55" s="414">
        <f t="shared" si="90"/>
        <v>27109.410951792517</v>
      </c>
      <c r="AO55" s="415">
        <f t="shared" si="91"/>
        <v>68022.896058812883</v>
      </c>
      <c r="AP55" s="300">
        <v>33</v>
      </c>
      <c r="AQ55" s="231">
        <v>11617.833475954349</v>
      </c>
      <c r="AR55" s="231">
        <v>263413.55163636588</v>
      </c>
      <c r="AS55" s="231">
        <v>12988.184376211657</v>
      </c>
      <c r="AT55" s="231">
        <v>253127.73727595876</v>
      </c>
      <c r="AU55" s="231">
        <v>21242.122471330975</v>
      </c>
      <c r="AV55" s="231">
        <v>292419.76524301775</v>
      </c>
      <c r="AW55" s="231">
        <v>20228.048812251513</v>
      </c>
      <c r="AX55" s="231">
        <v>329551.44463763456</v>
      </c>
      <c r="AY55" s="412">
        <f t="shared" si="92"/>
        <v>1204588.6879287255</v>
      </c>
      <c r="AZ55" s="417">
        <v>0</v>
      </c>
      <c r="BA55" s="231">
        <v>87485.782426881124</v>
      </c>
      <c r="BB55" s="231">
        <v>0</v>
      </c>
      <c r="BC55" s="231">
        <v>84849.371283356901</v>
      </c>
      <c r="BD55" s="231">
        <v>0</v>
      </c>
      <c r="BE55" s="231">
        <v>83595.760654664526</v>
      </c>
      <c r="BF55" s="231">
        <v>0</v>
      </c>
      <c r="BG55" s="231">
        <v>108273.38638314515</v>
      </c>
      <c r="BH55" s="414">
        <f t="shared" si="93"/>
        <v>364204.30074804765</v>
      </c>
      <c r="BI55" s="415">
        <f t="shared" si="94"/>
        <v>1568792.9886767732</v>
      </c>
      <c r="BJ55" s="300">
        <v>33</v>
      </c>
      <c r="BK55" s="231">
        <v>232.75500862781243</v>
      </c>
      <c r="BL55" s="231">
        <v>555.37163519685646</v>
      </c>
      <c r="BM55" s="231">
        <v>0</v>
      </c>
      <c r="BN55" s="231">
        <v>235.21146597464724</v>
      </c>
      <c r="BO55" s="231">
        <v>280.78895715288968</v>
      </c>
      <c r="BP55" s="231">
        <v>176.6130649912443</v>
      </c>
      <c r="BQ55" s="231">
        <v>0</v>
      </c>
      <c r="BR55" s="231">
        <v>100.59829106063989</v>
      </c>
      <c r="BS55" s="412">
        <f t="shared" si="95"/>
        <v>1581.3384230040901</v>
      </c>
      <c r="BT55" s="417">
        <v>0</v>
      </c>
      <c r="BU55" s="231">
        <v>456.94847857892796</v>
      </c>
      <c r="BV55" s="231">
        <v>0</v>
      </c>
      <c r="BW55" s="231">
        <v>625.22454062660029</v>
      </c>
      <c r="BX55" s="231">
        <v>0</v>
      </c>
      <c r="BY55" s="231">
        <v>1313.5391881769472</v>
      </c>
      <c r="BZ55" s="231">
        <v>0</v>
      </c>
      <c r="CA55" s="231">
        <v>2131.4057796306856</v>
      </c>
      <c r="CB55" s="414">
        <f t="shared" si="96"/>
        <v>4527.1179870131618</v>
      </c>
      <c r="CC55" s="415">
        <f t="shared" si="97"/>
        <v>6108.456410017252</v>
      </c>
      <c r="CD55" s="300">
        <v>33</v>
      </c>
      <c r="CE55" s="414">
        <f t="shared" si="98"/>
        <v>312225.51332570717</v>
      </c>
      <c r="CF55" s="414">
        <f t="shared" si="99"/>
        <v>326216.90950457036</v>
      </c>
      <c r="CG55" s="414">
        <f t="shared" si="100"/>
        <v>375288.5793916306</v>
      </c>
      <c r="CH55" s="414">
        <f t="shared" si="101"/>
        <v>390059.11203176843</v>
      </c>
      <c r="CI55" s="416">
        <f t="shared" si="102"/>
        <v>1403790.1142536767</v>
      </c>
      <c r="CJ55" s="414">
        <f t="shared" si="103"/>
        <v>93379.302608407292</v>
      </c>
      <c r="CK55" s="414">
        <f t="shared" si="104"/>
        <v>115688.5454334901</v>
      </c>
      <c r="CL55" s="414">
        <f t="shared" si="105"/>
        <v>108064.8890289246</v>
      </c>
      <c r="CM55" s="414">
        <f t="shared" si="106"/>
        <v>138177.39907155168</v>
      </c>
      <c r="CN55" s="416">
        <f t="shared" si="107"/>
        <v>455310.13614237367</v>
      </c>
      <c r="CO55" s="414">
        <f t="shared" si="108"/>
        <v>405604.81593411445</v>
      </c>
      <c r="CP55" s="414">
        <f t="shared" si="109"/>
        <v>441905.45493806049</v>
      </c>
      <c r="CQ55" s="414">
        <f t="shared" si="110"/>
        <v>483353.46842055523</v>
      </c>
      <c r="CR55" s="414">
        <f t="shared" si="111"/>
        <v>528236.51110332005</v>
      </c>
      <c r="CS55" s="416">
        <f t="shared" si="112"/>
        <v>1859100.2503960505</v>
      </c>
      <c r="CT55" s="319"/>
    </row>
    <row r="56" spans="1:98" ht="15.75" customHeight="1">
      <c r="A56" s="88" t="s">
        <v>221</v>
      </c>
      <c r="B56" s="300">
        <v>34</v>
      </c>
      <c r="C56" s="231">
        <v>747.02101181567014</v>
      </c>
      <c r="D56" s="231">
        <v>5750.8531552234153</v>
      </c>
      <c r="E56" s="231">
        <v>7720.514721014827</v>
      </c>
      <c r="F56" s="231">
        <v>6967.0577027434756</v>
      </c>
      <c r="G56" s="231">
        <v>1598.983518757072</v>
      </c>
      <c r="H56" s="231">
        <v>5459.3330729339923</v>
      </c>
      <c r="I56" s="231">
        <v>6765.5257143878371</v>
      </c>
      <c r="J56" s="231">
        <v>3354.17011022926</v>
      </c>
      <c r="K56" s="412">
        <f t="shared" si="86"/>
        <v>38363.459007105543</v>
      </c>
      <c r="L56" s="417">
        <v>0</v>
      </c>
      <c r="M56" s="231">
        <v>5997.6514980528764</v>
      </c>
      <c r="N56" s="231">
        <v>0</v>
      </c>
      <c r="O56" s="231">
        <v>7813.5774026932731</v>
      </c>
      <c r="P56" s="231">
        <v>0</v>
      </c>
      <c r="Q56" s="231">
        <v>8816.3101183145955</v>
      </c>
      <c r="R56" s="231">
        <v>0</v>
      </c>
      <c r="S56" s="231">
        <v>5832.019965465156</v>
      </c>
      <c r="T56" s="414">
        <f t="shared" si="87"/>
        <v>28459.558984525898</v>
      </c>
      <c r="U56" s="415">
        <f t="shared" si="88"/>
        <v>66823.017991631437</v>
      </c>
      <c r="V56" s="300">
        <v>34</v>
      </c>
      <c r="W56" s="231">
        <v>0</v>
      </c>
      <c r="X56" s="231">
        <v>5030.3780704371866</v>
      </c>
      <c r="Y56" s="231">
        <v>335.1896286472533</v>
      </c>
      <c r="Z56" s="231">
        <v>1277.760637407368</v>
      </c>
      <c r="AA56" s="231">
        <v>886.2746308663518</v>
      </c>
      <c r="AB56" s="231">
        <v>111.4752914083457</v>
      </c>
      <c r="AC56" s="231">
        <v>26.676090299994769</v>
      </c>
      <c r="AD56" s="231">
        <v>0</v>
      </c>
      <c r="AE56" s="412">
        <f t="shared" si="89"/>
        <v>7667.7543490665003</v>
      </c>
      <c r="AF56" s="417">
        <v>0</v>
      </c>
      <c r="AG56" s="231">
        <v>3420.5365584865435</v>
      </c>
      <c r="AH56" s="231">
        <v>0</v>
      </c>
      <c r="AI56" s="231">
        <v>2181.2932822823009</v>
      </c>
      <c r="AJ56" s="231">
        <v>0</v>
      </c>
      <c r="AK56" s="231">
        <v>2123.5951234991912</v>
      </c>
      <c r="AL56" s="231">
        <v>0</v>
      </c>
      <c r="AM56" s="231">
        <v>1777.3869068997624</v>
      </c>
      <c r="AN56" s="414">
        <f t="shared" si="90"/>
        <v>9502.811871167798</v>
      </c>
      <c r="AO56" s="415">
        <f t="shared" si="91"/>
        <v>17170.566220234297</v>
      </c>
      <c r="AP56" s="300">
        <v>34</v>
      </c>
      <c r="AQ56" s="231">
        <v>14343.872874241759</v>
      </c>
      <c r="AR56" s="231">
        <v>42082.554167049559</v>
      </c>
      <c r="AS56" s="231">
        <v>6490.4764048350153</v>
      </c>
      <c r="AT56" s="231">
        <v>41833.80002044775</v>
      </c>
      <c r="AU56" s="231">
        <v>9315.1774500446427</v>
      </c>
      <c r="AV56" s="231">
        <v>45375.02977221024</v>
      </c>
      <c r="AW56" s="231">
        <v>18344.635143509127</v>
      </c>
      <c r="AX56" s="231">
        <v>61492.828919771106</v>
      </c>
      <c r="AY56" s="412">
        <f t="shared" si="92"/>
        <v>239278.3747521092</v>
      </c>
      <c r="AZ56" s="417">
        <v>0</v>
      </c>
      <c r="BA56" s="231">
        <v>41557.144647226552</v>
      </c>
      <c r="BB56" s="231">
        <v>0</v>
      </c>
      <c r="BC56" s="231">
        <v>45735.418259080034</v>
      </c>
      <c r="BD56" s="231">
        <v>0</v>
      </c>
      <c r="BE56" s="231">
        <v>29979.90478133647</v>
      </c>
      <c r="BF56" s="231">
        <v>0</v>
      </c>
      <c r="BG56" s="231">
        <v>38093.28692387441</v>
      </c>
      <c r="BH56" s="414">
        <f t="shared" si="93"/>
        <v>155365.75461151748</v>
      </c>
      <c r="BI56" s="415">
        <f t="shared" si="94"/>
        <v>394644.12936362671</v>
      </c>
      <c r="BJ56" s="300">
        <v>34</v>
      </c>
      <c r="BK56" s="231">
        <v>580.28535320864444</v>
      </c>
      <c r="BL56" s="231">
        <v>3899.3072889647237</v>
      </c>
      <c r="BM56" s="231">
        <v>0</v>
      </c>
      <c r="BN56" s="231">
        <v>1041.9273168896127</v>
      </c>
      <c r="BO56" s="231">
        <v>634.37955089804291</v>
      </c>
      <c r="BP56" s="231">
        <v>1036.0894853083371</v>
      </c>
      <c r="BQ56" s="231">
        <v>0</v>
      </c>
      <c r="BR56" s="231">
        <v>543.41929533381574</v>
      </c>
      <c r="BS56" s="412">
        <f t="shared" si="95"/>
        <v>7735.4082906031772</v>
      </c>
      <c r="BT56" s="417">
        <v>0</v>
      </c>
      <c r="BU56" s="231">
        <v>13216.498455803528</v>
      </c>
      <c r="BV56" s="231">
        <v>0</v>
      </c>
      <c r="BW56" s="231">
        <v>17358.10395891895</v>
      </c>
      <c r="BX56" s="231">
        <v>0</v>
      </c>
      <c r="BY56" s="231">
        <v>12992.569289591032</v>
      </c>
      <c r="BZ56" s="231">
        <v>0</v>
      </c>
      <c r="CA56" s="231">
        <v>3427.8835613339784</v>
      </c>
      <c r="CB56" s="414">
        <f t="shared" si="96"/>
        <v>46995.05526564749</v>
      </c>
      <c r="CC56" s="415">
        <f t="shared" si="97"/>
        <v>54730.463556250666</v>
      </c>
      <c r="CD56" s="300">
        <v>34</v>
      </c>
      <c r="CE56" s="414">
        <f t="shared" si="98"/>
        <v>72434.271920940955</v>
      </c>
      <c r="CF56" s="414">
        <f t="shared" si="99"/>
        <v>65666.726431985298</v>
      </c>
      <c r="CG56" s="414">
        <f t="shared" si="100"/>
        <v>64416.742772427024</v>
      </c>
      <c r="CH56" s="414">
        <f t="shared" si="101"/>
        <v>90527.255273531147</v>
      </c>
      <c r="CI56" s="416">
        <f t="shared" si="102"/>
        <v>293044.99639888445</v>
      </c>
      <c r="CJ56" s="414">
        <f t="shared" si="103"/>
        <v>64191.831159569505</v>
      </c>
      <c r="CK56" s="414">
        <f t="shared" si="104"/>
        <v>73088.392902974563</v>
      </c>
      <c r="CL56" s="414">
        <f t="shared" si="105"/>
        <v>53912.379312741294</v>
      </c>
      <c r="CM56" s="414">
        <f t="shared" si="106"/>
        <v>49130.577357573304</v>
      </c>
      <c r="CN56" s="416">
        <f t="shared" si="107"/>
        <v>240323.18073285866</v>
      </c>
      <c r="CO56" s="414">
        <f t="shared" si="108"/>
        <v>136626.10308051045</v>
      </c>
      <c r="CP56" s="414">
        <f t="shared" si="109"/>
        <v>138755.11933495989</v>
      </c>
      <c r="CQ56" s="414">
        <f t="shared" si="110"/>
        <v>118329.12208516832</v>
      </c>
      <c r="CR56" s="414">
        <f t="shared" si="111"/>
        <v>139657.83263110445</v>
      </c>
      <c r="CS56" s="416">
        <f t="shared" si="112"/>
        <v>533368.17713174317</v>
      </c>
      <c r="CT56" s="319"/>
    </row>
    <row r="57" spans="1:98" ht="15.75" customHeight="1">
      <c r="A57" s="88" t="s">
        <v>222</v>
      </c>
      <c r="B57" s="300">
        <v>35</v>
      </c>
      <c r="C57" s="231">
        <v>1615.4763718342949</v>
      </c>
      <c r="D57" s="231">
        <v>3798.6911159010415</v>
      </c>
      <c r="E57" s="231">
        <v>1266.7076743992209</v>
      </c>
      <c r="F57" s="231">
        <v>2686.1408186033937</v>
      </c>
      <c r="G57" s="231">
        <v>3371.7555083447382</v>
      </c>
      <c r="H57" s="231">
        <v>5716.5533734345681</v>
      </c>
      <c r="I57" s="231">
        <v>2136.4961367475198</v>
      </c>
      <c r="J57" s="231">
        <v>2376.9684701938795</v>
      </c>
      <c r="K57" s="412">
        <f t="shared" si="86"/>
        <v>22968.789469458654</v>
      </c>
      <c r="L57" s="417">
        <v>0</v>
      </c>
      <c r="M57" s="231">
        <v>3555.4407712834914</v>
      </c>
      <c r="N57" s="231">
        <v>0</v>
      </c>
      <c r="O57" s="231">
        <v>6022.2461853719878</v>
      </c>
      <c r="P57" s="231">
        <v>0</v>
      </c>
      <c r="Q57" s="231">
        <v>11963.502537084571</v>
      </c>
      <c r="R57" s="231">
        <v>0</v>
      </c>
      <c r="S57" s="231">
        <v>5420.6155977591216</v>
      </c>
      <c r="T57" s="414">
        <f t="shared" si="87"/>
        <v>26961.805091499173</v>
      </c>
      <c r="U57" s="415">
        <f t="shared" si="88"/>
        <v>49930.594560957827</v>
      </c>
      <c r="V57" s="300">
        <v>35</v>
      </c>
      <c r="W57" s="231">
        <v>0</v>
      </c>
      <c r="X57" s="231">
        <v>1058.7228664261736</v>
      </c>
      <c r="Y57" s="231">
        <v>0</v>
      </c>
      <c r="Z57" s="231">
        <v>236.50532462079155</v>
      </c>
      <c r="AA57" s="231">
        <v>305.926832783343</v>
      </c>
      <c r="AB57" s="231">
        <v>547.99151515311394</v>
      </c>
      <c r="AC57" s="231">
        <v>308.62361714564037</v>
      </c>
      <c r="AD57" s="231">
        <v>457.2640072271189</v>
      </c>
      <c r="AE57" s="412">
        <f t="shared" si="89"/>
        <v>2915.0341633561811</v>
      </c>
      <c r="AF57" s="417">
        <v>0</v>
      </c>
      <c r="AG57" s="231">
        <v>2084.2180320653329</v>
      </c>
      <c r="AH57" s="231">
        <v>0</v>
      </c>
      <c r="AI57" s="231">
        <v>554.54654797980277</v>
      </c>
      <c r="AJ57" s="231">
        <v>0</v>
      </c>
      <c r="AK57" s="231">
        <v>549.99891411420549</v>
      </c>
      <c r="AL57" s="231">
        <v>0</v>
      </c>
      <c r="AM57" s="231">
        <v>583.14113791223963</v>
      </c>
      <c r="AN57" s="414">
        <f t="shared" si="90"/>
        <v>3771.9046320715806</v>
      </c>
      <c r="AO57" s="415">
        <f t="shared" si="91"/>
        <v>6686.9387954277618</v>
      </c>
      <c r="AP57" s="300">
        <v>35</v>
      </c>
      <c r="AQ57" s="231">
        <v>8647.4533890794646</v>
      </c>
      <c r="AR57" s="231">
        <v>59953.570647126558</v>
      </c>
      <c r="AS57" s="231">
        <v>5376.353781472948</v>
      </c>
      <c r="AT57" s="231">
        <v>28443.847459828346</v>
      </c>
      <c r="AU57" s="231">
        <v>11645.396764627891</v>
      </c>
      <c r="AV57" s="231">
        <v>42022.206131537227</v>
      </c>
      <c r="AW57" s="231">
        <v>14066.332788434936</v>
      </c>
      <c r="AX57" s="231">
        <v>41236.103572285414</v>
      </c>
      <c r="AY57" s="412">
        <f t="shared" si="92"/>
        <v>211391.26453439277</v>
      </c>
      <c r="AZ57" s="417">
        <v>0</v>
      </c>
      <c r="BA57" s="231">
        <v>92340.862514457447</v>
      </c>
      <c r="BB57" s="231">
        <v>0</v>
      </c>
      <c r="BC57" s="231">
        <v>50139.990558850979</v>
      </c>
      <c r="BD57" s="231">
        <v>0</v>
      </c>
      <c r="BE57" s="231">
        <v>79438.882166420808</v>
      </c>
      <c r="BF57" s="231">
        <v>0</v>
      </c>
      <c r="BG57" s="231">
        <v>71569.145322281722</v>
      </c>
      <c r="BH57" s="414">
        <f t="shared" si="93"/>
        <v>293488.88056201092</v>
      </c>
      <c r="BI57" s="415">
        <f t="shared" si="94"/>
        <v>504880.14509640366</v>
      </c>
      <c r="BJ57" s="300">
        <v>35</v>
      </c>
      <c r="BK57" s="231">
        <v>2071.7038261490329</v>
      </c>
      <c r="BL57" s="231">
        <v>1371.5662659938091</v>
      </c>
      <c r="BM57" s="231">
        <v>1409.0220955631057</v>
      </c>
      <c r="BN57" s="231">
        <v>109.01511337164474</v>
      </c>
      <c r="BO57" s="231">
        <v>930.76958189166089</v>
      </c>
      <c r="BP57" s="231">
        <v>87.552294986774456</v>
      </c>
      <c r="BQ57" s="231">
        <v>0</v>
      </c>
      <c r="BR57" s="231">
        <v>219.27390126450354</v>
      </c>
      <c r="BS57" s="412">
        <f t="shared" si="95"/>
        <v>6198.9030792205313</v>
      </c>
      <c r="BT57" s="417">
        <v>0</v>
      </c>
      <c r="BU57" s="231">
        <v>636.96091212855526</v>
      </c>
      <c r="BV57" s="231">
        <v>0</v>
      </c>
      <c r="BW57" s="231">
        <v>21.584357187029109</v>
      </c>
      <c r="BX57" s="231">
        <v>0</v>
      </c>
      <c r="BY57" s="231">
        <v>9.7257261751013946</v>
      </c>
      <c r="BZ57" s="231">
        <v>0</v>
      </c>
      <c r="CA57" s="231">
        <v>99.955060364408396</v>
      </c>
      <c r="CB57" s="414">
        <f t="shared" si="96"/>
        <v>768.22605585509416</v>
      </c>
      <c r="CC57" s="415">
        <f t="shared" si="97"/>
        <v>6967.1291350756255</v>
      </c>
      <c r="CD57" s="300">
        <v>35</v>
      </c>
      <c r="CE57" s="414">
        <f t="shared" si="98"/>
        <v>78517.184482510376</v>
      </c>
      <c r="CF57" s="414">
        <f t="shared" si="99"/>
        <v>39527.592267859451</v>
      </c>
      <c r="CG57" s="414">
        <f t="shared" si="100"/>
        <v>64628.152002759314</v>
      </c>
      <c r="CH57" s="414">
        <f t="shared" si="101"/>
        <v>60801.06249329901</v>
      </c>
      <c r="CI57" s="416">
        <f t="shared" si="102"/>
        <v>243473.99124642814</v>
      </c>
      <c r="CJ57" s="414">
        <f t="shared" si="103"/>
        <v>98617.482229934831</v>
      </c>
      <c r="CK57" s="414">
        <f t="shared" si="104"/>
        <v>56738.367649389802</v>
      </c>
      <c r="CL57" s="414">
        <f t="shared" si="105"/>
        <v>91962.109343794684</v>
      </c>
      <c r="CM57" s="414">
        <f t="shared" si="106"/>
        <v>77672.857118317479</v>
      </c>
      <c r="CN57" s="416">
        <f t="shared" si="107"/>
        <v>324990.81634143676</v>
      </c>
      <c r="CO57" s="414">
        <f t="shared" si="108"/>
        <v>177134.66671244518</v>
      </c>
      <c r="CP57" s="414">
        <f t="shared" si="109"/>
        <v>96265.959917249245</v>
      </c>
      <c r="CQ57" s="414">
        <f t="shared" si="110"/>
        <v>156590.26134655401</v>
      </c>
      <c r="CR57" s="414">
        <f t="shared" si="111"/>
        <v>138473.91961161653</v>
      </c>
      <c r="CS57" s="416">
        <f t="shared" si="112"/>
        <v>568464.80758786481</v>
      </c>
      <c r="CT57" s="319"/>
    </row>
    <row r="58" spans="1:98" ht="15.75" customHeight="1">
      <c r="A58" s="88" t="s">
        <v>223</v>
      </c>
      <c r="B58" s="300">
        <v>36</v>
      </c>
      <c r="C58" s="231">
        <v>0</v>
      </c>
      <c r="D58" s="231">
        <v>0</v>
      </c>
      <c r="E58" s="231">
        <v>0</v>
      </c>
      <c r="F58" s="231">
        <v>0</v>
      </c>
      <c r="G58" s="231">
        <v>0</v>
      </c>
      <c r="H58" s="231">
        <v>0</v>
      </c>
      <c r="I58" s="231">
        <v>0</v>
      </c>
      <c r="J58" s="231">
        <v>0</v>
      </c>
      <c r="K58" s="412">
        <f t="shared" si="86"/>
        <v>0</v>
      </c>
      <c r="L58" s="417">
        <v>0</v>
      </c>
      <c r="M58" s="231">
        <v>0</v>
      </c>
      <c r="N58" s="231">
        <v>0</v>
      </c>
      <c r="O58" s="231">
        <v>0</v>
      </c>
      <c r="P58" s="231">
        <v>0</v>
      </c>
      <c r="Q58" s="231">
        <v>0</v>
      </c>
      <c r="R58" s="231">
        <v>0</v>
      </c>
      <c r="S58" s="231">
        <v>0</v>
      </c>
      <c r="T58" s="414">
        <f t="shared" si="87"/>
        <v>0</v>
      </c>
      <c r="U58" s="415">
        <f t="shared" si="88"/>
        <v>0</v>
      </c>
      <c r="V58" s="300">
        <v>36</v>
      </c>
      <c r="W58" s="231">
        <v>0</v>
      </c>
      <c r="X58" s="231">
        <v>0</v>
      </c>
      <c r="Y58" s="231">
        <v>0</v>
      </c>
      <c r="Z58" s="231">
        <v>0</v>
      </c>
      <c r="AA58" s="231">
        <v>0</v>
      </c>
      <c r="AB58" s="231">
        <v>0</v>
      </c>
      <c r="AC58" s="231">
        <v>0</v>
      </c>
      <c r="AD58" s="231">
        <v>0</v>
      </c>
      <c r="AE58" s="412">
        <f t="shared" si="89"/>
        <v>0</v>
      </c>
      <c r="AF58" s="417">
        <v>0</v>
      </c>
      <c r="AG58" s="231">
        <v>0</v>
      </c>
      <c r="AH58" s="231">
        <v>0</v>
      </c>
      <c r="AI58" s="231">
        <v>155.39133135111527</v>
      </c>
      <c r="AJ58" s="231">
        <v>0</v>
      </c>
      <c r="AK58" s="231">
        <v>0</v>
      </c>
      <c r="AL58" s="231">
        <v>0</v>
      </c>
      <c r="AM58" s="231">
        <v>0</v>
      </c>
      <c r="AN58" s="414">
        <f t="shared" si="90"/>
        <v>155.39133135111527</v>
      </c>
      <c r="AO58" s="415">
        <f t="shared" si="91"/>
        <v>155.39133135111527</v>
      </c>
      <c r="AP58" s="300">
        <v>36</v>
      </c>
      <c r="AQ58" s="231">
        <v>0</v>
      </c>
      <c r="AR58" s="231">
        <v>0</v>
      </c>
      <c r="AS58" s="231">
        <v>0</v>
      </c>
      <c r="AT58" s="231">
        <v>0</v>
      </c>
      <c r="AU58" s="231">
        <v>3551.8512270681103</v>
      </c>
      <c r="AV58" s="231">
        <v>0</v>
      </c>
      <c r="AW58" s="231">
        <v>0</v>
      </c>
      <c r="AX58" s="231">
        <v>0</v>
      </c>
      <c r="AY58" s="412">
        <f t="shared" si="92"/>
        <v>3551.8512270681103</v>
      </c>
      <c r="AZ58" s="417">
        <v>0</v>
      </c>
      <c r="BA58" s="231">
        <v>0</v>
      </c>
      <c r="BB58" s="231">
        <v>0</v>
      </c>
      <c r="BC58" s="231">
        <v>0</v>
      </c>
      <c r="BD58" s="231">
        <v>0</v>
      </c>
      <c r="BE58" s="231">
        <v>470.11046480479695</v>
      </c>
      <c r="BF58" s="231">
        <v>0</v>
      </c>
      <c r="BG58" s="231">
        <v>162.63945366873082</v>
      </c>
      <c r="BH58" s="414">
        <f t="shared" si="93"/>
        <v>632.74991847352771</v>
      </c>
      <c r="BI58" s="415">
        <f t="shared" si="94"/>
        <v>4184.6011455416383</v>
      </c>
      <c r="BJ58" s="300">
        <v>36</v>
      </c>
      <c r="BK58" s="231">
        <v>0</v>
      </c>
      <c r="BL58" s="231">
        <v>0</v>
      </c>
      <c r="BM58" s="231">
        <v>0</v>
      </c>
      <c r="BN58" s="231">
        <v>0</v>
      </c>
      <c r="BO58" s="231">
        <v>0</v>
      </c>
      <c r="BP58" s="231">
        <v>0</v>
      </c>
      <c r="BQ58" s="231">
        <v>0</v>
      </c>
      <c r="BR58" s="231">
        <v>0</v>
      </c>
      <c r="BS58" s="412">
        <f t="shared" si="95"/>
        <v>0</v>
      </c>
      <c r="BT58" s="417">
        <v>0</v>
      </c>
      <c r="BU58" s="231">
        <v>0</v>
      </c>
      <c r="BV58" s="231">
        <v>0</v>
      </c>
      <c r="BW58" s="231">
        <v>0</v>
      </c>
      <c r="BX58" s="231">
        <v>0</v>
      </c>
      <c r="BY58" s="231">
        <v>0</v>
      </c>
      <c r="BZ58" s="231">
        <v>0</v>
      </c>
      <c r="CA58" s="231">
        <v>0</v>
      </c>
      <c r="CB58" s="414">
        <f t="shared" si="96"/>
        <v>0</v>
      </c>
      <c r="CC58" s="415">
        <f t="shared" si="97"/>
        <v>0</v>
      </c>
      <c r="CD58" s="300">
        <v>36</v>
      </c>
      <c r="CE58" s="414">
        <f t="shared" si="98"/>
        <v>0</v>
      </c>
      <c r="CF58" s="414">
        <f t="shared" si="99"/>
        <v>0</v>
      </c>
      <c r="CG58" s="414">
        <f t="shared" si="100"/>
        <v>3551.8512270681103</v>
      </c>
      <c r="CH58" s="414">
        <f t="shared" si="101"/>
        <v>0</v>
      </c>
      <c r="CI58" s="416">
        <f t="shared" si="102"/>
        <v>3551.8512270681103</v>
      </c>
      <c r="CJ58" s="414">
        <f t="shared" si="103"/>
        <v>0</v>
      </c>
      <c r="CK58" s="414">
        <f t="shared" si="104"/>
        <v>155.39133135111527</v>
      </c>
      <c r="CL58" s="414">
        <f t="shared" si="105"/>
        <v>470.11046480479695</v>
      </c>
      <c r="CM58" s="414">
        <f t="shared" si="106"/>
        <v>162.63945366873082</v>
      </c>
      <c r="CN58" s="416">
        <f t="shared" si="107"/>
        <v>788.14124982464295</v>
      </c>
      <c r="CO58" s="414">
        <f t="shared" si="108"/>
        <v>0</v>
      </c>
      <c r="CP58" s="414">
        <f t="shared" si="109"/>
        <v>155.39133135111527</v>
      </c>
      <c r="CQ58" s="414">
        <f t="shared" si="110"/>
        <v>4021.9616918729071</v>
      </c>
      <c r="CR58" s="414">
        <f t="shared" si="111"/>
        <v>162.63945366873082</v>
      </c>
      <c r="CS58" s="416">
        <f t="shared" si="112"/>
        <v>4339.992476892754</v>
      </c>
      <c r="CT58" s="319"/>
    </row>
    <row r="59" spans="1:98" ht="15.75" customHeight="1">
      <c r="A59" s="88" t="s">
        <v>468</v>
      </c>
      <c r="B59" s="300">
        <v>37</v>
      </c>
      <c r="C59" s="231">
        <v>0</v>
      </c>
      <c r="D59" s="231">
        <v>0</v>
      </c>
      <c r="E59" s="231">
        <v>0</v>
      </c>
      <c r="F59" s="231">
        <v>22.326584079978034</v>
      </c>
      <c r="G59" s="231">
        <v>293.98052056266846</v>
      </c>
      <c r="H59" s="231">
        <v>32.194299035377291</v>
      </c>
      <c r="I59" s="231">
        <v>0</v>
      </c>
      <c r="J59" s="231">
        <v>43.297588260768904</v>
      </c>
      <c r="K59" s="412">
        <f t="shared" si="86"/>
        <v>391.79899193879271</v>
      </c>
      <c r="L59" s="417">
        <v>0</v>
      </c>
      <c r="M59" s="231">
        <v>0</v>
      </c>
      <c r="N59" s="231">
        <v>0</v>
      </c>
      <c r="O59" s="231">
        <v>0</v>
      </c>
      <c r="P59" s="231">
        <v>0</v>
      </c>
      <c r="Q59" s="231">
        <v>0</v>
      </c>
      <c r="R59" s="231">
        <v>0</v>
      </c>
      <c r="S59" s="231">
        <v>107.2476036095547</v>
      </c>
      <c r="T59" s="414">
        <f t="shared" si="87"/>
        <v>107.2476036095547</v>
      </c>
      <c r="U59" s="415">
        <f t="shared" si="88"/>
        <v>499.0465955483474</v>
      </c>
      <c r="V59" s="300">
        <v>37</v>
      </c>
      <c r="W59" s="231">
        <v>0</v>
      </c>
      <c r="X59" s="231">
        <v>0</v>
      </c>
      <c r="Y59" s="231">
        <v>0</v>
      </c>
      <c r="Z59" s="231">
        <v>0</v>
      </c>
      <c r="AA59" s="231">
        <v>0</v>
      </c>
      <c r="AB59" s="231">
        <v>0</v>
      </c>
      <c r="AC59" s="231">
        <v>0</v>
      </c>
      <c r="AD59" s="231">
        <v>28.309961555118125</v>
      </c>
      <c r="AE59" s="412">
        <f t="shared" si="89"/>
        <v>28.309961555118125</v>
      </c>
      <c r="AF59" s="417">
        <v>0</v>
      </c>
      <c r="AG59" s="231">
        <v>0</v>
      </c>
      <c r="AH59" s="231">
        <v>0</v>
      </c>
      <c r="AI59" s="231">
        <v>0</v>
      </c>
      <c r="AJ59" s="231">
        <v>0</v>
      </c>
      <c r="AK59" s="231">
        <v>0</v>
      </c>
      <c r="AL59" s="231">
        <v>0</v>
      </c>
      <c r="AM59" s="231">
        <v>0</v>
      </c>
      <c r="AN59" s="414">
        <f t="shared" si="90"/>
        <v>0</v>
      </c>
      <c r="AO59" s="415">
        <f t="shared" si="91"/>
        <v>28.309961555118125</v>
      </c>
      <c r="AP59" s="300">
        <v>37</v>
      </c>
      <c r="AQ59" s="231">
        <v>0</v>
      </c>
      <c r="AR59" s="231">
        <v>31.843096172622769</v>
      </c>
      <c r="AS59" s="231">
        <v>20.731828074265316</v>
      </c>
      <c r="AT59" s="231">
        <v>231.13932170848773</v>
      </c>
      <c r="AU59" s="231">
        <v>15.590949847321077</v>
      </c>
      <c r="AV59" s="231">
        <v>506.87797792585997</v>
      </c>
      <c r="AW59" s="231">
        <v>107.04998781163978</v>
      </c>
      <c r="AX59" s="231">
        <v>368.45891509768984</v>
      </c>
      <c r="AY59" s="412">
        <f t="shared" si="92"/>
        <v>1281.6920766378864</v>
      </c>
      <c r="AZ59" s="417">
        <v>0</v>
      </c>
      <c r="BA59" s="231">
        <v>0</v>
      </c>
      <c r="BB59" s="231">
        <v>0</v>
      </c>
      <c r="BC59" s="231">
        <v>469.18156820852874</v>
      </c>
      <c r="BD59" s="231">
        <v>0</v>
      </c>
      <c r="BE59" s="231">
        <v>0</v>
      </c>
      <c r="BF59" s="231">
        <v>0</v>
      </c>
      <c r="BG59" s="231">
        <v>107.24760360955467</v>
      </c>
      <c r="BH59" s="414">
        <f t="shared" si="93"/>
        <v>576.42917181808343</v>
      </c>
      <c r="BI59" s="415">
        <f t="shared" si="94"/>
        <v>1858.1212484559699</v>
      </c>
      <c r="BJ59" s="300">
        <v>37</v>
      </c>
      <c r="BK59" s="231">
        <v>0</v>
      </c>
      <c r="BL59" s="231">
        <v>0</v>
      </c>
      <c r="BM59" s="231">
        <v>0</v>
      </c>
      <c r="BN59" s="231">
        <v>0</v>
      </c>
      <c r="BO59" s="231">
        <v>0</v>
      </c>
      <c r="BP59" s="231">
        <v>0</v>
      </c>
      <c r="BQ59" s="231">
        <v>0</v>
      </c>
      <c r="BR59" s="231">
        <v>0</v>
      </c>
      <c r="BS59" s="412">
        <f t="shared" si="95"/>
        <v>0</v>
      </c>
      <c r="BT59" s="417">
        <v>0</v>
      </c>
      <c r="BU59" s="231">
        <v>0</v>
      </c>
      <c r="BV59" s="231">
        <v>0</v>
      </c>
      <c r="BW59" s="231">
        <v>0</v>
      </c>
      <c r="BX59" s="231">
        <v>0</v>
      </c>
      <c r="BY59" s="231">
        <v>0</v>
      </c>
      <c r="BZ59" s="231">
        <v>0</v>
      </c>
      <c r="CA59" s="231">
        <v>0</v>
      </c>
      <c r="CB59" s="414">
        <f t="shared" si="96"/>
        <v>0</v>
      </c>
      <c r="CC59" s="415">
        <f t="shared" si="97"/>
        <v>0</v>
      </c>
      <c r="CD59" s="300">
        <v>37</v>
      </c>
      <c r="CE59" s="414">
        <f t="shared" si="98"/>
        <v>31.843096172622769</v>
      </c>
      <c r="CF59" s="414">
        <f t="shared" si="99"/>
        <v>274.19773386273107</v>
      </c>
      <c r="CG59" s="414">
        <f t="shared" si="100"/>
        <v>848.64374737122682</v>
      </c>
      <c r="CH59" s="414">
        <f t="shared" si="101"/>
        <v>547.11645272521662</v>
      </c>
      <c r="CI59" s="416">
        <f t="shared" si="102"/>
        <v>1701.8010301317972</v>
      </c>
      <c r="CJ59" s="414">
        <f t="shared" si="103"/>
        <v>0</v>
      </c>
      <c r="CK59" s="414">
        <f t="shared" si="104"/>
        <v>469.18156820852874</v>
      </c>
      <c r="CL59" s="414">
        <f t="shared" si="105"/>
        <v>0</v>
      </c>
      <c r="CM59" s="414">
        <f t="shared" si="106"/>
        <v>214.49520721910937</v>
      </c>
      <c r="CN59" s="416">
        <f t="shared" si="107"/>
        <v>683.67677542763818</v>
      </c>
      <c r="CO59" s="414">
        <f t="shared" si="108"/>
        <v>31.843096172622769</v>
      </c>
      <c r="CP59" s="414">
        <f t="shared" si="109"/>
        <v>743.37930207125987</v>
      </c>
      <c r="CQ59" s="414">
        <f t="shared" si="110"/>
        <v>848.64374737122682</v>
      </c>
      <c r="CR59" s="414">
        <f t="shared" si="111"/>
        <v>761.61165994432599</v>
      </c>
      <c r="CS59" s="416">
        <f t="shared" si="112"/>
        <v>2385.4778055594356</v>
      </c>
      <c r="CT59" s="319"/>
    </row>
    <row r="60" spans="1:98" ht="15.75" customHeight="1">
      <c r="A60" s="932" t="s">
        <v>372</v>
      </c>
      <c r="B60" s="933">
        <v>38</v>
      </c>
      <c r="C60" s="420">
        <v>8399.9638445350083</v>
      </c>
      <c r="D60" s="420">
        <v>33137.4720472482</v>
      </c>
      <c r="E60" s="420">
        <v>9721.639669913453</v>
      </c>
      <c r="F60" s="420">
        <v>43052.975681045296</v>
      </c>
      <c r="G60" s="420">
        <v>10478.150657630851</v>
      </c>
      <c r="H60" s="420">
        <v>44917.36642204989</v>
      </c>
      <c r="I60" s="420">
        <v>8312.657183067502</v>
      </c>
      <c r="J60" s="420">
        <v>43179.635923156195</v>
      </c>
      <c r="K60" s="412">
        <f>SUM(C60:J60)</f>
        <v>201199.86142864637</v>
      </c>
      <c r="L60" s="421">
        <v>0</v>
      </c>
      <c r="M60" s="420">
        <v>0</v>
      </c>
      <c r="N60" s="420">
        <v>0</v>
      </c>
      <c r="O60" s="420">
        <v>0</v>
      </c>
      <c r="P60" s="420">
        <v>0</v>
      </c>
      <c r="Q60" s="420">
        <v>0</v>
      </c>
      <c r="R60" s="420">
        <v>0</v>
      </c>
      <c r="S60" s="420">
        <v>0</v>
      </c>
      <c r="T60" s="414">
        <f>SUM(L60:S60)</f>
        <v>0</v>
      </c>
      <c r="U60" s="415">
        <f>SUM(T60,K60)</f>
        <v>201199.86142864637</v>
      </c>
      <c r="V60" s="933">
        <v>38</v>
      </c>
      <c r="W60" s="420">
        <v>0</v>
      </c>
      <c r="X60" s="420">
        <v>9555.9221717645978</v>
      </c>
      <c r="Y60" s="420">
        <v>154.31174079227702</v>
      </c>
      <c r="Z60" s="420">
        <v>7947.0546508022671</v>
      </c>
      <c r="AA60" s="420">
        <v>616.36180339005</v>
      </c>
      <c r="AB60" s="420">
        <v>7550.4320915281123</v>
      </c>
      <c r="AC60" s="420">
        <v>692.72143192229191</v>
      </c>
      <c r="AD60" s="420">
        <v>7696.904799136576</v>
      </c>
      <c r="AE60" s="412">
        <f>SUM(W60:AD60)</f>
        <v>34213.70868933617</v>
      </c>
      <c r="AF60" s="421">
        <v>0</v>
      </c>
      <c r="AG60" s="420">
        <v>0</v>
      </c>
      <c r="AH60" s="420">
        <v>0</v>
      </c>
      <c r="AI60" s="420">
        <v>0</v>
      </c>
      <c r="AJ60" s="420">
        <v>0</v>
      </c>
      <c r="AK60" s="420">
        <v>0</v>
      </c>
      <c r="AL60" s="420">
        <v>0</v>
      </c>
      <c r="AM60" s="420">
        <v>0</v>
      </c>
      <c r="AN60" s="414">
        <f>SUM(AF60:AM60)</f>
        <v>0</v>
      </c>
      <c r="AO60" s="415">
        <f>SUM(AN60,AE60)</f>
        <v>34213.70868933617</v>
      </c>
      <c r="AP60" s="933">
        <v>38</v>
      </c>
      <c r="AQ60" s="420">
        <v>22965.038767627822</v>
      </c>
      <c r="AR60" s="420">
        <v>83486.59291140773</v>
      </c>
      <c r="AS60" s="420">
        <v>23455.38460042611</v>
      </c>
      <c r="AT60" s="420">
        <v>83462.258862354778</v>
      </c>
      <c r="AU60" s="420">
        <v>25661.060407167763</v>
      </c>
      <c r="AV60" s="420">
        <v>94285.53913510454</v>
      </c>
      <c r="AW60" s="420">
        <v>28709.454900779434</v>
      </c>
      <c r="AX60" s="420">
        <v>107873.08292247106</v>
      </c>
      <c r="AY60" s="412">
        <f>SUM(AQ60:AX60)</f>
        <v>469898.41250733921</v>
      </c>
      <c r="AZ60" s="421">
        <v>0</v>
      </c>
      <c r="BA60" s="420">
        <v>0</v>
      </c>
      <c r="BB60" s="420">
        <v>0</v>
      </c>
      <c r="BC60" s="420">
        <v>0</v>
      </c>
      <c r="BD60" s="420">
        <v>0</v>
      </c>
      <c r="BE60" s="420">
        <v>0</v>
      </c>
      <c r="BF60" s="420">
        <v>0</v>
      </c>
      <c r="BG60" s="420">
        <v>0</v>
      </c>
      <c r="BH60" s="414">
        <f>SUM(AZ60:BG60)</f>
        <v>0</v>
      </c>
      <c r="BI60" s="415">
        <f>SUM(BH60,AY60)</f>
        <v>469898.41250733921</v>
      </c>
      <c r="BJ60" s="933">
        <v>38</v>
      </c>
      <c r="BK60" s="420">
        <v>231.19166544591769</v>
      </c>
      <c r="BL60" s="420">
        <v>4021.8728256987083</v>
      </c>
      <c r="BM60" s="420">
        <v>231.46761118841556</v>
      </c>
      <c r="BN60" s="420">
        <v>3392.0542336120411</v>
      </c>
      <c r="BO60" s="420">
        <v>179.17654591187875</v>
      </c>
      <c r="BP60" s="420">
        <v>3720.4695343063418</v>
      </c>
      <c r="BQ60" s="420">
        <v>0</v>
      </c>
      <c r="BR60" s="420">
        <v>3505.871359985626</v>
      </c>
      <c r="BS60" s="412">
        <f>SUM(BK60:BR60)</f>
        <v>15282.10377614893</v>
      </c>
      <c r="BT60" s="421">
        <v>0</v>
      </c>
      <c r="BU60" s="420">
        <v>0</v>
      </c>
      <c r="BV60" s="420">
        <v>0</v>
      </c>
      <c r="BW60" s="420">
        <v>0</v>
      </c>
      <c r="BX60" s="420">
        <v>0</v>
      </c>
      <c r="BY60" s="420">
        <v>0</v>
      </c>
      <c r="BZ60" s="420">
        <v>0</v>
      </c>
      <c r="CA60" s="420">
        <v>0</v>
      </c>
      <c r="CB60" s="414">
        <f>SUM(BT60:CA60)</f>
        <v>0</v>
      </c>
      <c r="CC60" s="415">
        <f>SUM(CB60,BS60)</f>
        <v>15282.10377614893</v>
      </c>
      <c r="CD60" s="933">
        <v>38</v>
      </c>
      <c r="CE60" s="414">
        <f t="shared" si="98"/>
        <v>161798.05423372798</v>
      </c>
      <c r="CF60" s="414">
        <f t="shared" si="99"/>
        <v>171417.1470501346</v>
      </c>
      <c r="CG60" s="414">
        <f t="shared" si="100"/>
        <v>187408.55659708942</v>
      </c>
      <c r="CH60" s="414">
        <f t="shared" si="101"/>
        <v>199970.32852051867</v>
      </c>
      <c r="CI60" s="416">
        <f t="shared" si="102"/>
        <v>720594.0864014707</v>
      </c>
      <c r="CJ60" s="414">
        <f t="shared" si="103"/>
        <v>0</v>
      </c>
      <c r="CK60" s="414">
        <f t="shared" si="104"/>
        <v>0</v>
      </c>
      <c r="CL60" s="414">
        <f t="shared" si="105"/>
        <v>0</v>
      </c>
      <c r="CM60" s="414">
        <f t="shared" si="106"/>
        <v>0</v>
      </c>
      <c r="CN60" s="416">
        <f t="shared" si="107"/>
        <v>0</v>
      </c>
      <c r="CO60" s="414">
        <f t="shared" si="108"/>
        <v>161798.05423372798</v>
      </c>
      <c r="CP60" s="414">
        <f t="shared" si="109"/>
        <v>171417.1470501346</v>
      </c>
      <c r="CQ60" s="414">
        <f t="shared" si="110"/>
        <v>187408.55659708942</v>
      </c>
      <c r="CR60" s="414">
        <f t="shared" si="111"/>
        <v>199970.32852051867</v>
      </c>
      <c r="CS60" s="416">
        <f t="shared" si="112"/>
        <v>720594.0864014707</v>
      </c>
    </row>
    <row r="61" spans="1:98" ht="15.75" customHeight="1">
      <c r="A61" s="88" t="s">
        <v>226</v>
      </c>
      <c r="B61" s="933">
        <v>39</v>
      </c>
      <c r="C61" s="231">
        <v>2865.67</v>
      </c>
      <c r="D61" s="231">
        <v>11383.19</v>
      </c>
      <c r="E61" s="231">
        <v>3654</v>
      </c>
      <c r="F61" s="231">
        <v>15578.13</v>
      </c>
      <c r="G61" s="231">
        <v>3895.61</v>
      </c>
      <c r="H61" s="231">
        <v>16495.010000000002</v>
      </c>
      <c r="I61" s="231">
        <v>2446.02</v>
      </c>
      <c r="J61" s="231">
        <v>12237.57</v>
      </c>
      <c r="K61" s="412">
        <f t="shared" si="86"/>
        <v>68555.199999999997</v>
      </c>
      <c r="L61" s="417">
        <v>0</v>
      </c>
      <c r="M61" s="231">
        <v>59010.18</v>
      </c>
      <c r="N61" s="231">
        <v>0</v>
      </c>
      <c r="O61" s="231">
        <v>82101.539999999994</v>
      </c>
      <c r="P61" s="231">
        <v>0</v>
      </c>
      <c r="Q61" s="231">
        <v>85544.2</v>
      </c>
      <c r="R61" s="231">
        <v>0</v>
      </c>
      <c r="S61" s="231">
        <v>83842.53</v>
      </c>
      <c r="T61" s="414">
        <f t="shared" si="87"/>
        <v>310498.44999999995</v>
      </c>
      <c r="U61" s="415">
        <f t="shared" si="88"/>
        <v>379053.64999999997</v>
      </c>
      <c r="V61" s="933">
        <v>39</v>
      </c>
      <c r="W61" s="231">
        <v>6</v>
      </c>
      <c r="X61" s="231">
        <v>3278.86</v>
      </c>
      <c r="Y61" s="231">
        <v>59.75</v>
      </c>
      <c r="Z61" s="231">
        <v>2840.42</v>
      </c>
      <c r="AA61" s="231">
        <v>239.27</v>
      </c>
      <c r="AB61" s="231">
        <v>2740.82</v>
      </c>
      <c r="AC61" s="231">
        <v>198.92</v>
      </c>
      <c r="AD61" s="231">
        <v>2164.65</v>
      </c>
      <c r="AE61" s="412">
        <f t="shared" si="89"/>
        <v>11528.69</v>
      </c>
      <c r="AF61" s="417">
        <v>0</v>
      </c>
      <c r="AG61" s="231">
        <v>17093.02</v>
      </c>
      <c r="AH61" s="231">
        <v>0</v>
      </c>
      <c r="AI61" s="231">
        <v>15132.81</v>
      </c>
      <c r="AJ61" s="231">
        <v>0</v>
      </c>
      <c r="AK61" s="231">
        <v>14317.63</v>
      </c>
      <c r="AL61" s="231">
        <v>0</v>
      </c>
      <c r="AM61" s="231">
        <v>14904.25</v>
      </c>
      <c r="AN61" s="414">
        <f t="shared" si="90"/>
        <v>61447.71</v>
      </c>
      <c r="AO61" s="415">
        <f t="shared" si="91"/>
        <v>72976.399999999994</v>
      </c>
      <c r="AP61" s="933">
        <v>39</v>
      </c>
      <c r="AQ61" s="231">
        <v>9422.02</v>
      </c>
      <c r="AR61" s="231">
        <v>31804.67</v>
      </c>
      <c r="AS61" s="231">
        <v>9896.73</v>
      </c>
      <c r="AT61" s="231">
        <v>33456.86</v>
      </c>
      <c r="AU61" s="231">
        <v>11071.11</v>
      </c>
      <c r="AV61" s="231">
        <v>38174.82</v>
      </c>
      <c r="AW61" s="231">
        <v>10168.86</v>
      </c>
      <c r="AX61" s="231">
        <v>34721.919999999998</v>
      </c>
      <c r="AY61" s="412">
        <f t="shared" si="92"/>
        <v>178716.99</v>
      </c>
      <c r="AZ61" s="417">
        <v>0</v>
      </c>
      <c r="BA61" s="231">
        <v>151121.34</v>
      </c>
      <c r="BB61" s="231">
        <v>0</v>
      </c>
      <c r="BC61" s="231">
        <v>161481.44</v>
      </c>
      <c r="BD61" s="231">
        <v>0</v>
      </c>
      <c r="BE61" s="231">
        <v>181908.88</v>
      </c>
      <c r="BF61" s="231">
        <v>0</v>
      </c>
      <c r="BG61" s="231">
        <v>211960.88</v>
      </c>
      <c r="BH61" s="414">
        <f t="shared" si="93"/>
        <v>706472.54</v>
      </c>
      <c r="BI61" s="415">
        <f t="shared" si="94"/>
        <v>885189.53</v>
      </c>
      <c r="BJ61" s="933">
        <v>39</v>
      </c>
      <c r="BK61" s="231">
        <v>139.24</v>
      </c>
      <c r="BL61" s="231">
        <v>1750.06</v>
      </c>
      <c r="BM61" s="231">
        <v>130.12</v>
      </c>
      <c r="BN61" s="231">
        <v>1459.42</v>
      </c>
      <c r="BO61" s="231">
        <v>109.61</v>
      </c>
      <c r="BP61" s="231">
        <v>1632.67</v>
      </c>
      <c r="BQ61" s="231">
        <v>25</v>
      </c>
      <c r="BR61" s="231">
        <v>1283.42</v>
      </c>
      <c r="BS61" s="412">
        <f t="shared" si="95"/>
        <v>6529.5400000000009</v>
      </c>
      <c r="BT61" s="417">
        <v>0</v>
      </c>
      <c r="BU61" s="231">
        <v>7220.57</v>
      </c>
      <c r="BV61" s="231">
        <v>0</v>
      </c>
      <c r="BW61" s="231">
        <v>6576.31</v>
      </c>
      <c r="BX61" s="231">
        <v>0</v>
      </c>
      <c r="BY61" s="231">
        <v>7119.77</v>
      </c>
      <c r="BZ61" s="231">
        <v>0</v>
      </c>
      <c r="CA61" s="231">
        <v>6871.61</v>
      </c>
      <c r="CB61" s="414">
        <f t="shared" si="96"/>
        <v>27788.260000000002</v>
      </c>
      <c r="CC61" s="415">
        <f t="shared" si="97"/>
        <v>34317.800000000003</v>
      </c>
      <c r="CD61" s="933">
        <v>39</v>
      </c>
      <c r="CE61" s="414">
        <f t="shared" si="98"/>
        <v>60649.71</v>
      </c>
      <c r="CF61" s="414">
        <f t="shared" si="99"/>
        <v>67075.429999999993</v>
      </c>
      <c r="CG61" s="414">
        <f t="shared" si="100"/>
        <v>74358.920000000013</v>
      </c>
      <c r="CH61" s="414">
        <f t="shared" si="101"/>
        <v>63246.36</v>
      </c>
      <c r="CI61" s="416">
        <f t="shared" si="102"/>
        <v>265330.42</v>
      </c>
      <c r="CJ61" s="414">
        <f t="shared" si="103"/>
        <v>234445.11</v>
      </c>
      <c r="CK61" s="414">
        <f t="shared" si="104"/>
        <v>265292.09999999998</v>
      </c>
      <c r="CL61" s="414">
        <f t="shared" si="105"/>
        <v>288890.48000000004</v>
      </c>
      <c r="CM61" s="414">
        <f t="shared" si="106"/>
        <v>317579.27</v>
      </c>
      <c r="CN61" s="416">
        <f t="shared" si="107"/>
        <v>1106206.96</v>
      </c>
      <c r="CO61" s="414">
        <f t="shared" si="108"/>
        <v>295094.82</v>
      </c>
      <c r="CP61" s="414">
        <f t="shared" si="109"/>
        <v>332367.52999999997</v>
      </c>
      <c r="CQ61" s="414">
        <f t="shared" si="110"/>
        <v>363249.4</v>
      </c>
      <c r="CR61" s="414">
        <f t="shared" si="111"/>
        <v>380825.62999999995</v>
      </c>
      <c r="CS61" s="416">
        <f t="shared" si="112"/>
        <v>1371537.3800000001</v>
      </c>
      <c r="CT61" s="319"/>
    </row>
    <row r="62" spans="1:98" ht="15.75" customHeight="1">
      <c r="A62" s="88" t="s">
        <v>227</v>
      </c>
      <c r="B62" s="933">
        <v>40</v>
      </c>
      <c r="C62" s="231"/>
      <c r="D62" s="231"/>
      <c r="E62" s="231"/>
      <c r="F62" s="231"/>
      <c r="G62" s="231"/>
      <c r="H62" s="231"/>
      <c r="I62" s="231"/>
      <c r="J62" s="231"/>
      <c r="K62" s="412">
        <f t="shared" si="86"/>
        <v>0</v>
      </c>
      <c r="L62" s="417"/>
      <c r="M62" s="231"/>
      <c r="N62" s="231"/>
      <c r="O62" s="231"/>
      <c r="P62" s="231"/>
      <c r="Q62" s="231"/>
      <c r="R62" s="231"/>
      <c r="S62" s="231"/>
      <c r="T62" s="414">
        <f t="shared" si="87"/>
        <v>0</v>
      </c>
      <c r="U62" s="415">
        <f t="shared" si="88"/>
        <v>0</v>
      </c>
      <c r="V62" s="933">
        <v>40</v>
      </c>
      <c r="W62" s="231"/>
      <c r="X62" s="231"/>
      <c r="Y62" s="231"/>
      <c r="Z62" s="231"/>
      <c r="AA62" s="231"/>
      <c r="AB62" s="231"/>
      <c r="AC62" s="231"/>
      <c r="AD62" s="231"/>
      <c r="AE62" s="412">
        <f t="shared" si="89"/>
        <v>0</v>
      </c>
      <c r="AF62" s="417"/>
      <c r="AG62" s="231"/>
      <c r="AH62" s="231"/>
      <c r="AI62" s="231"/>
      <c r="AJ62" s="231"/>
      <c r="AK62" s="231"/>
      <c r="AL62" s="231"/>
      <c r="AM62" s="231"/>
      <c r="AN62" s="414">
        <f t="shared" si="90"/>
        <v>0</v>
      </c>
      <c r="AO62" s="415">
        <f t="shared" si="91"/>
        <v>0</v>
      </c>
      <c r="AP62" s="933">
        <v>40</v>
      </c>
      <c r="AQ62" s="231"/>
      <c r="AR62" s="231"/>
      <c r="AS62" s="231"/>
      <c r="AT62" s="231"/>
      <c r="AU62" s="231"/>
      <c r="AV62" s="231"/>
      <c r="AW62" s="231"/>
      <c r="AX62" s="231"/>
      <c r="AY62" s="412">
        <f t="shared" si="92"/>
        <v>0</v>
      </c>
      <c r="AZ62" s="417"/>
      <c r="BA62" s="231"/>
      <c r="BB62" s="231"/>
      <c r="BC62" s="231"/>
      <c r="BD62" s="231"/>
      <c r="BE62" s="231"/>
      <c r="BF62" s="231"/>
      <c r="BG62" s="231"/>
      <c r="BH62" s="414">
        <f t="shared" si="93"/>
        <v>0</v>
      </c>
      <c r="BI62" s="415">
        <f t="shared" si="94"/>
        <v>0</v>
      </c>
      <c r="BJ62" s="933">
        <v>40</v>
      </c>
      <c r="BK62" s="231"/>
      <c r="BL62" s="231"/>
      <c r="BM62" s="231"/>
      <c r="BN62" s="231"/>
      <c r="BO62" s="231"/>
      <c r="BP62" s="231"/>
      <c r="BQ62" s="231"/>
      <c r="BR62" s="231"/>
      <c r="BS62" s="412">
        <f t="shared" si="95"/>
        <v>0</v>
      </c>
      <c r="BT62" s="417"/>
      <c r="BU62" s="231"/>
      <c r="BV62" s="231"/>
      <c r="BW62" s="231"/>
      <c r="BX62" s="231"/>
      <c r="BY62" s="231"/>
      <c r="BZ62" s="231"/>
      <c r="CA62" s="231"/>
      <c r="CB62" s="414">
        <f t="shared" si="96"/>
        <v>0</v>
      </c>
      <c r="CC62" s="415">
        <f t="shared" si="97"/>
        <v>0</v>
      </c>
      <c r="CD62" s="933">
        <v>40</v>
      </c>
      <c r="CE62" s="414">
        <f t="shared" si="98"/>
        <v>0</v>
      </c>
      <c r="CF62" s="414">
        <f t="shared" si="99"/>
        <v>0</v>
      </c>
      <c r="CG62" s="414">
        <f t="shared" si="100"/>
        <v>0</v>
      </c>
      <c r="CH62" s="414">
        <f t="shared" si="101"/>
        <v>0</v>
      </c>
      <c r="CI62" s="416">
        <f t="shared" si="102"/>
        <v>0</v>
      </c>
      <c r="CJ62" s="414">
        <f t="shared" si="103"/>
        <v>0</v>
      </c>
      <c r="CK62" s="414">
        <f t="shared" si="104"/>
        <v>0</v>
      </c>
      <c r="CL62" s="414">
        <f t="shared" si="105"/>
        <v>0</v>
      </c>
      <c r="CM62" s="414">
        <f t="shared" si="106"/>
        <v>0</v>
      </c>
      <c r="CN62" s="416">
        <f t="shared" si="107"/>
        <v>0</v>
      </c>
      <c r="CO62" s="414">
        <f t="shared" si="108"/>
        <v>0</v>
      </c>
      <c r="CP62" s="414">
        <f t="shared" si="109"/>
        <v>0</v>
      </c>
      <c r="CQ62" s="414">
        <f t="shared" si="110"/>
        <v>0</v>
      </c>
      <c r="CR62" s="414">
        <f t="shared" si="111"/>
        <v>0</v>
      </c>
      <c r="CS62" s="416">
        <f t="shared" si="112"/>
        <v>0</v>
      </c>
    </row>
    <row r="63" spans="1:98" ht="15.75" customHeight="1">
      <c r="A63" s="88" t="s">
        <v>229</v>
      </c>
      <c r="B63" s="933">
        <v>41</v>
      </c>
      <c r="C63" s="231"/>
      <c r="D63" s="231"/>
      <c r="E63" s="231"/>
      <c r="F63" s="231"/>
      <c r="G63" s="231"/>
      <c r="H63" s="231"/>
      <c r="I63" s="231"/>
      <c r="J63" s="231"/>
      <c r="K63" s="412">
        <f t="shared" si="86"/>
        <v>0</v>
      </c>
      <c r="L63" s="417"/>
      <c r="M63" s="231"/>
      <c r="N63" s="231"/>
      <c r="O63" s="231"/>
      <c r="P63" s="231"/>
      <c r="Q63" s="231"/>
      <c r="R63" s="231"/>
      <c r="S63" s="231"/>
      <c r="T63" s="414">
        <f t="shared" si="87"/>
        <v>0</v>
      </c>
      <c r="U63" s="415">
        <f t="shared" si="88"/>
        <v>0</v>
      </c>
      <c r="V63" s="933">
        <v>41</v>
      </c>
      <c r="W63" s="231"/>
      <c r="X63" s="231"/>
      <c r="Y63" s="231"/>
      <c r="Z63" s="231"/>
      <c r="AA63" s="231"/>
      <c r="AB63" s="231"/>
      <c r="AC63" s="231"/>
      <c r="AD63" s="231"/>
      <c r="AE63" s="412">
        <f t="shared" si="89"/>
        <v>0</v>
      </c>
      <c r="AF63" s="417"/>
      <c r="AG63" s="231"/>
      <c r="AH63" s="231"/>
      <c r="AI63" s="231"/>
      <c r="AJ63" s="231"/>
      <c r="AK63" s="231"/>
      <c r="AL63" s="231"/>
      <c r="AM63" s="231"/>
      <c r="AN63" s="414">
        <f t="shared" si="90"/>
        <v>0</v>
      </c>
      <c r="AO63" s="415">
        <f t="shared" si="91"/>
        <v>0</v>
      </c>
      <c r="AP63" s="933">
        <v>41</v>
      </c>
      <c r="AQ63" s="231"/>
      <c r="AR63" s="231"/>
      <c r="AS63" s="231"/>
      <c r="AT63" s="231"/>
      <c r="AU63" s="231"/>
      <c r="AV63" s="231"/>
      <c r="AW63" s="231"/>
      <c r="AX63" s="231"/>
      <c r="AY63" s="412">
        <f t="shared" si="92"/>
        <v>0</v>
      </c>
      <c r="AZ63" s="417"/>
      <c r="BA63" s="231"/>
      <c r="BB63" s="231"/>
      <c r="BC63" s="231"/>
      <c r="BD63" s="231"/>
      <c r="BE63" s="231"/>
      <c r="BF63" s="231"/>
      <c r="BG63" s="231"/>
      <c r="BH63" s="414">
        <f t="shared" si="93"/>
        <v>0</v>
      </c>
      <c r="BI63" s="415">
        <f t="shared" si="94"/>
        <v>0</v>
      </c>
      <c r="BJ63" s="933">
        <v>41</v>
      </c>
      <c r="BK63" s="231"/>
      <c r="BL63" s="231"/>
      <c r="BM63" s="231"/>
      <c r="BN63" s="231"/>
      <c r="BO63" s="231"/>
      <c r="BP63" s="231"/>
      <c r="BQ63" s="231"/>
      <c r="BR63" s="231"/>
      <c r="BS63" s="412">
        <f t="shared" si="95"/>
        <v>0</v>
      </c>
      <c r="BT63" s="417"/>
      <c r="BU63" s="231"/>
      <c r="BV63" s="231"/>
      <c r="BW63" s="231"/>
      <c r="BX63" s="231"/>
      <c r="BY63" s="231"/>
      <c r="BZ63" s="231"/>
      <c r="CA63" s="231"/>
      <c r="CB63" s="414">
        <f t="shared" si="96"/>
        <v>0</v>
      </c>
      <c r="CC63" s="415">
        <f t="shared" si="97"/>
        <v>0</v>
      </c>
      <c r="CD63" s="933">
        <v>41</v>
      </c>
      <c r="CE63" s="414">
        <f t="shared" si="98"/>
        <v>0</v>
      </c>
      <c r="CF63" s="414">
        <f t="shared" si="99"/>
        <v>0</v>
      </c>
      <c r="CG63" s="414">
        <f t="shared" si="100"/>
        <v>0</v>
      </c>
      <c r="CH63" s="414">
        <f t="shared" si="101"/>
        <v>0</v>
      </c>
      <c r="CI63" s="416">
        <f t="shared" si="102"/>
        <v>0</v>
      </c>
      <c r="CJ63" s="414">
        <f t="shared" si="103"/>
        <v>0</v>
      </c>
      <c r="CK63" s="414">
        <f t="shared" si="104"/>
        <v>0</v>
      </c>
      <c r="CL63" s="414">
        <f t="shared" si="105"/>
        <v>0</v>
      </c>
      <c r="CM63" s="414">
        <f t="shared" si="106"/>
        <v>0</v>
      </c>
      <c r="CN63" s="416">
        <f t="shared" si="107"/>
        <v>0</v>
      </c>
      <c r="CO63" s="414">
        <f t="shared" si="108"/>
        <v>0</v>
      </c>
      <c r="CP63" s="414">
        <f t="shared" si="109"/>
        <v>0</v>
      </c>
      <c r="CQ63" s="414">
        <f t="shared" si="110"/>
        <v>0</v>
      </c>
      <c r="CR63" s="414">
        <f t="shared" si="111"/>
        <v>0</v>
      </c>
      <c r="CS63" s="416">
        <f t="shared" si="112"/>
        <v>0</v>
      </c>
    </row>
    <row r="64" spans="1:98" ht="15.75" customHeight="1">
      <c r="A64" s="932" t="s">
        <v>231</v>
      </c>
      <c r="B64" s="933">
        <v>42</v>
      </c>
      <c r="C64" s="231"/>
      <c r="D64" s="231"/>
      <c r="E64" s="231"/>
      <c r="F64" s="231"/>
      <c r="G64" s="231"/>
      <c r="H64" s="231"/>
      <c r="I64" s="231"/>
      <c r="J64" s="231"/>
      <c r="K64" s="412">
        <f t="shared" si="86"/>
        <v>0</v>
      </c>
      <c r="L64" s="417"/>
      <c r="M64" s="231"/>
      <c r="N64" s="231"/>
      <c r="O64" s="231"/>
      <c r="P64" s="231"/>
      <c r="Q64" s="231"/>
      <c r="R64" s="231"/>
      <c r="S64" s="231"/>
      <c r="T64" s="414">
        <f t="shared" si="87"/>
        <v>0</v>
      </c>
      <c r="U64" s="415">
        <f t="shared" si="88"/>
        <v>0</v>
      </c>
      <c r="V64" s="933">
        <v>42</v>
      </c>
      <c r="W64" s="231"/>
      <c r="X64" s="231"/>
      <c r="Y64" s="231"/>
      <c r="Z64" s="231"/>
      <c r="AA64" s="231"/>
      <c r="AB64" s="231"/>
      <c r="AC64" s="231"/>
      <c r="AD64" s="231"/>
      <c r="AE64" s="412">
        <f t="shared" si="89"/>
        <v>0</v>
      </c>
      <c r="AF64" s="417"/>
      <c r="AG64" s="231"/>
      <c r="AH64" s="231"/>
      <c r="AI64" s="231"/>
      <c r="AJ64" s="231"/>
      <c r="AK64" s="231"/>
      <c r="AL64" s="231"/>
      <c r="AM64" s="231"/>
      <c r="AN64" s="414">
        <f t="shared" si="90"/>
        <v>0</v>
      </c>
      <c r="AO64" s="415">
        <f t="shared" si="91"/>
        <v>0</v>
      </c>
      <c r="AP64" s="933">
        <v>42</v>
      </c>
      <c r="AQ64" s="231"/>
      <c r="AR64" s="231"/>
      <c r="AS64" s="231"/>
      <c r="AT64" s="231"/>
      <c r="AU64" s="231"/>
      <c r="AV64" s="231"/>
      <c r="AW64" s="231"/>
      <c r="AX64" s="231"/>
      <c r="AY64" s="412">
        <f t="shared" si="92"/>
        <v>0</v>
      </c>
      <c r="AZ64" s="417"/>
      <c r="BA64" s="231"/>
      <c r="BB64" s="231"/>
      <c r="BC64" s="231"/>
      <c r="BD64" s="231"/>
      <c r="BE64" s="231"/>
      <c r="BF64" s="231"/>
      <c r="BG64" s="231"/>
      <c r="BH64" s="414">
        <f t="shared" si="93"/>
        <v>0</v>
      </c>
      <c r="BI64" s="415">
        <f t="shared" si="94"/>
        <v>0</v>
      </c>
      <c r="BJ64" s="933">
        <v>42</v>
      </c>
      <c r="BK64" s="231"/>
      <c r="BL64" s="231"/>
      <c r="BM64" s="231"/>
      <c r="BN64" s="231"/>
      <c r="BO64" s="231"/>
      <c r="BP64" s="231"/>
      <c r="BQ64" s="231"/>
      <c r="BR64" s="231"/>
      <c r="BS64" s="412">
        <f t="shared" si="95"/>
        <v>0</v>
      </c>
      <c r="BT64" s="417"/>
      <c r="BU64" s="231"/>
      <c r="BV64" s="231"/>
      <c r="BW64" s="231"/>
      <c r="BX64" s="231"/>
      <c r="BY64" s="231"/>
      <c r="BZ64" s="231"/>
      <c r="CA64" s="231"/>
      <c r="CB64" s="414">
        <f t="shared" si="96"/>
        <v>0</v>
      </c>
      <c r="CC64" s="415">
        <f t="shared" si="97"/>
        <v>0</v>
      </c>
      <c r="CD64" s="933">
        <v>42</v>
      </c>
      <c r="CE64" s="414">
        <f t="shared" si="98"/>
        <v>0</v>
      </c>
      <c r="CF64" s="414">
        <f t="shared" si="99"/>
        <v>0</v>
      </c>
      <c r="CG64" s="414">
        <f t="shared" si="100"/>
        <v>0</v>
      </c>
      <c r="CH64" s="414">
        <f t="shared" si="101"/>
        <v>0</v>
      </c>
      <c r="CI64" s="416">
        <f t="shared" si="102"/>
        <v>0</v>
      </c>
      <c r="CJ64" s="414">
        <f t="shared" si="103"/>
        <v>0</v>
      </c>
      <c r="CK64" s="414">
        <f t="shared" si="104"/>
        <v>0</v>
      </c>
      <c r="CL64" s="414">
        <f t="shared" si="105"/>
        <v>0</v>
      </c>
      <c r="CM64" s="414">
        <f t="shared" si="106"/>
        <v>0</v>
      </c>
      <c r="CN64" s="416">
        <f t="shared" si="107"/>
        <v>0</v>
      </c>
      <c r="CO64" s="414">
        <f t="shared" si="108"/>
        <v>0</v>
      </c>
      <c r="CP64" s="414">
        <f t="shared" si="109"/>
        <v>0</v>
      </c>
      <c r="CQ64" s="414">
        <f t="shared" si="110"/>
        <v>0</v>
      </c>
      <c r="CR64" s="414">
        <f t="shared" si="111"/>
        <v>0</v>
      </c>
      <c r="CS64" s="416">
        <f t="shared" si="112"/>
        <v>0</v>
      </c>
    </row>
    <row r="65" spans="1:131" ht="15.75" customHeight="1">
      <c r="A65" s="88"/>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31" s="14" customFormat="1" ht="15.75" customHeight="1">
      <c r="A66" s="16" t="s">
        <v>233</v>
      </c>
      <c r="B66" s="933">
        <v>43</v>
      </c>
      <c r="C66" s="216">
        <f>SUM(C35:C64)-C44-C46</f>
        <v>40313.156051280966</v>
      </c>
      <c r="D66" s="216">
        <f t="shared" ref="D66:U66" si="118">SUM(D35:D64)-D44-D46</f>
        <v>231158.85232611082</v>
      </c>
      <c r="E66" s="216">
        <f t="shared" si="118"/>
        <v>246147.31853478041</v>
      </c>
      <c r="F66" s="216">
        <f t="shared" si="118"/>
        <v>394413.52541735466</v>
      </c>
      <c r="G66" s="216">
        <f t="shared" si="118"/>
        <v>161573.31947079531</v>
      </c>
      <c r="H66" s="216">
        <f t="shared" si="118"/>
        <v>390620.46210050886</v>
      </c>
      <c r="I66" s="216">
        <f t="shared" si="118"/>
        <v>153329.79494162201</v>
      </c>
      <c r="J66" s="216">
        <f t="shared" si="118"/>
        <v>222016.08868570518</v>
      </c>
      <c r="K66" s="221">
        <f t="shared" si="118"/>
        <v>1839572.5175281584</v>
      </c>
      <c r="L66" s="218">
        <f t="shared" si="118"/>
        <v>0</v>
      </c>
      <c r="M66" s="218">
        <f t="shared" si="118"/>
        <v>336255.34948445123</v>
      </c>
      <c r="N66" s="218">
        <f t="shared" si="118"/>
        <v>0</v>
      </c>
      <c r="O66" s="218">
        <f t="shared" si="118"/>
        <v>699755.57590912271</v>
      </c>
      <c r="P66" s="218">
        <f t="shared" si="118"/>
        <v>0</v>
      </c>
      <c r="Q66" s="218">
        <f t="shared" si="118"/>
        <v>745841.85219014343</v>
      </c>
      <c r="R66" s="218">
        <f t="shared" si="118"/>
        <v>0</v>
      </c>
      <c r="S66" s="218">
        <f t="shared" si="118"/>
        <v>703527.02837955242</v>
      </c>
      <c r="T66" s="219">
        <f t="shared" si="118"/>
        <v>2485379.8059632708</v>
      </c>
      <c r="U66" s="218">
        <f t="shared" si="118"/>
        <v>4324952.323491429</v>
      </c>
      <c r="V66" s="933">
        <v>43</v>
      </c>
      <c r="W66" s="216">
        <f>SUM(W35:W64)-W44-W46</f>
        <v>6386.6470966807383</v>
      </c>
      <c r="X66" s="216">
        <f t="shared" ref="X66:AO66" si="119">SUM(X35:X64)-X44-X46</f>
        <v>62526.108133947666</v>
      </c>
      <c r="Y66" s="216">
        <f t="shared" si="119"/>
        <v>6888.860978170027</v>
      </c>
      <c r="Z66" s="216">
        <f t="shared" si="119"/>
        <v>33760.222287649842</v>
      </c>
      <c r="AA66" s="216">
        <f t="shared" si="119"/>
        <v>20703.819683282742</v>
      </c>
      <c r="AB66" s="216">
        <f t="shared" si="119"/>
        <v>29980.696933448358</v>
      </c>
      <c r="AC66" s="216">
        <f t="shared" si="119"/>
        <v>6963.5462818548331</v>
      </c>
      <c r="AD66" s="216">
        <f t="shared" si="119"/>
        <v>21076.075561096237</v>
      </c>
      <c r="AE66" s="221">
        <f t="shared" si="119"/>
        <v>188285.97695613047</v>
      </c>
      <c r="AF66" s="218">
        <f t="shared" si="119"/>
        <v>0</v>
      </c>
      <c r="AG66" s="218">
        <f t="shared" si="119"/>
        <v>190915.98871562062</v>
      </c>
      <c r="AH66" s="218">
        <f t="shared" si="119"/>
        <v>0</v>
      </c>
      <c r="AI66" s="218">
        <f t="shared" si="119"/>
        <v>129007.5194322414</v>
      </c>
      <c r="AJ66" s="218">
        <f t="shared" si="119"/>
        <v>0</v>
      </c>
      <c r="AK66" s="218">
        <f t="shared" si="119"/>
        <v>87436.671709325965</v>
      </c>
      <c r="AL66" s="218">
        <f t="shared" si="119"/>
        <v>0</v>
      </c>
      <c r="AM66" s="218">
        <f t="shared" si="119"/>
        <v>104235.33158984483</v>
      </c>
      <c r="AN66" s="219">
        <f t="shared" si="119"/>
        <v>511595.51144703274</v>
      </c>
      <c r="AO66" s="218">
        <f t="shared" si="119"/>
        <v>699881.48840316315</v>
      </c>
      <c r="AP66" s="933">
        <v>43</v>
      </c>
      <c r="AQ66" s="216">
        <f>SUM(AQ35:AQ64)-AQ44-AQ46</f>
        <v>1205515.8492932983</v>
      </c>
      <c r="AR66" s="216">
        <f t="shared" ref="AR66:BI66" si="120">SUM(AR35:AR64)-AR44-AR46</f>
        <v>2648267.5108044473</v>
      </c>
      <c r="AS66" s="216">
        <f t="shared" si="120"/>
        <v>1101125.33299854</v>
      </c>
      <c r="AT66" s="216">
        <f t="shared" si="120"/>
        <v>2467093.1034581997</v>
      </c>
      <c r="AU66" s="216">
        <f t="shared" si="120"/>
        <v>1366744.1388728241</v>
      </c>
      <c r="AV66" s="216">
        <f t="shared" si="120"/>
        <v>2811503.6626502383</v>
      </c>
      <c r="AW66" s="216">
        <f t="shared" si="120"/>
        <v>1761359.5170643243</v>
      </c>
      <c r="AX66" s="216">
        <f t="shared" si="120"/>
        <v>3199931.497894329</v>
      </c>
      <c r="AY66" s="221">
        <f t="shared" si="120"/>
        <v>16561540.613036202</v>
      </c>
      <c r="AZ66" s="218">
        <f t="shared" si="120"/>
        <v>0</v>
      </c>
      <c r="BA66" s="218">
        <f t="shared" si="120"/>
        <v>2402712.8151910882</v>
      </c>
      <c r="BB66" s="218">
        <f t="shared" si="120"/>
        <v>0</v>
      </c>
      <c r="BC66" s="218">
        <f t="shared" si="120"/>
        <v>2468086.2011105795</v>
      </c>
      <c r="BD66" s="218">
        <f t="shared" si="120"/>
        <v>0</v>
      </c>
      <c r="BE66" s="218">
        <f t="shared" si="120"/>
        <v>2683051.4264879068</v>
      </c>
      <c r="BF66" s="218">
        <f t="shared" si="120"/>
        <v>0</v>
      </c>
      <c r="BG66" s="218">
        <f t="shared" si="120"/>
        <v>2998614.2661595014</v>
      </c>
      <c r="BH66" s="219">
        <f t="shared" si="120"/>
        <v>10552464.708949076</v>
      </c>
      <c r="BI66" s="218">
        <f t="shared" si="120"/>
        <v>27114005.321985282</v>
      </c>
      <c r="BJ66" s="933">
        <v>43</v>
      </c>
      <c r="BK66" s="216">
        <f>SUM(BK35:BK64)-BK44-BK46</f>
        <v>68240.566522519948</v>
      </c>
      <c r="BL66" s="216">
        <f t="shared" ref="BL66:CR66" si="121">SUM(BL35:BL64)-BL44-BL46</f>
        <v>436271.45767476351</v>
      </c>
      <c r="BM66" s="216">
        <f t="shared" si="121"/>
        <v>53489.740531541203</v>
      </c>
      <c r="BN66" s="216">
        <f t="shared" si="121"/>
        <v>288159.18709283619</v>
      </c>
      <c r="BO66" s="216">
        <f t="shared" si="121"/>
        <v>50613.708590692353</v>
      </c>
      <c r="BP66" s="216">
        <f t="shared" si="121"/>
        <v>327523.98452203337</v>
      </c>
      <c r="BQ66" s="216">
        <f t="shared" si="121"/>
        <v>27432.111530724542</v>
      </c>
      <c r="BR66" s="216">
        <f t="shared" si="121"/>
        <v>339484.09363610134</v>
      </c>
      <c r="BS66" s="221">
        <f t="shared" si="121"/>
        <v>1591214.8501012127</v>
      </c>
      <c r="BT66" s="218">
        <f t="shared" si="121"/>
        <v>0</v>
      </c>
      <c r="BU66" s="218">
        <f t="shared" si="121"/>
        <v>110316.74689897496</v>
      </c>
      <c r="BV66" s="218">
        <f t="shared" si="121"/>
        <v>0</v>
      </c>
      <c r="BW66" s="218">
        <f t="shared" si="121"/>
        <v>177236.88692779979</v>
      </c>
      <c r="BX66" s="218">
        <f t="shared" si="121"/>
        <v>0</v>
      </c>
      <c r="BY66" s="218">
        <f t="shared" si="121"/>
        <v>109258.49101760265</v>
      </c>
      <c r="BZ66" s="218">
        <f t="shared" si="121"/>
        <v>0</v>
      </c>
      <c r="CA66" s="218">
        <f t="shared" si="121"/>
        <v>129232.48300541085</v>
      </c>
      <c r="CB66" s="219">
        <f t="shared" si="121"/>
        <v>526044.60784978827</v>
      </c>
      <c r="CC66" s="218">
        <f t="shared" si="121"/>
        <v>2117259.4579510004</v>
      </c>
      <c r="CD66" s="933">
        <v>43</v>
      </c>
      <c r="CE66" s="219">
        <f t="shared" ref="CE66:CH66" si="122">SUM(CE35:CE64)-CE44-CE46</f>
        <v>4698680.1479030484</v>
      </c>
      <c r="CF66" s="219">
        <f t="shared" si="122"/>
        <v>4591077.2912990721</v>
      </c>
      <c r="CG66" s="219">
        <f t="shared" si="122"/>
        <v>5159263.7928238241</v>
      </c>
      <c r="CH66" s="219">
        <f t="shared" si="122"/>
        <v>5731592.7255957574</v>
      </c>
      <c r="CI66" s="216">
        <f>SUM(BS66,AY66,AE66,K66)</f>
        <v>20180613.957621701</v>
      </c>
      <c r="CJ66" s="219">
        <f t="shared" ref="CJ66:CM66" si="123">SUM(CJ35:CJ64)-CJ44-CJ46</f>
        <v>3040200.9002901339</v>
      </c>
      <c r="CK66" s="219">
        <f t="shared" si="123"/>
        <v>3474086.1833797432</v>
      </c>
      <c r="CL66" s="219">
        <f t="shared" si="123"/>
        <v>3625588.4414049778</v>
      </c>
      <c r="CM66" s="219">
        <f t="shared" si="123"/>
        <v>3935609.1091343099</v>
      </c>
      <c r="CN66" s="216">
        <f>SUM(BX66,BD66,AJ66,P66)</f>
        <v>0</v>
      </c>
      <c r="CO66" s="219">
        <f t="shared" si="121"/>
        <v>7738881.0481931837</v>
      </c>
      <c r="CP66" s="219">
        <f t="shared" si="121"/>
        <v>8065163.4746788144</v>
      </c>
      <c r="CQ66" s="219">
        <f t="shared" si="121"/>
        <v>8784852.2342288066</v>
      </c>
      <c r="CR66" s="219">
        <f t="shared" si="121"/>
        <v>9667201.8347300645</v>
      </c>
      <c r="CS66" s="216">
        <f>SUM(CC66,BI66,AO66,U66)</f>
        <v>34256098.591830879</v>
      </c>
      <c r="CT66" s="318"/>
      <c r="CU66" s="318"/>
      <c r="CV66" s="318"/>
      <c r="CW66" s="318"/>
      <c r="CX66" s="318"/>
      <c r="CY66" s="318"/>
      <c r="CZ66" s="318"/>
      <c r="DA66" s="318"/>
      <c r="DB66" s="318"/>
      <c r="DC66" s="318"/>
      <c r="DD66" s="318"/>
      <c r="DE66" s="318"/>
      <c r="DF66" s="318"/>
      <c r="DG66" s="318"/>
      <c r="DH66" s="318"/>
      <c r="DI66" s="318"/>
      <c r="DJ66" s="318"/>
      <c r="DK66" s="318"/>
      <c r="DL66" s="318"/>
      <c r="DM66" s="318"/>
      <c r="DN66" s="318"/>
      <c r="DO66" s="318"/>
      <c r="DP66" s="318"/>
      <c r="DQ66" s="318"/>
      <c r="DR66" s="318"/>
      <c r="DS66" s="318"/>
      <c r="DT66" s="318"/>
      <c r="DU66" s="318"/>
      <c r="DV66" s="318"/>
      <c r="DW66" s="318"/>
      <c r="DX66" s="318"/>
      <c r="DY66" s="318"/>
      <c r="DZ66" s="318"/>
      <c r="EA66" s="318"/>
    </row>
    <row r="67" spans="1:131" ht="15.75" customHeight="1">
      <c r="B67" s="933"/>
      <c r="C67" s="178"/>
      <c r="D67" s="178"/>
      <c r="E67" s="178"/>
      <c r="F67" s="178"/>
      <c r="G67" s="178"/>
      <c r="H67" s="178"/>
      <c r="I67" s="178"/>
      <c r="J67" s="178"/>
      <c r="K67" s="381"/>
      <c r="L67" s="382"/>
      <c r="M67" s="178"/>
      <c r="N67" s="178"/>
      <c r="O67" s="178"/>
      <c r="P67" s="178"/>
      <c r="Q67" s="178"/>
      <c r="R67" s="178"/>
      <c r="S67" s="178"/>
      <c r="T67" s="178"/>
      <c r="U67" s="383"/>
      <c r="V67" s="933"/>
      <c r="W67" s="178"/>
      <c r="X67" s="178"/>
      <c r="Y67" s="178"/>
      <c r="Z67" s="178"/>
      <c r="AA67" s="178"/>
      <c r="AB67" s="178"/>
      <c r="AC67" s="178"/>
      <c r="AD67" s="178"/>
      <c r="AE67" s="381"/>
      <c r="AF67" s="382"/>
      <c r="AG67" s="178"/>
      <c r="AH67" s="178"/>
      <c r="AI67" s="178"/>
      <c r="AJ67" s="178"/>
      <c r="AK67" s="178"/>
      <c r="AL67" s="178"/>
      <c r="AM67" s="178"/>
      <c r="AN67" s="178"/>
      <c r="AO67" s="383"/>
      <c r="AP67" s="933"/>
      <c r="AQ67" s="178"/>
      <c r="AR67" s="178"/>
      <c r="AS67" s="178"/>
      <c r="AT67" s="178"/>
      <c r="AU67" s="178"/>
      <c r="AV67" s="178"/>
      <c r="AW67" s="178"/>
      <c r="AX67" s="178"/>
      <c r="AY67" s="381"/>
      <c r="AZ67" s="382"/>
      <c r="BA67" s="178"/>
      <c r="BB67" s="178"/>
      <c r="BC67" s="178"/>
      <c r="BD67" s="178"/>
      <c r="BE67" s="178"/>
      <c r="BF67" s="178"/>
      <c r="BG67" s="178"/>
      <c r="BH67" s="178"/>
      <c r="BI67" s="383"/>
      <c r="BJ67" s="933"/>
      <c r="BK67" s="178"/>
      <c r="BL67" s="178"/>
      <c r="BM67" s="178"/>
      <c r="BN67" s="178"/>
      <c r="BO67" s="178"/>
      <c r="BP67" s="178"/>
      <c r="BQ67" s="178"/>
      <c r="BR67" s="178"/>
      <c r="BS67" s="381"/>
      <c r="BT67" s="382"/>
      <c r="BU67" s="178"/>
      <c r="BV67" s="178"/>
      <c r="BW67" s="178"/>
      <c r="BX67" s="178"/>
      <c r="BY67" s="178"/>
      <c r="BZ67" s="178"/>
      <c r="CA67" s="178"/>
      <c r="CB67" s="178"/>
      <c r="CC67" s="383"/>
      <c r="CD67" s="933"/>
      <c r="CE67" s="178"/>
      <c r="CF67" s="178"/>
      <c r="CG67" s="178"/>
      <c r="CH67" s="178"/>
      <c r="CI67" s="419"/>
      <c r="CJ67" s="178"/>
      <c r="CK67" s="178"/>
      <c r="CL67" s="178"/>
      <c r="CM67" s="178"/>
      <c r="CN67" s="419"/>
      <c r="CO67" s="178"/>
      <c r="CP67" s="178"/>
      <c r="CQ67" s="178"/>
      <c r="CR67" s="178"/>
      <c r="CS67" s="419"/>
    </row>
    <row r="68" spans="1:131" ht="15.75" customHeight="1">
      <c r="A68" s="16"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31" ht="15.75" customHeight="1">
      <c r="A69" s="88" t="s">
        <v>236</v>
      </c>
      <c r="B69" s="933">
        <v>44</v>
      </c>
      <c r="C69" s="420">
        <v>240.91545641806144</v>
      </c>
      <c r="D69" s="420">
        <v>835.6857816000537</v>
      </c>
      <c r="E69" s="420">
        <v>244.3223523411429</v>
      </c>
      <c r="F69" s="420">
        <v>935.15373853420647</v>
      </c>
      <c r="G69" s="420">
        <v>252.78682474495363</v>
      </c>
      <c r="H69" s="420">
        <v>1048.118039787656</v>
      </c>
      <c r="I69" s="420">
        <v>275.61095202545232</v>
      </c>
      <c r="J69" s="420">
        <v>1057.1904320225253</v>
      </c>
      <c r="K69" s="412">
        <f>SUM(C69:J69)</f>
        <v>4889.7835774740515</v>
      </c>
      <c r="L69" s="421">
        <v>0</v>
      </c>
      <c r="M69" s="420">
        <v>1695.0161005388361</v>
      </c>
      <c r="N69" s="420">
        <v>0</v>
      </c>
      <c r="O69" s="420">
        <v>1935.0897732491806</v>
      </c>
      <c r="P69" s="420">
        <v>0</v>
      </c>
      <c r="Q69" s="420">
        <v>2012.9524637300258</v>
      </c>
      <c r="R69" s="420">
        <v>0</v>
      </c>
      <c r="S69" s="420">
        <v>2017.8979124334614</v>
      </c>
      <c r="T69" s="414">
        <f>SUM(L69:S69)</f>
        <v>7660.9562499515032</v>
      </c>
      <c r="U69" s="415">
        <f>SUM(T69,K69)</f>
        <v>12550.739827425554</v>
      </c>
      <c r="V69" s="933">
        <v>44</v>
      </c>
      <c r="W69" s="420">
        <v>62.061105925681645</v>
      </c>
      <c r="X69" s="420">
        <v>566.98616831367997</v>
      </c>
      <c r="Y69" s="420">
        <v>51.117815617968965</v>
      </c>
      <c r="Z69" s="420">
        <v>533.24788303037099</v>
      </c>
      <c r="AA69" s="420">
        <v>120.62718026197867</v>
      </c>
      <c r="AB69" s="420">
        <v>454.93263776958241</v>
      </c>
      <c r="AC69" s="420">
        <v>114.69389158786997</v>
      </c>
      <c r="AD69" s="420">
        <v>452.21749813410037</v>
      </c>
      <c r="AE69" s="412">
        <f>SUM(W69:AD69)</f>
        <v>2355.8841806412329</v>
      </c>
      <c r="AF69" s="421">
        <v>0</v>
      </c>
      <c r="AG69" s="420">
        <v>691.15318060727111</v>
      </c>
      <c r="AH69" s="420">
        <v>0</v>
      </c>
      <c r="AI69" s="420">
        <v>598.10059560223988</v>
      </c>
      <c r="AJ69" s="420">
        <v>0</v>
      </c>
      <c r="AK69" s="420">
        <v>504.87308975041162</v>
      </c>
      <c r="AL69" s="420">
        <v>0</v>
      </c>
      <c r="AM69" s="420">
        <v>513.30520319907168</v>
      </c>
      <c r="AN69" s="414">
        <f>SUM(AF69:AM69)</f>
        <v>2307.4320691589946</v>
      </c>
      <c r="AO69" s="415">
        <f>SUM(AN69,AE69)</f>
        <v>4663.3162498002275</v>
      </c>
      <c r="AP69" s="933">
        <v>44</v>
      </c>
      <c r="AQ69" s="420">
        <v>7135.767473811994</v>
      </c>
      <c r="AR69" s="420">
        <v>15403.856861214368</v>
      </c>
      <c r="AS69" s="420">
        <v>7939.9707055102863</v>
      </c>
      <c r="AT69" s="420">
        <v>16975.079139511436</v>
      </c>
      <c r="AU69" s="420">
        <v>8360.0945947844375</v>
      </c>
      <c r="AV69" s="420">
        <v>18729.892138175303</v>
      </c>
      <c r="AW69" s="420">
        <v>11410.7405825805</v>
      </c>
      <c r="AX69" s="420">
        <v>19599.982664371903</v>
      </c>
      <c r="AY69" s="412">
        <f>SUM(AQ69:AX69)</f>
        <v>105555.38415996023</v>
      </c>
      <c r="AZ69" s="421">
        <v>0</v>
      </c>
      <c r="BA69" s="420">
        <v>9915.7359314947953</v>
      </c>
      <c r="BB69" s="420">
        <v>0</v>
      </c>
      <c r="BC69" s="420">
        <v>9744.0504638320544</v>
      </c>
      <c r="BD69" s="420">
        <v>0</v>
      </c>
      <c r="BE69" s="420">
        <v>11250.584009185421</v>
      </c>
      <c r="BF69" s="420">
        <v>0</v>
      </c>
      <c r="BG69" s="420">
        <v>11309.568785267453</v>
      </c>
      <c r="BH69" s="414">
        <f>SUM(AZ69:BG69)</f>
        <v>42219.939189779725</v>
      </c>
      <c r="BI69" s="415">
        <f>SUM(BH69,AY69)</f>
        <v>147775.32334973995</v>
      </c>
      <c r="BJ69" s="933">
        <v>44</v>
      </c>
      <c r="BK69" s="420">
        <v>294.02547620060307</v>
      </c>
      <c r="BL69" s="420">
        <v>2275.1726382795082</v>
      </c>
      <c r="BM69" s="420">
        <v>303.6403536417551</v>
      </c>
      <c r="BN69" s="420">
        <v>1788.2943741340971</v>
      </c>
      <c r="BO69" s="420">
        <v>309.90788140852607</v>
      </c>
      <c r="BP69" s="420">
        <v>1635.023972783194</v>
      </c>
      <c r="BQ69" s="420">
        <v>190.32629650046101</v>
      </c>
      <c r="BR69" s="420">
        <v>1246.4982579758587</v>
      </c>
      <c r="BS69" s="412">
        <f>SUM(BK69:BR69)</f>
        <v>8042.889250924004</v>
      </c>
      <c r="BT69" s="421">
        <v>0</v>
      </c>
      <c r="BU69" s="420">
        <v>698.73087470982477</v>
      </c>
      <c r="BV69" s="420">
        <v>0</v>
      </c>
      <c r="BW69" s="420">
        <v>673.9031246111922</v>
      </c>
      <c r="BX69" s="420">
        <v>0</v>
      </c>
      <c r="BY69" s="420">
        <v>603.41326643904472</v>
      </c>
      <c r="BZ69" s="420">
        <v>0</v>
      </c>
      <c r="CA69" s="420">
        <v>479.93558757146599</v>
      </c>
      <c r="CB69" s="414">
        <f>SUM(BT69:CA69)</f>
        <v>2455.9828533315276</v>
      </c>
      <c r="CC69" s="415">
        <f>SUM(CB69,BS69)</f>
        <v>10498.872104255532</v>
      </c>
      <c r="CD69" s="933">
        <v>44</v>
      </c>
      <c r="CE69" s="414">
        <f t="shared" ref="CE69:CE71" si="124">+C69+D69+W69+X69+AQ69+AR69+BK69+BL69</f>
        <v>26814.470961763953</v>
      </c>
      <c r="CF69" s="414">
        <f t="shared" ref="CF69:CF71" si="125">+E69+F69+Y69+Z69+AS69+AT69+BM69+BN69</f>
        <v>28770.826362321266</v>
      </c>
      <c r="CG69" s="414">
        <f t="shared" ref="CG69:CG71" si="126">+G69+H69+AA69+AB69+AU69+AV69+BO69+BP69</f>
        <v>30911.383269715629</v>
      </c>
      <c r="CH69" s="414">
        <f t="shared" ref="CH69:CH71" si="127">+I69+J69+AC69+AD69+AW69+AX69+BQ69+BR69</f>
        <v>34347.26057519867</v>
      </c>
      <c r="CI69" s="416">
        <f t="shared" ref="CI69:CI71" si="128">SUM(K69,AE69,AY69,BS69)</f>
        <v>120843.94116899953</v>
      </c>
      <c r="CJ69" s="414">
        <f t="shared" ref="CJ69:CJ71" si="129">L69+M69+AF69+AG69+AZ69+BA69+BT69+BU69</f>
        <v>13000.636087350727</v>
      </c>
      <c r="CK69" s="414">
        <f t="shared" ref="CK69:CK71" si="130">N69+O69+AH69+AI69+BB69+BC69+BV69+BW69</f>
        <v>12951.143957294666</v>
      </c>
      <c r="CL69" s="414">
        <f t="shared" ref="CL69:CL71" si="131">P69+Q69+AJ69+AK69+BD69+BE69+BX69+BY69</f>
        <v>14371.822829104904</v>
      </c>
      <c r="CM69" s="414">
        <f t="shared" ref="CM69:CM71" si="132">+R69+S69+AL69+AM69+BF69+BG69+BZ69+CA69</f>
        <v>14320.707488471451</v>
      </c>
      <c r="CN69" s="416">
        <f t="shared" ref="CN69:CN71" si="133">SUM(T69,AN69,BH69,CB69)</f>
        <v>54644.310362221753</v>
      </c>
      <c r="CO69" s="414">
        <f t="shared" ref="CO69:CO71" si="134">+C69+D69+L69+M69+W69+X69+AF69+AG69+AQ69+AR69+AZ69+BA69+BK69+BL69+BT69+BU69</f>
        <v>39815.107049114675</v>
      </c>
      <c r="CP69" s="414">
        <f t="shared" ref="CP69:CP71" si="135">+E69+F69+N69+O69+Y69+Z69+AH69+AI69+AS69+AT69+BB69+BC69+BM69+BN69+BV69+BW69</f>
        <v>41721.970319615939</v>
      </c>
      <c r="CQ69" s="414">
        <f t="shared" ref="CQ69:CQ71" si="136">+G69+H69+P69+Q69+AA69+AB69+AJ69+AK69+AU69+AV69+BD69+BE69+BO69+BP69+BX69+BY69</f>
        <v>45283.206098820534</v>
      </c>
      <c r="CR69" s="414">
        <f t="shared" ref="CR69:CR71" si="137">+I69+J69+R69+S69+AC69+AD69+AL69+AM69+AW69+AX69+BF69+BG69+BQ69+BR69+BZ69+CA69</f>
        <v>48667.968063670123</v>
      </c>
      <c r="CS69" s="416">
        <f t="shared" ref="CS69:CS71" si="138">SUM(CC69,BI69,AO69,U69)</f>
        <v>175488.25153122126</v>
      </c>
    </row>
    <row r="70" spans="1:131" ht="15.75" customHeight="1">
      <c r="A70" s="88" t="s">
        <v>238</v>
      </c>
      <c r="B70" s="933">
        <v>45</v>
      </c>
      <c r="C70" s="232">
        <f t="shared" ref="C70:J70" si="139">IF(ABS(C62)&lt;C83, -C62, C83)</f>
        <v>0</v>
      </c>
      <c r="D70" s="232">
        <f t="shared" si="139"/>
        <v>0</v>
      </c>
      <c r="E70" s="232">
        <f t="shared" si="139"/>
        <v>0</v>
      </c>
      <c r="F70" s="232">
        <f t="shared" si="139"/>
        <v>0</v>
      </c>
      <c r="G70" s="232">
        <f t="shared" si="139"/>
        <v>0</v>
      </c>
      <c r="H70" s="232">
        <f t="shared" si="139"/>
        <v>0</v>
      </c>
      <c r="I70" s="232">
        <f t="shared" si="139"/>
        <v>0</v>
      </c>
      <c r="J70" s="232">
        <f t="shared" si="139"/>
        <v>0</v>
      </c>
      <c r="K70" s="412">
        <f t="shared" ref="K70" si="140">SUM(C70:J70)</f>
        <v>0</v>
      </c>
      <c r="L70" s="418">
        <f t="shared" ref="L70:S70" si="141">IF(ABS(L62)&lt;L83, -L62, L83)</f>
        <v>0</v>
      </c>
      <c r="M70" s="232">
        <f t="shared" si="141"/>
        <v>0</v>
      </c>
      <c r="N70" s="232">
        <f t="shared" si="141"/>
        <v>0</v>
      </c>
      <c r="O70" s="232">
        <f t="shared" si="141"/>
        <v>0</v>
      </c>
      <c r="P70" s="232">
        <f t="shared" si="141"/>
        <v>0</v>
      </c>
      <c r="Q70" s="232">
        <f t="shared" si="141"/>
        <v>0</v>
      </c>
      <c r="R70" s="232">
        <f t="shared" si="141"/>
        <v>0</v>
      </c>
      <c r="S70" s="232">
        <f t="shared" si="141"/>
        <v>0</v>
      </c>
      <c r="T70" s="414">
        <f t="shared" ref="T70" si="142">SUM(L70:S70)</f>
        <v>0</v>
      </c>
      <c r="U70" s="415">
        <f t="shared" ref="U70" si="143">SUM(T70,K70)</f>
        <v>0</v>
      </c>
      <c r="V70" s="933">
        <v>45</v>
      </c>
      <c r="W70" s="232">
        <f t="shared" ref="W70:AD70" si="144">IF(ABS(W62)&lt;W83, -W62, W83)</f>
        <v>0</v>
      </c>
      <c r="X70" s="232">
        <f t="shared" si="144"/>
        <v>0</v>
      </c>
      <c r="Y70" s="232">
        <f t="shared" si="144"/>
        <v>0</v>
      </c>
      <c r="Z70" s="232">
        <f t="shared" si="144"/>
        <v>0</v>
      </c>
      <c r="AA70" s="232">
        <f t="shared" si="144"/>
        <v>0</v>
      </c>
      <c r="AB70" s="232">
        <f t="shared" si="144"/>
        <v>0</v>
      </c>
      <c r="AC70" s="232">
        <f t="shared" si="144"/>
        <v>0</v>
      </c>
      <c r="AD70" s="232">
        <f t="shared" si="144"/>
        <v>0</v>
      </c>
      <c r="AE70" s="412">
        <f t="shared" ref="AE70" si="145">SUM(W70:AD70)</f>
        <v>0</v>
      </c>
      <c r="AF70" s="418">
        <f t="shared" ref="AF70:AM70" si="146">IF(ABS(AF62)&lt;AF83, -AF62, AF83)</f>
        <v>0</v>
      </c>
      <c r="AG70" s="232">
        <f t="shared" si="146"/>
        <v>0</v>
      </c>
      <c r="AH70" s="232">
        <f t="shared" si="146"/>
        <v>0</v>
      </c>
      <c r="AI70" s="232">
        <f t="shared" si="146"/>
        <v>0</v>
      </c>
      <c r="AJ70" s="232">
        <f t="shared" si="146"/>
        <v>0</v>
      </c>
      <c r="AK70" s="232">
        <f t="shared" si="146"/>
        <v>0</v>
      </c>
      <c r="AL70" s="232">
        <f t="shared" si="146"/>
        <v>0</v>
      </c>
      <c r="AM70" s="232">
        <f t="shared" si="146"/>
        <v>0</v>
      </c>
      <c r="AN70" s="414">
        <f t="shared" ref="AN70" si="147">SUM(AF70:AM70)</f>
        <v>0</v>
      </c>
      <c r="AO70" s="415">
        <f t="shared" ref="AO70" si="148">SUM(AN70,AE70)</f>
        <v>0</v>
      </c>
      <c r="AP70" s="933">
        <v>45</v>
      </c>
      <c r="AQ70" s="232">
        <f t="shared" ref="AQ70:AX70" si="149">IF(ABS(AQ62)&lt;AQ83, -AQ62, AQ83)</f>
        <v>0</v>
      </c>
      <c r="AR70" s="232">
        <f t="shared" si="149"/>
        <v>0</v>
      </c>
      <c r="AS70" s="232">
        <f t="shared" si="149"/>
        <v>0</v>
      </c>
      <c r="AT70" s="232">
        <f t="shared" si="149"/>
        <v>0</v>
      </c>
      <c r="AU70" s="232">
        <f t="shared" si="149"/>
        <v>0</v>
      </c>
      <c r="AV70" s="232">
        <f t="shared" si="149"/>
        <v>0</v>
      </c>
      <c r="AW70" s="232">
        <f t="shared" si="149"/>
        <v>0</v>
      </c>
      <c r="AX70" s="232">
        <f t="shared" si="149"/>
        <v>0</v>
      </c>
      <c r="AY70" s="412">
        <f t="shared" ref="AY70" si="150">SUM(AQ70:AX70)</f>
        <v>0</v>
      </c>
      <c r="AZ70" s="418">
        <f t="shared" ref="AZ70:BG70" si="151">IF(ABS(AZ62)&lt;AZ83, -AZ62, AZ83)</f>
        <v>0</v>
      </c>
      <c r="BA70" s="232">
        <f t="shared" si="151"/>
        <v>0</v>
      </c>
      <c r="BB70" s="232">
        <f t="shared" si="151"/>
        <v>0</v>
      </c>
      <c r="BC70" s="232">
        <f t="shared" si="151"/>
        <v>0</v>
      </c>
      <c r="BD70" s="232">
        <f t="shared" si="151"/>
        <v>0</v>
      </c>
      <c r="BE70" s="232">
        <f t="shared" si="151"/>
        <v>0</v>
      </c>
      <c r="BF70" s="232">
        <f t="shared" si="151"/>
        <v>0</v>
      </c>
      <c r="BG70" s="232">
        <f t="shared" si="151"/>
        <v>0</v>
      </c>
      <c r="BH70" s="414">
        <f t="shared" ref="BH70" si="152">SUM(AZ70:BG70)</f>
        <v>0</v>
      </c>
      <c r="BI70" s="415">
        <f t="shared" ref="BI70" si="153">SUM(BH70,AY70)</f>
        <v>0</v>
      </c>
      <c r="BJ70" s="933">
        <v>45</v>
      </c>
      <c r="BK70" s="232">
        <f t="shared" ref="BK70:BR70" si="154">IF(ABS(BK62)&lt;BK83, -BK62, BK83)</f>
        <v>0</v>
      </c>
      <c r="BL70" s="232">
        <f t="shared" si="154"/>
        <v>0</v>
      </c>
      <c r="BM70" s="232">
        <f t="shared" si="154"/>
        <v>0</v>
      </c>
      <c r="BN70" s="232">
        <f t="shared" si="154"/>
        <v>0</v>
      </c>
      <c r="BO70" s="232">
        <f t="shared" si="154"/>
        <v>0</v>
      </c>
      <c r="BP70" s="232">
        <f t="shared" si="154"/>
        <v>0</v>
      </c>
      <c r="BQ70" s="232">
        <f t="shared" si="154"/>
        <v>0</v>
      </c>
      <c r="BR70" s="232">
        <f t="shared" si="154"/>
        <v>0</v>
      </c>
      <c r="BS70" s="412">
        <f t="shared" ref="BS70" si="155">SUM(BK70:BR70)</f>
        <v>0</v>
      </c>
      <c r="BT70" s="418">
        <f t="shared" ref="BT70:CA70" si="156">IF(ABS(BT62)&lt;BT83, -BT62, BT83)</f>
        <v>0</v>
      </c>
      <c r="BU70" s="232">
        <f t="shared" si="156"/>
        <v>0</v>
      </c>
      <c r="BV70" s="232">
        <f t="shared" si="156"/>
        <v>0</v>
      </c>
      <c r="BW70" s="232">
        <f t="shared" si="156"/>
        <v>0</v>
      </c>
      <c r="BX70" s="232">
        <f t="shared" si="156"/>
        <v>0</v>
      </c>
      <c r="BY70" s="232">
        <f t="shared" si="156"/>
        <v>0</v>
      </c>
      <c r="BZ70" s="232">
        <f t="shared" si="156"/>
        <v>0</v>
      </c>
      <c r="CA70" s="232">
        <f t="shared" si="156"/>
        <v>0</v>
      </c>
      <c r="CB70" s="414">
        <f t="shared" ref="CB70" si="157">SUM(BT70:CA70)</f>
        <v>0</v>
      </c>
      <c r="CC70" s="415">
        <f t="shared" ref="CC70" si="158">SUM(CB70,BS70)</f>
        <v>0</v>
      </c>
      <c r="CD70" s="933">
        <v>45</v>
      </c>
      <c r="CE70" s="414">
        <f t="shared" si="124"/>
        <v>0</v>
      </c>
      <c r="CF70" s="414">
        <f t="shared" si="125"/>
        <v>0</v>
      </c>
      <c r="CG70" s="414">
        <f t="shared" si="126"/>
        <v>0</v>
      </c>
      <c r="CH70" s="414">
        <f t="shared" si="127"/>
        <v>0</v>
      </c>
      <c r="CI70" s="416">
        <f t="shared" si="128"/>
        <v>0</v>
      </c>
      <c r="CJ70" s="414">
        <f t="shared" si="129"/>
        <v>0</v>
      </c>
      <c r="CK70" s="414">
        <f t="shared" si="130"/>
        <v>0</v>
      </c>
      <c r="CL70" s="414">
        <f t="shared" si="131"/>
        <v>0</v>
      </c>
      <c r="CM70" s="414">
        <f t="shared" si="132"/>
        <v>0</v>
      </c>
      <c r="CN70" s="416">
        <f t="shared" si="133"/>
        <v>0</v>
      </c>
      <c r="CO70" s="414">
        <f t="shared" si="134"/>
        <v>0</v>
      </c>
      <c r="CP70" s="414">
        <f t="shared" si="135"/>
        <v>0</v>
      </c>
      <c r="CQ70" s="414">
        <f t="shared" si="136"/>
        <v>0</v>
      </c>
      <c r="CR70" s="414">
        <f t="shared" si="137"/>
        <v>0</v>
      </c>
      <c r="CS70" s="416">
        <f t="shared" si="138"/>
        <v>0</v>
      </c>
    </row>
    <row r="71" spans="1:131" ht="15.75" customHeight="1">
      <c r="A71" s="88" t="s">
        <v>1342</v>
      </c>
      <c r="B71" s="300">
        <v>46</v>
      </c>
      <c r="C71" s="420">
        <v>1586.3175705746276</v>
      </c>
      <c r="D71" s="420">
        <v>5502.6068420082111</v>
      </c>
      <c r="E71" s="420">
        <v>1707.7069320199043</v>
      </c>
      <c r="F71" s="420">
        <v>6536.317723273125</v>
      </c>
      <c r="G71" s="420">
        <v>1675.4847376545297</v>
      </c>
      <c r="H71" s="420">
        <v>6946.9830189781578</v>
      </c>
      <c r="I71" s="420">
        <v>1901.958425519402</v>
      </c>
      <c r="J71" s="420">
        <v>7295.5455317974802</v>
      </c>
      <c r="K71" s="412">
        <f>SUM(C71:J71)</f>
        <v>33152.920781825436</v>
      </c>
      <c r="L71" s="421">
        <v>0</v>
      </c>
      <c r="M71" s="420">
        <v>14798.852322220253</v>
      </c>
      <c r="N71" s="420">
        <v>0</v>
      </c>
      <c r="O71" s="420">
        <v>17306.765192333172</v>
      </c>
      <c r="P71" s="420">
        <v>0</v>
      </c>
      <c r="Q71" s="420">
        <v>16966.647888099957</v>
      </c>
      <c r="R71" s="420">
        <v>0</v>
      </c>
      <c r="S71" s="420">
        <v>17633.479480118633</v>
      </c>
      <c r="T71" s="414">
        <f>SUM(L71:S71)</f>
        <v>66705.744882772022</v>
      </c>
      <c r="U71" s="415">
        <f>SUM(T71,K71)</f>
        <v>99858.665664597458</v>
      </c>
      <c r="V71" s="300">
        <v>46</v>
      </c>
      <c r="W71" s="420">
        <v>408.64386305029637</v>
      </c>
      <c r="X71" s="420">
        <v>3733.3433663467686</v>
      </c>
      <c r="Y71" s="420">
        <v>357.29128851310969</v>
      </c>
      <c r="Z71" s="420">
        <v>3727.1706727201354</v>
      </c>
      <c r="AA71" s="420">
        <v>799.52347073136639</v>
      </c>
      <c r="AB71" s="420">
        <v>3015.318112456604</v>
      </c>
      <c r="AC71" s="420">
        <v>791.48891529177297</v>
      </c>
      <c r="AD71" s="420">
        <v>3120.6992117788827</v>
      </c>
      <c r="AE71" s="412">
        <f>SUM(W71:AD71)</f>
        <v>15953.478900888937</v>
      </c>
      <c r="AF71" s="421">
        <v>0</v>
      </c>
      <c r="AG71" s="420">
        <v>6034.3225345106266</v>
      </c>
      <c r="AH71" s="420">
        <v>0</v>
      </c>
      <c r="AI71" s="420">
        <v>5349.2022502408554</v>
      </c>
      <c r="AJ71" s="420">
        <v>0</v>
      </c>
      <c r="AK71" s="420">
        <v>4255.4427371322072</v>
      </c>
      <c r="AL71" s="420">
        <v>0</v>
      </c>
      <c r="AM71" s="420">
        <v>4485.537505082988</v>
      </c>
      <c r="AN71" s="414">
        <f>SUM(AF71:AM71)</f>
        <v>20124.505026966675</v>
      </c>
      <c r="AO71" s="415">
        <f>SUM(AN71,AE71)</f>
        <v>36077.98392785561</v>
      </c>
      <c r="AP71" s="300">
        <v>46</v>
      </c>
      <c r="AQ71" s="420">
        <v>46985.749654849707</v>
      </c>
      <c r="AR71" s="420">
        <v>101427.31876512743</v>
      </c>
      <c r="AS71" s="420">
        <v>55496.94034912737</v>
      </c>
      <c r="AT71" s="420">
        <v>118648.41689823812</v>
      </c>
      <c r="AU71" s="420">
        <v>55411.158841216784</v>
      </c>
      <c r="AV71" s="420">
        <v>124142.73745117232</v>
      </c>
      <c r="AW71" s="420">
        <v>78744.164674743879</v>
      </c>
      <c r="AX71" s="420">
        <v>135257.15104780649</v>
      </c>
      <c r="AY71" s="412">
        <f>SUM(AQ71:AX71)</f>
        <v>716113.63768228202</v>
      </c>
      <c r="AZ71" s="421">
        <v>0</v>
      </c>
      <c r="BA71" s="420">
        <v>86572.340917396752</v>
      </c>
      <c r="BB71" s="420">
        <v>0</v>
      </c>
      <c r="BC71" s="420">
        <v>87147.37462367391</v>
      </c>
      <c r="BD71" s="420">
        <v>0</v>
      </c>
      <c r="BE71" s="420">
        <v>94828.219174945261</v>
      </c>
      <c r="BF71" s="420">
        <v>0</v>
      </c>
      <c r="BG71" s="420">
        <v>98829.107198741811</v>
      </c>
      <c r="BH71" s="414">
        <f>SUM(AZ71:BG71)</f>
        <v>367377.04191475775</v>
      </c>
      <c r="BI71" s="415">
        <f>SUM(BH71,AY71)</f>
        <v>1083490.6795970397</v>
      </c>
      <c r="BJ71" s="300">
        <v>46</v>
      </c>
      <c r="BK71" s="420">
        <v>1936.0226447414489</v>
      </c>
      <c r="BL71" s="420">
        <v>14980.966293546775</v>
      </c>
      <c r="BM71" s="420">
        <v>2122.3139503461721</v>
      </c>
      <c r="BN71" s="420">
        <v>12499.399543014028</v>
      </c>
      <c r="BO71" s="420">
        <v>2054.0861886402608</v>
      </c>
      <c r="BP71" s="420">
        <v>10837.027265410139</v>
      </c>
      <c r="BQ71" s="420">
        <v>1313.4191532182876</v>
      </c>
      <c r="BR71" s="420">
        <v>8601.9363408080462</v>
      </c>
      <c r="BS71" s="412">
        <f>SUM(BK71:BR71)</f>
        <v>54345.171379725165</v>
      </c>
      <c r="BT71" s="421">
        <v>0</v>
      </c>
      <c r="BU71" s="420">
        <v>6100.4818918943138</v>
      </c>
      <c r="BV71" s="420">
        <v>0</v>
      </c>
      <c r="BW71" s="420">
        <v>6027.1535208633941</v>
      </c>
      <c r="BX71" s="420">
        <v>0</v>
      </c>
      <c r="BY71" s="420">
        <v>5086.0120182413839</v>
      </c>
      <c r="BZ71" s="420">
        <v>0</v>
      </c>
      <c r="CA71" s="420">
        <v>4193.935819584819</v>
      </c>
      <c r="CB71" s="414">
        <f>SUM(BT71:CA71)</f>
        <v>21407.58325058391</v>
      </c>
      <c r="CC71" s="415">
        <f>SUM(CB71,BS71)</f>
        <v>75752.754630309078</v>
      </c>
      <c r="CD71" s="300">
        <v>46</v>
      </c>
      <c r="CE71" s="414">
        <f t="shared" si="124"/>
        <v>176560.96900024527</v>
      </c>
      <c r="CF71" s="414">
        <f t="shared" si="125"/>
        <v>201095.55735725199</v>
      </c>
      <c r="CG71" s="414">
        <f t="shared" si="126"/>
        <v>204882.31908626019</v>
      </c>
      <c r="CH71" s="414">
        <f t="shared" si="127"/>
        <v>237026.36330096424</v>
      </c>
      <c r="CI71" s="416">
        <f t="shared" si="128"/>
        <v>819565.2087447216</v>
      </c>
      <c r="CJ71" s="414">
        <f t="shared" si="129"/>
        <v>113505.99766602195</v>
      </c>
      <c r="CK71" s="414">
        <f t="shared" si="130"/>
        <v>115830.49558711133</v>
      </c>
      <c r="CL71" s="414">
        <f t="shared" si="131"/>
        <v>121136.32181841882</v>
      </c>
      <c r="CM71" s="414">
        <f t="shared" si="132"/>
        <v>125142.06000352826</v>
      </c>
      <c r="CN71" s="416">
        <f t="shared" si="133"/>
        <v>475614.87507508037</v>
      </c>
      <c r="CO71" s="414">
        <f t="shared" si="134"/>
        <v>290066.96666626725</v>
      </c>
      <c r="CP71" s="414">
        <f t="shared" si="135"/>
        <v>316926.05294436333</v>
      </c>
      <c r="CQ71" s="414">
        <f t="shared" si="136"/>
        <v>326018.64090467896</v>
      </c>
      <c r="CR71" s="414">
        <f t="shared" si="137"/>
        <v>362168.42330449249</v>
      </c>
      <c r="CS71" s="416">
        <f t="shared" si="138"/>
        <v>1295180.0838198017</v>
      </c>
    </row>
    <row r="72" spans="1:131" s="14"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c r="CT72" s="318"/>
      <c r="CU72" s="318"/>
      <c r="CV72" s="318"/>
      <c r="CW72" s="318"/>
      <c r="CX72" s="318"/>
      <c r="CY72" s="318"/>
      <c r="CZ72" s="318"/>
      <c r="DA72" s="318"/>
      <c r="DB72" s="318"/>
      <c r="DC72" s="318"/>
      <c r="DD72" s="318"/>
      <c r="DE72" s="318"/>
      <c r="DF72" s="318"/>
      <c r="DG72" s="318"/>
      <c r="DH72" s="318"/>
      <c r="DI72" s="318"/>
      <c r="DJ72" s="318"/>
      <c r="DK72" s="318"/>
      <c r="DL72" s="318"/>
      <c r="DM72" s="318"/>
      <c r="DN72" s="318"/>
      <c r="DO72" s="318"/>
      <c r="DP72" s="318"/>
      <c r="DQ72" s="318"/>
      <c r="DR72" s="318"/>
      <c r="DS72" s="318"/>
      <c r="DT72" s="318"/>
      <c r="DU72" s="318"/>
      <c r="DV72" s="318"/>
      <c r="DW72" s="318"/>
      <c r="DX72" s="318"/>
      <c r="DY72" s="318"/>
      <c r="DZ72" s="318"/>
      <c r="EA72" s="318"/>
    </row>
    <row r="73" spans="1:131" s="14" customFormat="1">
      <c r="A73" s="16" t="s">
        <v>241</v>
      </c>
      <c r="B73" s="300">
        <v>47</v>
      </c>
      <c r="C73" s="216">
        <f t="shared" ref="C73:U73" si="159">SUM(C69:C71)</f>
        <v>1827.233026992689</v>
      </c>
      <c r="D73" s="216">
        <f t="shared" si="159"/>
        <v>6338.2926236082649</v>
      </c>
      <c r="E73" s="216">
        <f t="shared" si="159"/>
        <v>1952.0292843610473</v>
      </c>
      <c r="F73" s="216">
        <f t="shared" si="159"/>
        <v>7471.4714618073313</v>
      </c>
      <c r="G73" s="216">
        <f t="shared" si="159"/>
        <v>1928.2715623994834</v>
      </c>
      <c r="H73" s="216">
        <f t="shared" si="159"/>
        <v>7995.1010587658138</v>
      </c>
      <c r="I73" s="216">
        <f t="shared" si="159"/>
        <v>2177.5693775448544</v>
      </c>
      <c r="J73" s="216">
        <f t="shared" si="159"/>
        <v>8352.7359638200051</v>
      </c>
      <c r="K73" s="221">
        <f t="shared" si="159"/>
        <v>38042.704359299489</v>
      </c>
      <c r="L73" s="218">
        <f t="shared" si="159"/>
        <v>0</v>
      </c>
      <c r="M73" s="216">
        <f t="shared" si="159"/>
        <v>16493.868422759089</v>
      </c>
      <c r="N73" s="216">
        <f t="shared" si="159"/>
        <v>0</v>
      </c>
      <c r="O73" s="216">
        <f t="shared" si="159"/>
        <v>19241.854965582352</v>
      </c>
      <c r="P73" s="216">
        <f t="shared" si="159"/>
        <v>0</v>
      </c>
      <c r="Q73" s="216">
        <f t="shared" si="159"/>
        <v>18979.600351829984</v>
      </c>
      <c r="R73" s="216">
        <f t="shared" si="159"/>
        <v>0</v>
      </c>
      <c r="S73" s="216">
        <f t="shared" si="159"/>
        <v>19651.377392552095</v>
      </c>
      <c r="T73" s="219">
        <f t="shared" si="159"/>
        <v>74366.701132723523</v>
      </c>
      <c r="U73" s="218">
        <f t="shared" si="159"/>
        <v>112409.40549202301</v>
      </c>
      <c r="V73" s="300">
        <v>47</v>
      </c>
      <c r="W73" s="216">
        <f t="shared" ref="W73:AO73" si="160">SUM(W69:W71)</f>
        <v>470.70496897597803</v>
      </c>
      <c r="X73" s="216">
        <f t="shared" si="160"/>
        <v>4300.3295346604482</v>
      </c>
      <c r="Y73" s="216">
        <f t="shared" si="160"/>
        <v>408.40910413107866</v>
      </c>
      <c r="Z73" s="216">
        <f t="shared" si="160"/>
        <v>4260.4185557505061</v>
      </c>
      <c r="AA73" s="216">
        <f t="shared" si="160"/>
        <v>920.15065099334504</v>
      </c>
      <c r="AB73" s="216">
        <f t="shared" si="160"/>
        <v>3470.2507502261865</v>
      </c>
      <c r="AC73" s="216">
        <f t="shared" si="160"/>
        <v>906.18280687964295</v>
      </c>
      <c r="AD73" s="216">
        <f t="shared" si="160"/>
        <v>3572.9167099129832</v>
      </c>
      <c r="AE73" s="221">
        <f t="shared" si="160"/>
        <v>18309.363081530169</v>
      </c>
      <c r="AF73" s="218">
        <f t="shared" si="160"/>
        <v>0</v>
      </c>
      <c r="AG73" s="216">
        <f t="shared" si="160"/>
        <v>6725.4757151178974</v>
      </c>
      <c r="AH73" s="216">
        <f t="shared" si="160"/>
        <v>0</v>
      </c>
      <c r="AI73" s="216">
        <f t="shared" si="160"/>
        <v>5947.3028458430954</v>
      </c>
      <c r="AJ73" s="216">
        <f t="shared" si="160"/>
        <v>0</v>
      </c>
      <c r="AK73" s="216">
        <f t="shared" si="160"/>
        <v>4760.3158268826191</v>
      </c>
      <c r="AL73" s="216">
        <f t="shared" si="160"/>
        <v>0</v>
      </c>
      <c r="AM73" s="216">
        <f t="shared" si="160"/>
        <v>4998.8427082820599</v>
      </c>
      <c r="AN73" s="219">
        <f t="shared" si="160"/>
        <v>22431.937096125672</v>
      </c>
      <c r="AO73" s="218">
        <f t="shared" si="160"/>
        <v>40741.300177655838</v>
      </c>
      <c r="AP73" s="300">
        <v>47</v>
      </c>
      <c r="AQ73" s="216">
        <f t="shared" ref="AQ73:BI73" si="161">SUM(AQ69:AQ71)</f>
        <v>54121.517128661704</v>
      </c>
      <c r="AR73" s="216">
        <f t="shared" si="161"/>
        <v>116831.17562634181</v>
      </c>
      <c r="AS73" s="216">
        <f t="shared" si="161"/>
        <v>63436.911054637654</v>
      </c>
      <c r="AT73" s="216">
        <f t="shared" si="161"/>
        <v>135623.49603774957</v>
      </c>
      <c r="AU73" s="216">
        <f t="shared" si="161"/>
        <v>63771.253436001221</v>
      </c>
      <c r="AV73" s="216">
        <f t="shared" si="161"/>
        <v>142872.62958934763</v>
      </c>
      <c r="AW73" s="216">
        <f t="shared" si="161"/>
        <v>90154.905257324383</v>
      </c>
      <c r="AX73" s="216">
        <f t="shared" si="161"/>
        <v>154857.13371217839</v>
      </c>
      <c r="AY73" s="221">
        <f t="shared" si="161"/>
        <v>821669.02184224222</v>
      </c>
      <c r="AZ73" s="218">
        <f t="shared" si="161"/>
        <v>0</v>
      </c>
      <c r="BA73" s="216">
        <f t="shared" si="161"/>
        <v>96488.076848891549</v>
      </c>
      <c r="BB73" s="216">
        <f t="shared" si="161"/>
        <v>0</v>
      </c>
      <c r="BC73" s="216">
        <f t="shared" si="161"/>
        <v>96891.425087505966</v>
      </c>
      <c r="BD73" s="216">
        <f t="shared" si="161"/>
        <v>0</v>
      </c>
      <c r="BE73" s="216">
        <f t="shared" si="161"/>
        <v>106078.80318413068</v>
      </c>
      <c r="BF73" s="216">
        <f t="shared" si="161"/>
        <v>0</v>
      </c>
      <c r="BG73" s="216">
        <f t="shared" si="161"/>
        <v>110138.67598400926</v>
      </c>
      <c r="BH73" s="219">
        <f t="shared" si="161"/>
        <v>409596.9811045375</v>
      </c>
      <c r="BI73" s="218">
        <f t="shared" si="161"/>
        <v>1231266.0029467796</v>
      </c>
      <c r="BJ73" s="300">
        <v>47</v>
      </c>
      <c r="BK73" s="216">
        <f t="shared" ref="BK73:CC73" si="162">SUM(BK69:BK71)</f>
        <v>2230.0481209420518</v>
      </c>
      <c r="BL73" s="216">
        <f t="shared" si="162"/>
        <v>17256.138931826285</v>
      </c>
      <c r="BM73" s="216">
        <f t="shared" si="162"/>
        <v>2425.9543039879272</v>
      </c>
      <c r="BN73" s="216">
        <f t="shared" si="162"/>
        <v>14287.693917148124</v>
      </c>
      <c r="BO73" s="216">
        <f t="shared" si="162"/>
        <v>2363.9940700487869</v>
      </c>
      <c r="BP73" s="216">
        <f t="shared" si="162"/>
        <v>12472.051238193333</v>
      </c>
      <c r="BQ73" s="216">
        <f t="shared" si="162"/>
        <v>1503.7454497187487</v>
      </c>
      <c r="BR73" s="216">
        <f t="shared" si="162"/>
        <v>9848.4345987839042</v>
      </c>
      <c r="BS73" s="221">
        <f t="shared" si="162"/>
        <v>62388.060630649168</v>
      </c>
      <c r="BT73" s="218">
        <f t="shared" si="162"/>
        <v>0</v>
      </c>
      <c r="BU73" s="216">
        <f t="shared" si="162"/>
        <v>6799.2127666041388</v>
      </c>
      <c r="BV73" s="216">
        <f t="shared" si="162"/>
        <v>0</v>
      </c>
      <c r="BW73" s="216">
        <f t="shared" si="162"/>
        <v>6701.0566454745858</v>
      </c>
      <c r="BX73" s="216">
        <f t="shared" si="162"/>
        <v>0</v>
      </c>
      <c r="BY73" s="216">
        <f t="shared" si="162"/>
        <v>5689.4252846804284</v>
      </c>
      <c r="BZ73" s="216">
        <f t="shared" si="162"/>
        <v>0</v>
      </c>
      <c r="CA73" s="216">
        <f t="shared" si="162"/>
        <v>4673.8714071562854</v>
      </c>
      <c r="CB73" s="219">
        <f t="shared" si="162"/>
        <v>23863.566103915437</v>
      </c>
      <c r="CC73" s="218">
        <f t="shared" si="162"/>
        <v>86251.626734564605</v>
      </c>
      <c r="CD73" s="300">
        <v>47</v>
      </c>
      <c r="CE73" s="219">
        <f>SUM(CE69:CE71)</f>
        <v>203375.43996200923</v>
      </c>
      <c r="CF73" s="219">
        <f>SUM(CF69:CF71)</f>
        <v>229866.38371957326</v>
      </c>
      <c r="CG73" s="219">
        <f>SUM(CG69:CG71)</f>
        <v>235793.70235597581</v>
      </c>
      <c r="CH73" s="219">
        <f>SUM(CH69:CH71)</f>
        <v>271373.62387616292</v>
      </c>
      <c r="CI73" s="216">
        <f>SUM(BS73,AY73,AE73,K73)</f>
        <v>940409.14991372114</v>
      </c>
      <c r="CJ73" s="219">
        <f>SUM(CJ69:CJ71)</f>
        <v>126506.63375337268</v>
      </c>
      <c r="CK73" s="219">
        <f>SUM(CK69:CK71)</f>
        <v>128781.639544406</v>
      </c>
      <c r="CL73" s="219">
        <f>SUM(CL69:CL71)</f>
        <v>135508.14464752373</v>
      </c>
      <c r="CM73" s="219">
        <f>SUM(CM69:CM71)</f>
        <v>139462.76749199969</v>
      </c>
      <c r="CN73" s="216">
        <f>SUM(BX73,BD73,AJ73,P73)</f>
        <v>0</v>
      </c>
      <c r="CO73" s="219">
        <f>SUM(CO69:CO71)</f>
        <v>329882.07371538191</v>
      </c>
      <c r="CP73" s="219">
        <f>SUM(CP69:CP71)</f>
        <v>358648.02326397924</v>
      </c>
      <c r="CQ73" s="219">
        <f>SUM(CQ69:CQ71)</f>
        <v>371301.84700349951</v>
      </c>
      <c r="CR73" s="219">
        <f>SUM(CR69:CR71)</f>
        <v>410836.39136816259</v>
      </c>
      <c r="CS73" s="216">
        <f>SUM(CC73,BI73,AO73,U73)</f>
        <v>1470668.3353510231</v>
      </c>
      <c r="CT73" s="318"/>
      <c r="CU73" s="318"/>
      <c r="CV73" s="318"/>
      <c r="CW73" s="318"/>
      <c r="CX73" s="318"/>
      <c r="CY73" s="318"/>
      <c r="CZ73" s="318"/>
      <c r="DA73" s="318"/>
      <c r="DB73" s="318"/>
      <c r="DC73" s="318"/>
      <c r="DD73" s="318"/>
      <c r="DE73" s="318"/>
      <c r="DF73" s="318"/>
      <c r="DG73" s="318"/>
      <c r="DH73" s="318"/>
      <c r="DI73" s="318"/>
      <c r="DJ73" s="318"/>
      <c r="DK73" s="318"/>
      <c r="DL73" s="318"/>
      <c r="DM73" s="318"/>
      <c r="DN73" s="318"/>
      <c r="DO73" s="318"/>
      <c r="DP73" s="318"/>
      <c r="DQ73" s="318"/>
      <c r="DR73" s="318"/>
      <c r="DS73" s="318"/>
      <c r="DT73" s="318"/>
      <c r="DU73" s="318"/>
      <c r="DV73" s="318"/>
      <c r="DW73" s="318"/>
      <c r="DX73" s="318"/>
      <c r="DY73" s="318"/>
      <c r="DZ73" s="318"/>
      <c r="EA73" s="318"/>
    </row>
    <row r="74" spans="1:131" ht="15.75" customHeight="1">
      <c r="B74" s="300"/>
      <c r="C74" s="178"/>
      <c r="D74" s="178"/>
      <c r="E74" s="178"/>
      <c r="F74" s="178"/>
      <c r="G74" s="178"/>
      <c r="H74" s="178"/>
      <c r="I74" s="178"/>
      <c r="J74" s="178"/>
      <c r="K74" s="381"/>
      <c r="L74" s="382"/>
      <c r="M74" s="178"/>
      <c r="N74" s="178"/>
      <c r="O74" s="178"/>
      <c r="P74" s="178"/>
      <c r="Q74" s="178"/>
      <c r="R74" s="178"/>
      <c r="S74" s="178"/>
      <c r="T74" s="178"/>
      <c r="U74" s="383"/>
      <c r="V74" s="300"/>
      <c r="W74" s="178"/>
      <c r="X74" s="178"/>
      <c r="Y74" s="178"/>
      <c r="Z74" s="178"/>
      <c r="AA74" s="178"/>
      <c r="AB74" s="178"/>
      <c r="AC74" s="178"/>
      <c r="AD74" s="178"/>
      <c r="AE74" s="381"/>
      <c r="AF74" s="382"/>
      <c r="AG74" s="178"/>
      <c r="AH74" s="178"/>
      <c r="AI74" s="178"/>
      <c r="AJ74" s="178"/>
      <c r="AK74" s="178"/>
      <c r="AL74" s="178"/>
      <c r="AM74" s="178"/>
      <c r="AN74" s="178"/>
      <c r="AO74" s="383"/>
      <c r="AP74" s="300"/>
      <c r="AQ74" s="178"/>
      <c r="AR74" s="178"/>
      <c r="AS74" s="178"/>
      <c r="AT74" s="178"/>
      <c r="AU74" s="178"/>
      <c r="AV74" s="178"/>
      <c r="AW74" s="178"/>
      <c r="AX74" s="178"/>
      <c r="AY74" s="381"/>
      <c r="AZ74" s="382"/>
      <c r="BA74" s="178"/>
      <c r="BB74" s="178"/>
      <c r="BC74" s="178"/>
      <c r="BD74" s="178"/>
      <c r="BE74" s="178"/>
      <c r="BF74" s="178"/>
      <c r="BG74" s="178"/>
      <c r="BH74" s="178"/>
      <c r="BI74" s="383"/>
      <c r="BJ74" s="300"/>
      <c r="BK74" s="178"/>
      <c r="BL74" s="178"/>
      <c r="BM74" s="178"/>
      <c r="BN74" s="178"/>
      <c r="BO74" s="178"/>
      <c r="BP74" s="178"/>
      <c r="BQ74" s="178"/>
      <c r="BR74" s="178"/>
      <c r="BS74" s="381"/>
      <c r="BT74" s="382"/>
      <c r="BU74" s="178"/>
      <c r="BV74" s="178"/>
      <c r="BW74" s="178"/>
      <c r="BX74" s="178"/>
      <c r="BY74" s="178"/>
      <c r="BZ74" s="178"/>
      <c r="CA74" s="178"/>
      <c r="CB74" s="178"/>
      <c r="CC74" s="383"/>
      <c r="CD74" s="300"/>
      <c r="CE74" s="178"/>
      <c r="CF74" s="178"/>
      <c r="CG74" s="178"/>
      <c r="CH74" s="178"/>
      <c r="CI74" s="419"/>
      <c r="CJ74" s="178"/>
      <c r="CK74" s="178"/>
      <c r="CL74" s="178"/>
      <c r="CM74" s="178"/>
      <c r="CN74" s="419"/>
      <c r="CO74" s="178"/>
      <c r="CP74" s="178"/>
      <c r="CQ74" s="178"/>
      <c r="CR74" s="178"/>
      <c r="CS74" s="419"/>
    </row>
    <row r="75" spans="1:131"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31" s="14" customFormat="1" ht="15.75" customHeight="1">
      <c r="A76" s="88" t="s">
        <v>244</v>
      </c>
      <c r="B76" s="300">
        <v>48</v>
      </c>
      <c r="C76" s="420"/>
      <c r="D76" s="420"/>
      <c r="E76" s="420"/>
      <c r="F76" s="420"/>
      <c r="G76" s="420"/>
      <c r="H76" s="420"/>
      <c r="I76" s="420"/>
      <c r="J76" s="420"/>
      <c r="K76" s="412">
        <f t="shared" ref="K76:K86" si="163">SUM(C76:J76)</f>
        <v>0</v>
      </c>
      <c r="L76" s="421"/>
      <c r="M76" s="420"/>
      <c r="N76" s="420"/>
      <c r="O76" s="420"/>
      <c r="P76" s="420"/>
      <c r="Q76" s="420"/>
      <c r="R76" s="420"/>
      <c r="S76" s="420"/>
      <c r="T76" s="414">
        <f t="shared" ref="T76:T86" si="164">SUM(L76:S76)</f>
        <v>0</v>
      </c>
      <c r="U76" s="415">
        <f t="shared" ref="U76:U86" si="165">SUM(T76,K76)</f>
        <v>0</v>
      </c>
      <c r="V76" s="300">
        <v>48</v>
      </c>
      <c r="W76" s="420"/>
      <c r="X76" s="420"/>
      <c r="Y76" s="420"/>
      <c r="Z76" s="420"/>
      <c r="AA76" s="420"/>
      <c r="AB76" s="420"/>
      <c r="AC76" s="420"/>
      <c r="AD76" s="420"/>
      <c r="AE76" s="412">
        <f t="shared" ref="AE76:AE86" si="166">SUM(W76:AD76)</f>
        <v>0</v>
      </c>
      <c r="AF76" s="421"/>
      <c r="AG76" s="420"/>
      <c r="AH76" s="420"/>
      <c r="AI76" s="420"/>
      <c r="AJ76" s="420"/>
      <c r="AK76" s="420"/>
      <c r="AL76" s="420"/>
      <c r="AM76" s="420"/>
      <c r="AN76" s="414">
        <f t="shared" ref="AN76:AN86" si="167">SUM(AF76:AM76)</f>
        <v>0</v>
      </c>
      <c r="AO76" s="415">
        <f t="shared" ref="AO76:AO86" si="168">SUM(AN76,AE76)</f>
        <v>0</v>
      </c>
      <c r="AP76" s="300">
        <v>48</v>
      </c>
      <c r="AQ76" s="420"/>
      <c r="AR76" s="420"/>
      <c r="AS76" s="420"/>
      <c r="AT76" s="420"/>
      <c r="AU76" s="420"/>
      <c r="AV76" s="420"/>
      <c r="AW76" s="420"/>
      <c r="AX76" s="420"/>
      <c r="AY76" s="412">
        <f t="shared" ref="AY76:AY86" si="169">SUM(AQ76:AX76)</f>
        <v>0</v>
      </c>
      <c r="AZ76" s="421"/>
      <c r="BA76" s="420"/>
      <c r="BB76" s="420"/>
      <c r="BC76" s="420"/>
      <c r="BD76" s="420"/>
      <c r="BE76" s="420"/>
      <c r="BF76" s="420"/>
      <c r="BG76" s="420"/>
      <c r="BH76" s="414">
        <f t="shared" ref="BH76:BH86" si="170">SUM(AZ76:BG76)</f>
        <v>0</v>
      </c>
      <c r="BI76" s="415">
        <f t="shared" ref="BI76:BI86" si="171">SUM(BH76,AY76)</f>
        <v>0</v>
      </c>
      <c r="BJ76" s="300">
        <v>48</v>
      </c>
      <c r="BK76" s="420"/>
      <c r="BL76" s="420"/>
      <c r="BM76" s="420"/>
      <c r="BN76" s="420"/>
      <c r="BO76" s="420"/>
      <c r="BP76" s="420"/>
      <c r="BQ76" s="420"/>
      <c r="BR76" s="420"/>
      <c r="BS76" s="412">
        <f t="shared" ref="BS76:BS86" si="172">SUM(BK76:BR76)</f>
        <v>0</v>
      </c>
      <c r="BT76" s="421"/>
      <c r="BU76" s="420"/>
      <c r="BV76" s="420"/>
      <c r="BW76" s="420"/>
      <c r="BX76" s="420"/>
      <c r="BY76" s="420"/>
      <c r="BZ76" s="420"/>
      <c r="CA76" s="420"/>
      <c r="CB76" s="414">
        <f t="shared" ref="CB76:CB86" si="173">SUM(BT76:CA76)</f>
        <v>0</v>
      </c>
      <c r="CC76" s="415">
        <f t="shared" ref="CC76:CC86" si="174">SUM(CB76,BS76)</f>
        <v>0</v>
      </c>
      <c r="CD76" s="300">
        <v>48</v>
      </c>
      <c r="CE76" s="414">
        <f t="shared" ref="CE76:CE86" si="175">+C76+D76+W76+X76+AQ76+AR76+BK76+BL76</f>
        <v>0</v>
      </c>
      <c r="CF76" s="414">
        <f t="shared" ref="CF76:CF86" si="176">+E76+F76+Y76+Z76+AS76+AT76+BM76+BN76</f>
        <v>0</v>
      </c>
      <c r="CG76" s="414">
        <f t="shared" ref="CG76:CG86" si="177">+G76+H76+AA76+AB76+AU76+AV76+BO76+BP76</f>
        <v>0</v>
      </c>
      <c r="CH76" s="414">
        <f t="shared" ref="CH76:CH86" si="178">+I76+J76+AC76+AD76+AW76+AX76+BQ76+BR76</f>
        <v>0</v>
      </c>
      <c r="CI76" s="416">
        <f t="shared" ref="CI76:CI86" si="179">SUM(K76,AE76,AY76,BS76)</f>
        <v>0</v>
      </c>
      <c r="CJ76" s="414">
        <f t="shared" ref="CJ76:CJ86" si="180">L76+M76+AF76+AG76+AZ76+BA76+BT76+BU76</f>
        <v>0</v>
      </c>
      <c r="CK76" s="414">
        <f t="shared" ref="CK76:CK86" si="181">N76+O76+AH76+AI76+BB76+BC76+BV76+BW76</f>
        <v>0</v>
      </c>
      <c r="CL76" s="414">
        <f t="shared" ref="CL76:CL86" si="182">P76+Q76+AJ76+AK76+BD76+BE76+BX76+BY76</f>
        <v>0</v>
      </c>
      <c r="CM76" s="414">
        <f t="shared" ref="CM76:CM86" si="183">+R76+S76+AL76+AM76+BF76+BG76+BZ76+CA76</f>
        <v>0</v>
      </c>
      <c r="CN76" s="416">
        <f t="shared" ref="CN76:CN86" si="184">SUM(T76,AN76,BH76,CB76)</f>
        <v>0</v>
      </c>
      <c r="CO76" s="414">
        <f t="shared" ref="CO76:CO86" si="185">+C76+D76+L76+M76+W76+X76+AF76+AG76+AQ76+AR76+AZ76+BA76+BK76+BL76+BT76+BU76</f>
        <v>0</v>
      </c>
      <c r="CP76" s="414">
        <f t="shared" ref="CP76:CP86" si="186">+E76+F76+N76+O76+Y76+Z76+AH76+AI76+AS76+AT76+BB76+BC76+BM76+BN76+BV76+BW76</f>
        <v>0</v>
      </c>
      <c r="CQ76" s="414">
        <f t="shared" ref="CQ76:CQ86" si="187">+G76+H76+P76+Q76+AA76+AB76+AJ76+AK76+AU76+AV76+BD76+BE76+BO76+BP76+BX76+BY76</f>
        <v>0</v>
      </c>
      <c r="CR76" s="414">
        <f t="shared" ref="CR76:CR86" si="188">+I76+J76+R76+S76+AC76+AD76+AL76+AM76+AW76+AX76+BF76+BG76+BQ76+BR76+BZ76+CA76</f>
        <v>0</v>
      </c>
      <c r="CS76" s="416">
        <f t="shared" ref="CS76:CS86" si="189">SUM(CC76,BI76,AO76,U76)</f>
        <v>0</v>
      </c>
      <c r="CT76" s="318"/>
      <c r="CU76" s="318"/>
      <c r="CV76" s="318"/>
      <c r="CW76" s="318"/>
      <c r="CX76" s="318"/>
      <c r="CY76" s="318"/>
      <c r="CZ76" s="318"/>
      <c r="DA76" s="318"/>
      <c r="DB76" s="318"/>
      <c r="DC76" s="318"/>
      <c r="DD76" s="318"/>
      <c r="DE76" s="318"/>
      <c r="DF76" s="318"/>
      <c r="DG76" s="318"/>
      <c r="DH76" s="318"/>
      <c r="DI76" s="318"/>
      <c r="DJ76" s="318"/>
      <c r="DK76" s="318"/>
      <c r="DL76" s="318"/>
      <c r="DM76" s="318"/>
      <c r="DN76" s="318"/>
      <c r="DO76" s="318"/>
      <c r="DP76" s="318"/>
      <c r="DQ76" s="318"/>
      <c r="DR76" s="318"/>
      <c r="DS76" s="318"/>
      <c r="DT76" s="318"/>
      <c r="DU76" s="318"/>
      <c r="DV76" s="318"/>
      <c r="DW76" s="318"/>
      <c r="DX76" s="318"/>
      <c r="DY76" s="318"/>
      <c r="DZ76" s="318"/>
      <c r="EA76" s="318"/>
    </row>
    <row r="77" spans="1:131" ht="15.75" customHeight="1">
      <c r="A77" s="88" t="s">
        <v>246</v>
      </c>
      <c r="B77" s="300">
        <v>49</v>
      </c>
      <c r="C77" s="420"/>
      <c r="D77" s="420"/>
      <c r="E77" s="420"/>
      <c r="F77" s="420"/>
      <c r="G77" s="420"/>
      <c r="H77" s="420"/>
      <c r="I77" s="420"/>
      <c r="J77" s="420"/>
      <c r="K77" s="412">
        <f t="shared" si="163"/>
        <v>0</v>
      </c>
      <c r="L77" s="421"/>
      <c r="M77" s="420"/>
      <c r="N77" s="420"/>
      <c r="O77" s="420"/>
      <c r="P77" s="420"/>
      <c r="Q77" s="420"/>
      <c r="R77" s="420"/>
      <c r="S77" s="420"/>
      <c r="T77" s="414">
        <f t="shared" si="164"/>
        <v>0</v>
      </c>
      <c r="U77" s="415">
        <f t="shared" si="165"/>
        <v>0</v>
      </c>
      <c r="V77" s="300">
        <v>49</v>
      </c>
      <c r="W77" s="420"/>
      <c r="X77" s="420"/>
      <c r="Y77" s="420"/>
      <c r="Z77" s="420"/>
      <c r="AA77" s="420"/>
      <c r="AB77" s="420"/>
      <c r="AC77" s="420"/>
      <c r="AD77" s="420"/>
      <c r="AE77" s="412">
        <f t="shared" si="166"/>
        <v>0</v>
      </c>
      <c r="AF77" s="421"/>
      <c r="AG77" s="420"/>
      <c r="AH77" s="420"/>
      <c r="AI77" s="420"/>
      <c r="AJ77" s="420"/>
      <c r="AK77" s="420"/>
      <c r="AL77" s="420"/>
      <c r="AM77" s="420"/>
      <c r="AN77" s="414">
        <f t="shared" si="167"/>
        <v>0</v>
      </c>
      <c r="AO77" s="415">
        <f t="shared" si="168"/>
        <v>0</v>
      </c>
      <c r="AP77" s="300">
        <v>49</v>
      </c>
      <c r="AQ77" s="420"/>
      <c r="AR77" s="420"/>
      <c r="AS77" s="420"/>
      <c r="AT77" s="420"/>
      <c r="AU77" s="420"/>
      <c r="AV77" s="420"/>
      <c r="AW77" s="420"/>
      <c r="AX77" s="420"/>
      <c r="AY77" s="412">
        <f t="shared" si="169"/>
        <v>0</v>
      </c>
      <c r="AZ77" s="421"/>
      <c r="BA77" s="420"/>
      <c r="BB77" s="420"/>
      <c r="BC77" s="420"/>
      <c r="BD77" s="420"/>
      <c r="BE77" s="420"/>
      <c r="BF77" s="420"/>
      <c r="BG77" s="420"/>
      <c r="BH77" s="414">
        <f t="shared" si="170"/>
        <v>0</v>
      </c>
      <c r="BI77" s="415">
        <f t="shared" si="171"/>
        <v>0</v>
      </c>
      <c r="BJ77" s="300">
        <v>49</v>
      </c>
      <c r="BK77" s="420"/>
      <c r="BL77" s="420"/>
      <c r="BM77" s="420"/>
      <c r="BN77" s="420"/>
      <c r="BO77" s="420"/>
      <c r="BP77" s="420"/>
      <c r="BQ77" s="420"/>
      <c r="BR77" s="420"/>
      <c r="BS77" s="412">
        <f t="shared" si="172"/>
        <v>0</v>
      </c>
      <c r="BT77" s="421"/>
      <c r="BU77" s="420"/>
      <c r="BV77" s="420"/>
      <c r="BW77" s="420"/>
      <c r="BX77" s="420"/>
      <c r="BY77" s="420"/>
      <c r="BZ77" s="420"/>
      <c r="CA77" s="420"/>
      <c r="CB77" s="414">
        <f t="shared" si="173"/>
        <v>0</v>
      </c>
      <c r="CC77" s="415">
        <f t="shared" si="174"/>
        <v>0</v>
      </c>
      <c r="CD77" s="300">
        <v>49</v>
      </c>
      <c r="CE77" s="414">
        <f t="shared" si="175"/>
        <v>0</v>
      </c>
      <c r="CF77" s="414">
        <f t="shared" si="176"/>
        <v>0</v>
      </c>
      <c r="CG77" s="414">
        <f t="shared" si="177"/>
        <v>0</v>
      </c>
      <c r="CH77" s="414">
        <f t="shared" si="178"/>
        <v>0</v>
      </c>
      <c r="CI77" s="416">
        <f t="shared" si="179"/>
        <v>0</v>
      </c>
      <c r="CJ77" s="414">
        <f t="shared" si="180"/>
        <v>0</v>
      </c>
      <c r="CK77" s="414">
        <f t="shared" si="181"/>
        <v>0</v>
      </c>
      <c r="CL77" s="414">
        <f t="shared" si="182"/>
        <v>0</v>
      </c>
      <c r="CM77" s="414">
        <f t="shared" si="183"/>
        <v>0</v>
      </c>
      <c r="CN77" s="416">
        <f t="shared" si="184"/>
        <v>0</v>
      </c>
      <c r="CO77" s="414">
        <f t="shared" si="185"/>
        <v>0</v>
      </c>
      <c r="CP77" s="414">
        <f t="shared" si="186"/>
        <v>0</v>
      </c>
      <c r="CQ77" s="414">
        <f t="shared" si="187"/>
        <v>0</v>
      </c>
      <c r="CR77" s="414">
        <f t="shared" si="188"/>
        <v>0</v>
      </c>
      <c r="CS77" s="416">
        <f t="shared" si="189"/>
        <v>0</v>
      </c>
    </row>
    <row r="78" spans="1:131" ht="15.75" customHeight="1">
      <c r="A78" s="88" t="s">
        <v>248</v>
      </c>
      <c r="B78" s="300">
        <v>50</v>
      </c>
      <c r="C78" s="420"/>
      <c r="D78" s="420"/>
      <c r="E78" s="420"/>
      <c r="F78" s="420"/>
      <c r="G78" s="420"/>
      <c r="H78" s="420"/>
      <c r="I78" s="420"/>
      <c r="J78" s="420"/>
      <c r="K78" s="412">
        <f t="shared" si="163"/>
        <v>0</v>
      </c>
      <c r="L78" s="421"/>
      <c r="M78" s="420"/>
      <c r="N78" s="420"/>
      <c r="O78" s="420"/>
      <c r="P78" s="420"/>
      <c r="Q78" s="420"/>
      <c r="R78" s="420"/>
      <c r="S78" s="420"/>
      <c r="T78" s="414">
        <f t="shared" si="164"/>
        <v>0</v>
      </c>
      <c r="U78" s="415">
        <f t="shared" si="165"/>
        <v>0</v>
      </c>
      <c r="V78" s="300">
        <v>50</v>
      </c>
      <c r="W78" s="420"/>
      <c r="X78" s="420"/>
      <c r="Y78" s="420"/>
      <c r="Z78" s="420"/>
      <c r="AA78" s="420"/>
      <c r="AB78" s="420"/>
      <c r="AC78" s="420"/>
      <c r="AD78" s="420"/>
      <c r="AE78" s="412">
        <f t="shared" si="166"/>
        <v>0</v>
      </c>
      <c r="AF78" s="421"/>
      <c r="AG78" s="420"/>
      <c r="AH78" s="420"/>
      <c r="AI78" s="420"/>
      <c r="AJ78" s="420"/>
      <c r="AK78" s="420"/>
      <c r="AL78" s="420"/>
      <c r="AM78" s="420"/>
      <c r="AN78" s="414">
        <f t="shared" si="167"/>
        <v>0</v>
      </c>
      <c r="AO78" s="415">
        <f t="shared" si="168"/>
        <v>0</v>
      </c>
      <c r="AP78" s="300">
        <v>50</v>
      </c>
      <c r="AQ78" s="420"/>
      <c r="AR78" s="420"/>
      <c r="AS78" s="420"/>
      <c r="AT78" s="420"/>
      <c r="AU78" s="420"/>
      <c r="AV78" s="420"/>
      <c r="AW78" s="420"/>
      <c r="AX78" s="420"/>
      <c r="AY78" s="412">
        <f t="shared" si="169"/>
        <v>0</v>
      </c>
      <c r="AZ78" s="421"/>
      <c r="BA78" s="420"/>
      <c r="BB78" s="420"/>
      <c r="BC78" s="420"/>
      <c r="BD78" s="420"/>
      <c r="BE78" s="420"/>
      <c r="BF78" s="420"/>
      <c r="BG78" s="420"/>
      <c r="BH78" s="414">
        <f t="shared" si="170"/>
        <v>0</v>
      </c>
      <c r="BI78" s="415">
        <f t="shared" si="171"/>
        <v>0</v>
      </c>
      <c r="BJ78" s="300">
        <v>50</v>
      </c>
      <c r="BK78" s="420"/>
      <c r="BL78" s="420"/>
      <c r="BM78" s="420"/>
      <c r="BN78" s="420"/>
      <c r="BO78" s="420"/>
      <c r="BP78" s="420"/>
      <c r="BQ78" s="420"/>
      <c r="BR78" s="420"/>
      <c r="BS78" s="412">
        <f t="shared" si="172"/>
        <v>0</v>
      </c>
      <c r="BT78" s="421"/>
      <c r="BU78" s="420"/>
      <c r="BV78" s="420"/>
      <c r="BW78" s="420"/>
      <c r="BX78" s="420"/>
      <c r="BY78" s="420"/>
      <c r="BZ78" s="420"/>
      <c r="CA78" s="420"/>
      <c r="CB78" s="414">
        <f t="shared" si="173"/>
        <v>0</v>
      </c>
      <c r="CC78" s="415">
        <f t="shared" si="174"/>
        <v>0</v>
      </c>
      <c r="CD78" s="300">
        <v>50</v>
      </c>
      <c r="CE78" s="414">
        <f t="shared" si="175"/>
        <v>0</v>
      </c>
      <c r="CF78" s="414">
        <f t="shared" si="176"/>
        <v>0</v>
      </c>
      <c r="CG78" s="414">
        <f t="shared" si="177"/>
        <v>0</v>
      </c>
      <c r="CH78" s="414">
        <f t="shared" si="178"/>
        <v>0</v>
      </c>
      <c r="CI78" s="416">
        <f t="shared" si="179"/>
        <v>0</v>
      </c>
      <c r="CJ78" s="414">
        <f t="shared" si="180"/>
        <v>0</v>
      </c>
      <c r="CK78" s="414">
        <f t="shared" si="181"/>
        <v>0</v>
      </c>
      <c r="CL78" s="414">
        <f t="shared" si="182"/>
        <v>0</v>
      </c>
      <c r="CM78" s="414">
        <f t="shared" si="183"/>
        <v>0</v>
      </c>
      <c r="CN78" s="416">
        <f t="shared" si="184"/>
        <v>0</v>
      </c>
      <c r="CO78" s="414">
        <f t="shared" si="185"/>
        <v>0</v>
      </c>
      <c r="CP78" s="414">
        <f t="shared" si="186"/>
        <v>0</v>
      </c>
      <c r="CQ78" s="414">
        <f t="shared" si="187"/>
        <v>0</v>
      </c>
      <c r="CR78" s="414">
        <f t="shared" si="188"/>
        <v>0</v>
      </c>
      <c r="CS78" s="416">
        <f t="shared" si="189"/>
        <v>0</v>
      </c>
    </row>
    <row r="79" spans="1:131" ht="15.75" customHeight="1">
      <c r="A79" s="88" t="s">
        <v>250</v>
      </c>
      <c r="B79" s="300">
        <v>51</v>
      </c>
      <c r="C79" s="420">
        <v>430.23839553479866</v>
      </c>
      <c r="D79" s="420">
        <v>1492.4078147270595</v>
      </c>
      <c r="E79" s="420">
        <v>419.61577502246877</v>
      </c>
      <c r="F79" s="420">
        <v>1606.0964418526953</v>
      </c>
      <c r="G79" s="420">
        <v>424.90525337197846</v>
      </c>
      <c r="H79" s="420">
        <v>1761.764529100941</v>
      </c>
      <c r="I79" s="420">
        <v>486.69297015895535</v>
      </c>
      <c r="J79" s="420">
        <v>1866.86032468389</v>
      </c>
      <c r="K79" s="412">
        <f t="shared" si="163"/>
        <v>8488.5815044527862</v>
      </c>
      <c r="L79" s="421">
        <v>0</v>
      </c>
      <c r="M79" s="420">
        <v>4013.7199492545979</v>
      </c>
      <c r="N79" s="420">
        <v>0</v>
      </c>
      <c r="O79" s="420">
        <v>4252.598354638596</v>
      </c>
      <c r="P79" s="420">
        <v>0</v>
      </c>
      <c r="Q79" s="420">
        <v>4302.7654372180459</v>
      </c>
      <c r="R79" s="420">
        <v>0</v>
      </c>
      <c r="S79" s="420">
        <v>4512.2387467918834</v>
      </c>
      <c r="T79" s="414">
        <f t="shared" si="164"/>
        <v>17081.322487903122</v>
      </c>
      <c r="U79" s="415">
        <f t="shared" si="165"/>
        <v>25569.90399235591</v>
      </c>
      <c r="V79" s="300">
        <v>51</v>
      </c>
      <c r="W79" s="420">
        <v>110.83170434796013</v>
      </c>
      <c r="X79" s="420">
        <v>1012.5511371192074</v>
      </c>
      <c r="Y79" s="420">
        <v>87.793202760423966</v>
      </c>
      <c r="Z79" s="420">
        <v>915.83607301082657</v>
      </c>
      <c r="AA79" s="420">
        <v>202.76026111913322</v>
      </c>
      <c r="AB79" s="420">
        <v>764.68885557504041</v>
      </c>
      <c r="AC79" s="420">
        <v>202.53444337304376</v>
      </c>
      <c r="AD79" s="420">
        <v>798.55708094071679</v>
      </c>
      <c r="AE79" s="412">
        <f t="shared" si="166"/>
        <v>4095.5527582463519</v>
      </c>
      <c r="AF79" s="421">
        <v>0</v>
      </c>
      <c r="AG79" s="420">
        <v>1636.6188546010274</v>
      </c>
      <c r="AH79" s="420">
        <v>0</v>
      </c>
      <c r="AI79" s="420">
        <v>1314.3997988763731</v>
      </c>
      <c r="AJ79" s="420">
        <v>0</v>
      </c>
      <c r="AK79" s="420">
        <v>1079.1861804496682</v>
      </c>
      <c r="AL79" s="420">
        <v>0</v>
      </c>
      <c r="AM79" s="420">
        <v>1147.8061464524687</v>
      </c>
      <c r="AN79" s="414">
        <f t="shared" si="167"/>
        <v>5178.0109803795376</v>
      </c>
      <c r="AO79" s="415">
        <f t="shared" si="168"/>
        <v>9273.5637386258895</v>
      </c>
      <c r="AP79" s="300">
        <v>51</v>
      </c>
      <c r="AQ79" s="420">
        <v>12743.396353593656</v>
      </c>
      <c r="AR79" s="420">
        <v>27508.947576680752</v>
      </c>
      <c r="AS79" s="420">
        <v>13636.644086482733</v>
      </c>
      <c r="AT79" s="420">
        <v>29154.151967430716</v>
      </c>
      <c r="AU79" s="420">
        <v>14052.346737590415</v>
      </c>
      <c r="AV79" s="420">
        <v>31482.770403998591</v>
      </c>
      <c r="AW79" s="420">
        <v>20149.878606190407</v>
      </c>
      <c r="AX79" s="420">
        <v>34611.0113109956</v>
      </c>
      <c r="AY79" s="412">
        <f t="shared" si="169"/>
        <v>183339.1470429629</v>
      </c>
      <c r="AZ79" s="421">
        <v>0</v>
      </c>
      <c r="BA79" s="420">
        <v>23480.005356367656</v>
      </c>
      <c r="BB79" s="420">
        <v>0</v>
      </c>
      <c r="BC79" s="420">
        <v>21413.752241804523</v>
      </c>
      <c r="BD79" s="420">
        <v>0</v>
      </c>
      <c r="BE79" s="420">
        <v>24048.567909815058</v>
      </c>
      <c r="BF79" s="420">
        <v>0</v>
      </c>
      <c r="BG79" s="420">
        <v>25289.423299343711</v>
      </c>
      <c r="BH79" s="414">
        <f t="shared" si="170"/>
        <v>94231.748807330936</v>
      </c>
      <c r="BI79" s="415">
        <f t="shared" si="171"/>
        <v>277570.8958502938</v>
      </c>
      <c r="BJ79" s="300">
        <v>51</v>
      </c>
      <c r="BK79" s="420">
        <v>525.08482024243744</v>
      </c>
      <c r="BL79" s="420">
        <v>4063.1125956460833</v>
      </c>
      <c r="BM79" s="420">
        <v>521.49253271586906</v>
      </c>
      <c r="BN79" s="420">
        <v>3071.3380195473669</v>
      </c>
      <c r="BO79" s="420">
        <v>520.91910646340591</v>
      </c>
      <c r="BP79" s="420">
        <v>2748.2851455001346</v>
      </c>
      <c r="BQ79" s="420">
        <v>336.09139935269718</v>
      </c>
      <c r="BR79" s="420">
        <v>2201.1532379751366</v>
      </c>
      <c r="BS79" s="412">
        <f t="shared" si="172"/>
        <v>13987.476857443131</v>
      </c>
      <c r="BT79" s="421">
        <v>0</v>
      </c>
      <c r="BU79" s="420">
        <v>1654.5624847406471</v>
      </c>
      <c r="BV79" s="420">
        <v>0</v>
      </c>
      <c r="BW79" s="420">
        <v>1480.9852020949788</v>
      </c>
      <c r="BX79" s="420">
        <v>0</v>
      </c>
      <c r="BY79" s="420">
        <v>1289.8197021412541</v>
      </c>
      <c r="BZ79" s="420">
        <v>0</v>
      </c>
      <c r="CA79" s="420">
        <v>1073.1880641041628</v>
      </c>
      <c r="CB79" s="414">
        <f t="shared" si="173"/>
        <v>5498.5554530810423</v>
      </c>
      <c r="CC79" s="415">
        <f t="shared" si="174"/>
        <v>19486.032310524173</v>
      </c>
      <c r="CD79" s="300">
        <v>51</v>
      </c>
      <c r="CE79" s="414">
        <f t="shared" si="175"/>
        <v>47886.570397891956</v>
      </c>
      <c r="CF79" s="414">
        <f t="shared" si="176"/>
        <v>49412.968098823105</v>
      </c>
      <c r="CG79" s="414">
        <f t="shared" si="177"/>
        <v>51958.440292719642</v>
      </c>
      <c r="CH79" s="414">
        <f t="shared" si="178"/>
        <v>60652.779373670448</v>
      </c>
      <c r="CI79" s="416">
        <f t="shared" si="179"/>
        <v>209910.75816310517</v>
      </c>
      <c r="CJ79" s="414">
        <f t="shared" si="180"/>
        <v>30784.906644963929</v>
      </c>
      <c r="CK79" s="414">
        <f t="shared" si="181"/>
        <v>28461.73559741447</v>
      </c>
      <c r="CL79" s="414">
        <f t="shared" si="182"/>
        <v>30720.339229624024</v>
      </c>
      <c r="CM79" s="414">
        <f t="shared" si="183"/>
        <v>32022.656256692229</v>
      </c>
      <c r="CN79" s="416">
        <f t="shared" si="184"/>
        <v>121989.63772869464</v>
      </c>
      <c r="CO79" s="414">
        <f t="shared" si="185"/>
        <v>78671.477042855884</v>
      </c>
      <c r="CP79" s="414">
        <f t="shared" si="186"/>
        <v>77874.703696237571</v>
      </c>
      <c r="CQ79" s="414">
        <f t="shared" si="187"/>
        <v>82678.77952234367</v>
      </c>
      <c r="CR79" s="414">
        <f t="shared" si="188"/>
        <v>92675.43563036267</v>
      </c>
      <c r="CS79" s="416">
        <f t="shared" si="189"/>
        <v>331900.39589179982</v>
      </c>
    </row>
    <row r="80" spans="1:131" ht="15.75" customHeight="1">
      <c r="A80" s="88" t="s">
        <v>252</v>
      </c>
      <c r="B80" s="300">
        <v>52</v>
      </c>
      <c r="C80" s="420"/>
      <c r="D80" s="420"/>
      <c r="E80" s="420"/>
      <c r="F80" s="420"/>
      <c r="G80" s="420"/>
      <c r="H80" s="420"/>
      <c r="I80" s="420"/>
      <c r="J80" s="420"/>
      <c r="K80" s="412">
        <f t="shared" si="163"/>
        <v>0</v>
      </c>
      <c r="L80" s="421"/>
      <c r="M80" s="420"/>
      <c r="N80" s="420"/>
      <c r="O80" s="420"/>
      <c r="P80" s="420"/>
      <c r="Q80" s="420"/>
      <c r="R80" s="420"/>
      <c r="S80" s="420"/>
      <c r="T80" s="414">
        <f t="shared" si="164"/>
        <v>0</v>
      </c>
      <c r="U80" s="415">
        <f t="shared" si="165"/>
        <v>0</v>
      </c>
      <c r="V80" s="300">
        <v>52</v>
      </c>
      <c r="W80" s="420"/>
      <c r="X80" s="420"/>
      <c r="Y80" s="420"/>
      <c r="Z80" s="420"/>
      <c r="AA80" s="420"/>
      <c r="AB80" s="420"/>
      <c r="AC80" s="420"/>
      <c r="AD80" s="420"/>
      <c r="AE80" s="412">
        <f t="shared" si="166"/>
        <v>0</v>
      </c>
      <c r="AF80" s="421"/>
      <c r="AG80" s="420"/>
      <c r="AH80" s="420"/>
      <c r="AI80" s="420"/>
      <c r="AJ80" s="420"/>
      <c r="AK80" s="420"/>
      <c r="AL80" s="420"/>
      <c r="AM80" s="420"/>
      <c r="AN80" s="414">
        <f t="shared" si="167"/>
        <v>0</v>
      </c>
      <c r="AO80" s="415">
        <f t="shared" si="168"/>
        <v>0</v>
      </c>
      <c r="AP80" s="300">
        <v>52</v>
      </c>
      <c r="AQ80" s="420"/>
      <c r="AR80" s="420"/>
      <c r="AS80" s="420"/>
      <c r="AT80" s="420"/>
      <c r="AU80" s="420"/>
      <c r="AV80" s="420"/>
      <c r="AW80" s="420"/>
      <c r="AX80" s="420"/>
      <c r="AY80" s="412">
        <f t="shared" si="169"/>
        <v>0</v>
      </c>
      <c r="AZ80" s="421"/>
      <c r="BA80" s="420"/>
      <c r="BB80" s="420"/>
      <c r="BC80" s="420"/>
      <c r="BD80" s="420"/>
      <c r="BE80" s="420"/>
      <c r="BF80" s="420"/>
      <c r="BG80" s="420"/>
      <c r="BH80" s="414">
        <f t="shared" si="170"/>
        <v>0</v>
      </c>
      <c r="BI80" s="415">
        <f t="shared" si="171"/>
        <v>0</v>
      </c>
      <c r="BJ80" s="300">
        <v>52</v>
      </c>
      <c r="BK80" s="420"/>
      <c r="BL80" s="420"/>
      <c r="BM80" s="420"/>
      <c r="BN80" s="420"/>
      <c r="BO80" s="420"/>
      <c r="BP80" s="420"/>
      <c r="BQ80" s="420"/>
      <c r="BR80" s="420"/>
      <c r="BS80" s="412">
        <f t="shared" si="172"/>
        <v>0</v>
      </c>
      <c r="BT80" s="421"/>
      <c r="BU80" s="420"/>
      <c r="BV80" s="420"/>
      <c r="BW80" s="420"/>
      <c r="BX80" s="420"/>
      <c r="BY80" s="420"/>
      <c r="BZ80" s="420"/>
      <c r="CA80" s="420"/>
      <c r="CB80" s="414">
        <f t="shared" si="173"/>
        <v>0</v>
      </c>
      <c r="CC80" s="415">
        <f t="shared" si="174"/>
        <v>0</v>
      </c>
      <c r="CD80" s="300">
        <v>52</v>
      </c>
      <c r="CE80" s="414">
        <f t="shared" si="175"/>
        <v>0</v>
      </c>
      <c r="CF80" s="414">
        <f t="shared" si="176"/>
        <v>0</v>
      </c>
      <c r="CG80" s="414">
        <f t="shared" si="177"/>
        <v>0</v>
      </c>
      <c r="CH80" s="414">
        <f t="shared" si="178"/>
        <v>0</v>
      </c>
      <c r="CI80" s="416">
        <f t="shared" si="179"/>
        <v>0</v>
      </c>
      <c r="CJ80" s="414">
        <f t="shared" si="180"/>
        <v>0</v>
      </c>
      <c r="CK80" s="414">
        <f t="shared" si="181"/>
        <v>0</v>
      </c>
      <c r="CL80" s="414">
        <f t="shared" si="182"/>
        <v>0</v>
      </c>
      <c r="CM80" s="414">
        <f t="shared" si="183"/>
        <v>0</v>
      </c>
      <c r="CN80" s="416">
        <f t="shared" si="184"/>
        <v>0</v>
      </c>
      <c r="CO80" s="414">
        <f t="shared" si="185"/>
        <v>0</v>
      </c>
      <c r="CP80" s="414">
        <f t="shared" si="186"/>
        <v>0</v>
      </c>
      <c r="CQ80" s="414">
        <f t="shared" si="187"/>
        <v>0</v>
      </c>
      <c r="CR80" s="414">
        <f t="shared" si="188"/>
        <v>0</v>
      </c>
      <c r="CS80" s="416">
        <f t="shared" si="189"/>
        <v>0</v>
      </c>
    </row>
    <row r="81" spans="1:131" ht="15.75" customHeight="1">
      <c r="A81" s="88" t="s">
        <v>254</v>
      </c>
      <c r="B81" s="300">
        <v>53</v>
      </c>
      <c r="C81" s="420">
        <v>3120.3636052206803</v>
      </c>
      <c r="D81" s="420">
        <v>10823.894560671743</v>
      </c>
      <c r="E81" s="420">
        <v>3244.7005970907544</v>
      </c>
      <c r="F81" s="420">
        <v>12419.223475537192</v>
      </c>
      <c r="G81" s="420">
        <v>3286.3593283560367</v>
      </c>
      <c r="H81" s="420">
        <v>13626.076045496786</v>
      </c>
      <c r="I81" s="420">
        <v>3927.3259370924129</v>
      </c>
      <c r="J81" s="420">
        <v>15064.464505549007</v>
      </c>
      <c r="K81" s="412">
        <f t="shared" si="163"/>
        <v>65512.408055014603</v>
      </c>
      <c r="L81" s="421">
        <v>0</v>
      </c>
      <c r="M81" s="420">
        <v>29110.060332096167</v>
      </c>
      <c r="N81" s="420">
        <v>0</v>
      </c>
      <c r="O81" s="420">
        <v>32883.435852105802</v>
      </c>
      <c r="P81" s="420">
        <v>0</v>
      </c>
      <c r="Q81" s="420">
        <v>33279.026842133164</v>
      </c>
      <c r="R81" s="420">
        <v>0</v>
      </c>
      <c r="S81" s="420">
        <v>36411.112038132349</v>
      </c>
      <c r="T81" s="414">
        <f t="shared" si="164"/>
        <v>131683.6350644675</v>
      </c>
      <c r="U81" s="415">
        <f t="shared" si="165"/>
        <v>197196.04311948211</v>
      </c>
      <c r="V81" s="300">
        <v>53</v>
      </c>
      <c r="W81" s="420">
        <v>803.82229977887096</v>
      </c>
      <c r="X81" s="420">
        <v>7343.6674864041506</v>
      </c>
      <c r="Y81" s="420">
        <v>678.86546305844695</v>
      </c>
      <c r="Z81" s="420">
        <v>7081.7496143379331</v>
      </c>
      <c r="AA81" s="420">
        <v>1568.2156675182991</v>
      </c>
      <c r="AB81" s="420">
        <v>5914.3593397959758</v>
      </c>
      <c r="AC81" s="420">
        <v>1634.3338025896353</v>
      </c>
      <c r="AD81" s="420">
        <v>6443.8858346423049</v>
      </c>
      <c r="AE81" s="412">
        <f t="shared" si="166"/>
        <v>31468.899508125614</v>
      </c>
      <c r="AF81" s="421">
        <v>0</v>
      </c>
      <c r="AG81" s="420">
        <v>11869.805118548396</v>
      </c>
      <c r="AH81" s="420">
        <v>0</v>
      </c>
      <c r="AI81" s="420">
        <v>10163.664156815294</v>
      </c>
      <c r="AJ81" s="420">
        <v>0</v>
      </c>
      <c r="AK81" s="420">
        <v>8346.7868260241612</v>
      </c>
      <c r="AL81" s="420">
        <v>0</v>
      </c>
      <c r="AM81" s="420">
        <v>9262.1203224788915</v>
      </c>
      <c r="AN81" s="414">
        <f t="shared" si="167"/>
        <v>39642.376423866743</v>
      </c>
      <c r="AO81" s="415">
        <f t="shared" si="168"/>
        <v>71111.275931992364</v>
      </c>
      <c r="AP81" s="300">
        <v>53</v>
      </c>
      <c r="AQ81" s="420">
        <v>92423.248602040141</v>
      </c>
      <c r="AR81" s="420">
        <v>199512.45571539301</v>
      </c>
      <c r="AS81" s="420">
        <v>105446.05289769049</v>
      </c>
      <c r="AT81" s="420">
        <v>225435.98197978086</v>
      </c>
      <c r="AU81" s="420">
        <v>108685.54911921764</v>
      </c>
      <c r="AV81" s="420">
        <v>243498.27491799922</v>
      </c>
      <c r="AW81" s="420">
        <v>162597.66573885243</v>
      </c>
      <c r="AX81" s="420">
        <v>279290.498866826</v>
      </c>
      <c r="AY81" s="412">
        <f t="shared" si="169"/>
        <v>1416889.7278378</v>
      </c>
      <c r="AZ81" s="421">
        <v>0</v>
      </c>
      <c r="BA81" s="420">
        <v>170291.99375226456</v>
      </c>
      <c r="BB81" s="420">
        <v>0</v>
      </c>
      <c r="BC81" s="420">
        <v>165582.9423505734</v>
      </c>
      <c r="BD81" s="420">
        <v>0</v>
      </c>
      <c r="BE81" s="420">
        <v>185999.66664765257</v>
      </c>
      <c r="BF81" s="420">
        <v>0</v>
      </c>
      <c r="BG81" s="420">
        <v>204070.76770635007</v>
      </c>
      <c r="BH81" s="414">
        <f t="shared" si="170"/>
        <v>725945.37045684061</v>
      </c>
      <c r="BI81" s="415">
        <f t="shared" si="171"/>
        <v>2142835.0982946409</v>
      </c>
      <c r="BJ81" s="300">
        <v>53</v>
      </c>
      <c r="BK81" s="420">
        <v>3808.2504484559026</v>
      </c>
      <c r="BL81" s="420">
        <v>29468.28734708386</v>
      </c>
      <c r="BM81" s="420">
        <v>4032.467874190253</v>
      </c>
      <c r="BN81" s="420">
        <v>23749.279457759327</v>
      </c>
      <c r="BO81" s="420">
        <v>4028.962577561304</v>
      </c>
      <c r="BP81" s="420">
        <v>21256.156409508691</v>
      </c>
      <c r="BQ81" s="420">
        <v>2712.0598628750181</v>
      </c>
      <c r="BR81" s="420">
        <v>17762.011643996699</v>
      </c>
      <c r="BS81" s="412">
        <f t="shared" si="172"/>
        <v>106817.47562143105</v>
      </c>
      <c r="BT81" s="421">
        <v>0</v>
      </c>
      <c r="BU81" s="420">
        <v>11999.943783563664</v>
      </c>
      <c r="BV81" s="420">
        <v>0</v>
      </c>
      <c r="BW81" s="420">
        <v>11451.794368938685</v>
      </c>
      <c r="BX81" s="420">
        <v>0</v>
      </c>
      <c r="BY81" s="420">
        <v>9975.8969238219706</v>
      </c>
      <c r="BZ81" s="420">
        <v>0</v>
      </c>
      <c r="CA81" s="420">
        <v>8659.9962973735182</v>
      </c>
      <c r="CB81" s="414">
        <f t="shared" si="173"/>
        <v>42087.631373697834</v>
      </c>
      <c r="CC81" s="415">
        <f t="shared" si="174"/>
        <v>148905.10699512888</v>
      </c>
      <c r="CD81" s="300">
        <v>53</v>
      </c>
      <c r="CE81" s="414">
        <f t="shared" si="175"/>
        <v>347303.99006504839</v>
      </c>
      <c r="CF81" s="414">
        <f t="shared" si="176"/>
        <v>382088.32135944528</v>
      </c>
      <c r="CG81" s="414">
        <f t="shared" si="177"/>
        <v>401863.95340545394</v>
      </c>
      <c r="CH81" s="414">
        <f t="shared" si="178"/>
        <v>489432.24619242351</v>
      </c>
      <c r="CI81" s="416">
        <f t="shared" si="179"/>
        <v>1620688.5110223715</v>
      </c>
      <c r="CJ81" s="414">
        <f t="shared" si="180"/>
        <v>223271.80298647279</v>
      </c>
      <c r="CK81" s="414">
        <f t="shared" si="181"/>
        <v>220081.83672843318</v>
      </c>
      <c r="CL81" s="414">
        <f t="shared" si="182"/>
        <v>237601.37723963187</v>
      </c>
      <c r="CM81" s="414">
        <f t="shared" si="183"/>
        <v>258403.99636433483</v>
      </c>
      <c r="CN81" s="416">
        <f t="shared" si="184"/>
        <v>939359.01331887278</v>
      </c>
      <c r="CO81" s="414">
        <f t="shared" si="185"/>
        <v>570575.79305152118</v>
      </c>
      <c r="CP81" s="414">
        <f t="shared" si="186"/>
        <v>602170.15808787849</v>
      </c>
      <c r="CQ81" s="414">
        <f t="shared" si="187"/>
        <v>639465.33064508578</v>
      </c>
      <c r="CR81" s="414">
        <f t="shared" si="188"/>
        <v>747836.24255675846</v>
      </c>
      <c r="CS81" s="416">
        <f t="shared" si="189"/>
        <v>2560047.5243412447</v>
      </c>
    </row>
    <row r="82" spans="1:131" ht="15.75" customHeight="1">
      <c r="A82" s="88" t="s">
        <v>256</v>
      </c>
      <c r="B82" s="300">
        <v>54</v>
      </c>
      <c r="C82" s="420"/>
      <c r="D82" s="420"/>
      <c r="E82" s="420"/>
      <c r="F82" s="420"/>
      <c r="G82" s="420"/>
      <c r="H82" s="420"/>
      <c r="I82" s="420"/>
      <c r="J82" s="420"/>
      <c r="K82" s="412">
        <f t="shared" si="163"/>
        <v>0</v>
      </c>
      <c r="L82" s="421"/>
      <c r="M82" s="420"/>
      <c r="N82" s="420"/>
      <c r="O82" s="420"/>
      <c r="P82" s="420"/>
      <c r="Q82" s="420"/>
      <c r="R82" s="420"/>
      <c r="S82" s="420"/>
      <c r="T82" s="414">
        <f t="shared" si="164"/>
        <v>0</v>
      </c>
      <c r="U82" s="415">
        <f t="shared" si="165"/>
        <v>0</v>
      </c>
      <c r="V82" s="300">
        <v>54</v>
      </c>
      <c r="W82" s="420"/>
      <c r="X82" s="420"/>
      <c r="Y82" s="420"/>
      <c r="Z82" s="420"/>
      <c r="AA82" s="420"/>
      <c r="AB82" s="420"/>
      <c r="AC82" s="420"/>
      <c r="AD82" s="420"/>
      <c r="AE82" s="412">
        <f t="shared" si="166"/>
        <v>0</v>
      </c>
      <c r="AF82" s="421"/>
      <c r="AG82" s="420"/>
      <c r="AH82" s="420"/>
      <c r="AI82" s="420"/>
      <c r="AJ82" s="420"/>
      <c r="AK82" s="420"/>
      <c r="AL82" s="420"/>
      <c r="AM82" s="420"/>
      <c r="AN82" s="414">
        <f t="shared" si="167"/>
        <v>0</v>
      </c>
      <c r="AO82" s="415">
        <f t="shared" si="168"/>
        <v>0</v>
      </c>
      <c r="AP82" s="300">
        <v>54</v>
      </c>
      <c r="AQ82" s="420"/>
      <c r="AR82" s="420"/>
      <c r="AS82" s="420"/>
      <c r="AT82" s="420"/>
      <c r="AU82" s="420"/>
      <c r="AV82" s="420"/>
      <c r="AW82" s="420"/>
      <c r="AX82" s="420"/>
      <c r="AY82" s="412">
        <f t="shared" si="169"/>
        <v>0</v>
      </c>
      <c r="AZ82" s="421"/>
      <c r="BA82" s="420"/>
      <c r="BB82" s="420"/>
      <c r="BC82" s="420"/>
      <c r="BD82" s="420"/>
      <c r="BE82" s="420"/>
      <c r="BF82" s="420"/>
      <c r="BG82" s="420"/>
      <c r="BH82" s="414">
        <f t="shared" si="170"/>
        <v>0</v>
      </c>
      <c r="BI82" s="415">
        <f t="shared" si="171"/>
        <v>0</v>
      </c>
      <c r="BJ82" s="300">
        <v>54</v>
      </c>
      <c r="BK82" s="420"/>
      <c r="BL82" s="420"/>
      <c r="BM82" s="420"/>
      <c r="BN82" s="420"/>
      <c r="BO82" s="420"/>
      <c r="BP82" s="420"/>
      <c r="BQ82" s="420"/>
      <c r="BR82" s="420"/>
      <c r="BS82" s="412">
        <f t="shared" si="172"/>
        <v>0</v>
      </c>
      <c r="BT82" s="421"/>
      <c r="BU82" s="420"/>
      <c r="BV82" s="420"/>
      <c r="BW82" s="420"/>
      <c r="BX82" s="420"/>
      <c r="BY82" s="420"/>
      <c r="BZ82" s="420"/>
      <c r="CA82" s="420"/>
      <c r="CB82" s="414">
        <f t="shared" si="173"/>
        <v>0</v>
      </c>
      <c r="CC82" s="415">
        <f t="shared" si="174"/>
        <v>0</v>
      </c>
      <c r="CD82" s="300">
        <v>54</v>
      </c>
      <c r="CE82" s="414">
        <f t="shared" si="175"/>
        <v>0</v>
      </c>
      <c r="CF82" s="414">
        <f t="shared" si="176"/>
        <v>0</v>
      </c>
      <c r="CG82" s="414">
        <f t="shared" si="177"/>
        <v>0</v>
      </c>
      <c r="CH82" s="414">
        <f t="shared" si="178"/>
        <v>0</v>
      </c>
      <c r="CI82" s="416">
        <f t="shared" si="179"/>
        <v>0</v>
      </c>
      <c r="CJ82" s="414">
        <f t="shared" si="180"/>
        <v>0</v>
      </c>
      <c r="CK82" s="414">
        <f t="shared" si="181"/>
        <v>0</v>
      </c>
      <c r="CL82" s="414">
        <f t="shared" si="182"/>
        <v>0</v>
      </c>
      <c r="CM82" s="414">
        <f t="shared" si="183"/>
        <v>0</v>
      </c>
      <c r="CN82" s="416">
        <f t="shared" si="184"/>
        <v>0</v>
      </c>
      <c r="CO82" s="414">
        <f t="shared" si="185"/>
        <v>0</v>
      </c>
      <c r="CP82" s="414">
        <f t="shared" si="186"/>
        <v>0</v>
      </c>
      <c r="CQ82" s="414">
        <f t="shared" si="187"/>
        <v>0</v>
      </c>
      <c r="CR82" s="414">
        <f t="shared" si="188"/>
        <v>0</v>
      </c>
      <c r="CS82" s="416">
        <f t="shared" si="189"/>
        <v>0</v>
      </c>
    </row>
    <row r="83" spans="1:131" ht="15.75" customHeight="1">
      <c r="A83" s="88" t="s">
        <v>258</v>
      </c>
      <c r="B83" s="300">
        <v>55</v>
      </c>
      <c r="C83" s="420"/>
      <c r="D83" s="420"/>
      <c r="E83" s="420"/>
      <c r="F83" s="420"/>
      <c r="G83" s="420"/>
      <c r="H83" s="420"/>
      <c r="I83" s="420"/>
      <c r="J83" s="420"/>
      <c r="K83" s="412">
        <f t="shared" si="163"/>
        <v>0</v>
      </c>
      <c r="L83" s="421"/>
      <c r="M83" s="420"/>
      <c r="N83" s="420"/>
      <c r="O83" s="420"/>
      <c r="P83" s="420"/>
      <c r="Q83" s="420"/>
      <c r="R83" s="420"/>
      <c r="S83" s="420"/>
      <c r="T83" s="414">
        <f t="shared" si="164"/>
        <v>0</v>
      </c>
      <c r="U83" s="415">
        <f t="shared" si="165"/>
        <v>0</v>
      </c>
      <c r="V83" s="300">
        <v>55</v>
      </c>
      <c r="W83" s="420"/>
      <c r="X83" s="420"/>
      <c r="Y83" s="420"/>
      <c r="Z83" s="420"/>
      <c r="AA83" s="420"/>
      <c r="AB83" s="420"/>
      <c r="AC83" s="420"/>
      <c r="AD83" s="420"/>
      <c r="AE83" s="412">
        <f t="shared" si="166"/>
        <v>0</v>
      </c>
      <c r="AF83" s="421"/>
      <c r="AG83" s="420"/>
      <c r="AH83" s="420"/>
      <c r="AI83" s="420"/>
      <c r="AJ83" s="420"/>
      <c r="AK83" s="420"/>
      <c r="AL83" s="420"/>
      <c r="AM83" s="420"/>
      <c r="AN83" s="414">
        <f t="shared" si="167"/>
        <v>0</v>
      </c>
      <c r="AO83" s="415">
        <f t="shared" si="168"/>
        <v>0</v>
      </c>
      <c r="AP83" s="300">
        <v>55</v>
      </c>
      <c r="AQ83" s="420"/>
      <c r="AR83" s="420"/>
      <c r="AS83" s="420"/>
      <c r="AT83" s="420"/>
      <c r="AU83" s="420"/>
      <c r="AV83" s="420"/>
      <c r="AW83" s="420"/>
      <c r="AX83" s="420"/>
      <c r="AY83" s="412">
        <f t="shared" si="169"/>
        <v>0</v>
      </c>
      <c r="AZ83" s="421"/>
      <c r="BA83" s="420"/>
      <c r="BB83" s="420"/>
      <c r="BC83" s="420"/>
      <c r="BD83" s="420"/>
      <c r="BE83" s="420"/>
      <c r="BF83" s="420"/>
      <c r="BG83" s="420"/>
      <c r="BH83" s="414">
        <f t="shared" si="170"/>
        <v>0</v>
      </c>
      <c r="BI83" s="415">
        <f t="shared" si="171"/>
        <v>0</v>
      </c>
      <c r="BJ83" s="300">
        <v>55</v>
      </c>
      <c r="BK83" s="420"/>
      <c r="BL83" s="420"/>
      <c r="BM83" s="420"/>
      <c r="BN83" s="420"/>
      <c r="BO83" s="420"/>
      <c r="BP83" s="420"/>
      <c r="BQ83" s="420"/>
      <c r="BR83" s="420"/>
      <c r="BS83" s="412">
        <f t="shared" si="172"/>
        <v>0</v>
      </c>
      <c r="BT83" s="421"/>
      <c r="BU83" s="420"/>
      <c r="BV83" s="420"/>
      <c r="BW83" s="420"/>
      <c r="BX83" s="420"/>
      <c r="BY83" s="420"/>
      <c r="BZ83" s="420"/>
      <c r="CA83" s="420"/>
      <c r="CB83" s="414">
        <f t="shared" si="173"/>
        <v>0</v>
      </c>
      <c r="CC83" s="415">
        <f t="shared" si="174"/>
        <v>0</v>
      </c>
      <c r="CD83" s="300">
        <v>55</v>
      </c>
      <c r="CE83" s="414">
        <f t="shared" si="175"/>
        <v>0</v>
      </c>
      <c r="CF83" s="414">
        <f t="shared" si="176"/>
        <v>0</v>
      </c>
      <c r="CG83" s="414">
        <f t="shared" si="177"/>
        <v>0</v>
      </c>
      <c r="CH83" s="414">
        <f t="shared" si="178"/>
        <v>0</v>
      </c>
      <c r="CI83" s="416">
        <f t="shared" si="179"/>
        <v>0</v>
      </c>
      <c r="CJ83" s="414">
        <f t="shared" si="180"/>
        <v>0</v>
      </c>
      <c r="CK83" s="414">
        <f t="shared" si="181"/>
        <v>0</v>
      </c>
      <c r="CL83" s="414">
        <f t="shared" si="182"/>
        <v>0</v>
      </c>
      <c r="CM83" s="414">
        <f t="shared" si="183"/>
        <v>0</v>
      </c>
      <c r="CN83" s="416">
        <f t="shared" si="184"/>
        <v>0</v>
      </c>
      <c r="CO83" s="414">
        <f t="shared" si="185"/>
        <v>0</v>
      </c>
      <c r="CP83" s="414">
        <f t="shared" si="186"/>
        <v>0</v>
      </c>
      <c r="CQ83" s="414">
        <f t="shared" si="187"/>
        <v>0</v>
      </c>
      <c r="CR83" s="414">
        <f t="shared" si="188"/>
        <v>0</v>
      </c>
      <c r="CS83" s="416">
        <f t="shared" si="189"/>
        <v>0</v>
      </c>
    </row>
    <row r="84" spans="1:131" ht="15.75" customHeight="1">
      <c r="A84" s="88" t="s">
        <v>260</v>
      </c>
      <c r="B84" s="300">
        <v>56</v>
      </c>
      <c r="C84" s="420"/>
      <c r="D84" s="420"/>
      <c r="E84" s="420"/>
      <c r="F84" s="420"/>
      <c r="G84" s="420"/>
      <c r="H84" s="420"/>
      <c r="I84" s="420"/>
      <c r="J84" s="420"/>
      <c r="K84" s="412">
        <f t="shared" si="163"/>
        <v>0</v>
      </c>
      <c r="L84" s="421"/>
      <c r="M84" s="420"/>
      <c r="N84" s="420"/>
      <c r="O84" s="420"/>
      <c r="P84" s="420"/>
      <c r="Q84" s="420"/>
      <c r="R84" s="420"/>
      <c r="S84" s="420"/>
      <c r="T84" s="414">
        <f t="shared" si="164"/>
        <v>0</v>
      </c>
      <c r="U84" s="415">
        <f t="shared" si="165"/>
        <v>0</v>
      </c>
      <c r="V84" s="300">
        <v>56</v>
      </c>
      <c r="W84" s="420"/>
      <c r="X84" s="420"/>
      <c r="Y84" s="420"/>
      <c r="Z84" s="420"/>
      <c r="AA84" s="420"/>
      <c r="AB84" s="420"/>
      <c r="AC84" s="420"/>
      <c r="AD84" s="420"/>
      <c r="AE84" s="412">
        <f t="shared" si="166"/>
        <v>0</v>
      </c>
      <c r="AF84" s="421"/>
      <c r="AG84" s="420"/>
      <c r="AH84" s="420"/>
      <c r="AI84" s="420"/>
      <c r="AJ84" s="420"/>
      <c r="AK84" s="420"/>
      <c r="AL84" s="420"/>
      <c r="AM84" s="420"/>
      <c r="AN84" s="414">
        <f t="shared" si="167"/>
        <v>0</v>
      </c>
      <c r="AO84" s="415">
        <f t="shared" si="168"/>
        <v>0</v>
      </c>
      <c r="AP84" s="300">
        <v>56</v>
      </c>
      <c r="AQ84" s="420"/>
      <c r="AR84" s="420"/>
      <c r="AS84" s="420"/>
      <c r="AT84" s="420"/>
      <c r="AU84" s="420"/>
      <c r="AV84" s="420"/>
      <c r="AW84" s="420"/>
      <c r="AX84" s="420"/>
      <c r="AY84" s="412">
        <f t="shared" si="169"/>
        <v>0</v>
      </c>
      <c r="AZ84" s="421"/>
      <c r="BA84" s="420"/>
      <c r="BB84" s="420"/>
      <c r="BC84" s="420"/>
      <c r="BD84" s="420"/>
      <c r="BE84" s="420"/>
      <c r="BF84" s="420"/>
      <c r="BG84" s="420"/>
      <c r="BH84" s="414">
        <f t="shared" si="170"/>
        <v>0</v>
      </c>
      <c r="BI84" s="415">
        <f t="shared" si="171"/>
        <v>0</v>
      </c>
      <c r="BJ84" s="300">
        <v>56</v>
      </c>
      <c r="BK84" s="420"/>
      <c r="BL84" s="420"/>
      <c r="BM84" s="420"/>
      <c r="BN84" s="420"/>
      <c r="BO84" s="420"/>
      <c r="BP84" s="420"/>
      <c r="BQ84" s="420"/>
      <c r="BR84" s="420"/>
      <c r="BS84" s="412">
        <f t="shared" si="172"/>
        <v>0</v>
      </c>
      <c r="BT84" s="421"/>
      <c r="BU84" s="420"/>
      <c r="BV84" s="420"/>
      <c r="BW84" s="420"/>
      <c r="BX84" s="420"/>
      <c r="BY84" s="420"/>
      <c r="BZ84" s="420"/>
      <c r="CA84" s="420"/>
      <c r="CB84" s="414">
        <f t="shared" si="173"/>
        <v>0</v>
      </c>
      <c r="CC84" s="415">
        <f t="shared" si="174"/>
        <v>0</v>
      </c>
      <c r="CD84" s="300">
        <v>56</v>
      </c>
      <c r="CE84" s="414">
        <f t="shared" si="175"/>
        <v>0</v>
      </c>
      <c r="CF84" s="414">
        <f t="shared" si="176"/>
        <v>0</v>
      </c>
      <c r="CG84" s="414">
        <f t="shared" si="177"/>
        <v>0</v>
      </c>
      <c r="CH84" s="414">
        <f t="shared" si="178"/>
        <v>0</v>
      </c>
      <c r="CI84" s="416">
        <f t="shared" si="179"/>
        <v>0</v>
      </c>
      <c r="CJ84" s="414">
        <f t="shared" si="180"/>
        <v>0</v>
      </c>
      <c r="CK84" s="414">
        <f t="shared" si="181"/>
        <v>0</v>
      </c>
      <c r="CL84" s="414">
        <f t="shared" si="182"/>
        <v>0</v>
      </c>
      <c r="CM84" s="414">
        <f t="shared" si="183"/>
        <v>0</v>
      </c>
      <c r="CN84" s="416">
        <f t="shared" si="184"/>
        <v>0</v>
      </c>
      <c r="CO84" s="414">
        <f t="shared" si="185"/>
        <v>0</v>
      </c>
      <c r="CP84" s="414">
        <f t="shared" si="186"/>
        <v>0</v>
      </c>
      <c r="CQ84" s="414">
        <f t="shared" si="187"/>
        <v>0</v>
      </c>
      <c r="CR84" s="414">
        <f t="shared" si="188"/>
        <v>0</v>
      </c>
      <c r="CS84" s="416">
        <f t="shared" si="189"/>
        <v>0</v>
      </c>
    </row>
    <row r="85" spans="1:131" ht="15.75" customHeight="1">
      <c r="A85" s="88" t="s">
        <v>262</v>
      </c>
      <c r="B85" s="300">
        <v>57</v>
      </c>
      <c r="C85" s="420"/>
      <c r="D85" s="420"/>
      <c r="E85" s="420"/>
      <c r="F85" s="420"/>
      <c r="G85" s="420"/>
      <c r="H85" s="420"/>
      <c r="I85" s="420"/>
      <c r="J85" s="420"/>
      <c r="K85" s="412">
        <f t="shared" si="163"/>
        <v>0</v>
      </c>
      <c r="L85" s="421"/>
      <c r="M85" s="420"/>
      <c r="N85" s="420"/>
      <c r="O85" s="420"/>
      <c r="P85" s="420"/>
      <c r="Q85" s="420"/>
      <c r="R85" s="420"/>
      <c r="S85" s="420"/>
      <c r="T85" s="414">
        <f t="shared" si="164"/>
        <v>0</v>
      </c>
      <c r="U85" s="415">
        <f t="shared" si="165"/>
        <v>0</v>
      </c>
      <c r="V85" s="300">
        <v>57</v>
      </c>
      <c r="W85" s="420"/>
      <c r="X85" s="420"/>
      <c r="Y85" s="420"/>
      <c r="Z85" s="420"/>
      <c r="AA85" s="420"/>
      <c r="AB85" s="420"/>
      <c r="AC85" s="420"/>
      <c r="AD85" s="420"/>
      <c r="AE85" s="412">
        <f t="shared" si="166"/>
        <v>0</v>
      </c>
      <c r="AF85" s="421"/>
      <c r="AG85" s="420"/>
      <c r="AH85" s="420"/>
      <c r="AI85" s="420"/>
      <c r="AJ85" s="420"/>
      <c r="AK85" s="420"/>
      <c r="AL85" s="420"/>
      <c r="AM85" s="420"/>
      <c r="AN85" s="414">
        <f t="shared" si="167"/>
        <v>0</v>
      </c>
      <c r="AO85" s="415">
        <f t="shared" si="168"/>
        <v>0</v>
      </c>
      <c r="AP85" s="300">
        <v>57</v>
      </c>
      <c r="AQ85" s="420"/>
      <c r="AR85" s="420"/>
      <c r="AS85" s="420"/>
      <c r="AT85" s="420"/>
      <c r="AU85" s="420"/>
      <c r="AV85" s="420"/>
      <c r="AW85" s="420"/>
      <c r="AX85" s="420"/>
      <c r="AY85" s="412">
        <f t="shared" si="169"/>
        <v>0</v>
      </c>
      <c r="AZ85" s="421"/>
      <c r="BA85" s="420"/>
      <c r="BB85" s="420"/>
      <c r="BC85" s="420"/>
      <c r="BD85" s="420"/>
      <c r="BE85" s="420"/>
      <c r="BF85" s="420"/>
      <c r="BG85" s="420"/>
      <c r="BH85" s="414">
        <f t="shared" si="170"/>
        <v>0</v>
      </c>
      <c r="BI85" s="415">
        <f t="shared" si="171"/>
        <v>0</v>
      </c>
      <c r="BJ85" s="300">
        <v>57</v>
      </c>
      <c r="BK85" s="420"/>
      <c r="BL85" s="420"/>
      <c r="BM85" s="420"/>
      <c r="BN85" s="420"/>
      <c r="BO85" s="420"/>
      <c r="BP85" s="420"/>
      <c r="BQ85" s="420"/>
      <c r="BR85" s="420"/>
      <c r="BS85" s="412">
        <f t="shared" si="172"/>
        <v>0</v>
      </c>
      <c r="BT85" s="421"/>
      <c r="BU85" s="420"/>
      <c r="BV85" s="420"/>
      <c r="BW85" s="420"/>
      <c r="BX85" s="420"/>
      <c r="BY85" s="420"/>
      <c r="BZ85" s="420"/>
      <c r="CA85" s="420"/>
      <c r="CB85" s="414">
        <f t="shared" si="173"/>
        <v>0</v>
      </c>
      <c r="CC85" s="415">
        <f t="shared" si="174"/>
        <v>0</v>
      </c>
      <c r="CD85" s="300">
        <v>57</v>
      </c>
      <c r="CE85" s="414">
        <f t="shared" si="175"/>
        <v>0</v>
      </c>
      <c r="CF85" s="414">
        <f t="shared" si="176"/>
        <v>0</v>
      </c>
      <c r="CG85" s="414">
        <f t="shared" si="177"/>
        <v>0</v>
      </c>
      <c r="CH85" s="414">
        <f t="shared" si="178"/>
        <v>0</v>
      </c>
      <c r="CI85" s="416">
        <f t="shared" si="179"/>
        <v>0</v>
      </c>
      <c r="CJ85" s="414">
        <f t="shared" si="180"/>
        <v>0</v>
      </c>
      <c r="CK85" s="414">
        <f t="shared" si="181"/>
        <v>0</v>
      </c>
      <c r="CL85" s="414">
        <f t="shared" si="182"/>
        <v>0</v>
      </c>
      <c r="CM85" s="414">
        <f t="shared" si="183"/>
        <v>0</v>
      </c>
      <c r="CN85" s="416">
        <f t="shared" si="184"/>
        <v>0</v>
      </c>
      <c r="CO85" s="414">
        <f t="shared" si="185"/>
        <v>0</v>
      </c>
      <c r="CP85" s="414">
        <f t="shared" si="186"/>
        <v>0</v>
      </c>
      <c r="CQ85" s="414">
        <f t="shared" si="187"/>
        <v>0</v>
      </c>
      <c r="CR85" s="414">
        <f t="shared" si="188"/>
        <v>0</v>
      </c>
      <c r="CS85" s="416">
        <f t="shared" si="189"/>
        <v>0</v>
      </c>
    </row>
    <row r="86" spans="1:131" ht="15.75" customHeight="1">
      <c r="A86" s="88" t="s">
        <v>264</v>
      </c>
      <c r="B86" s="300">
        <v>58</v>
      </c>
      <c r="C86" s="420">
        <v>605.41680254236223</v>
      </c>
      <c r="D86" s="420">
        <v>2100.0653978317728</v>
      </c>
      <c r="E86" s="420">
        <v>859.3061592561229</v>
      </c>
      <c r="F86" s="420">
        <v>3289.0292667606786</v>
      </c>
      <c r="G86" s="420">
        <v>1168.6992248269044</v>
      </c>
      <c r="H86" s="420">
        <v>4845.7222478379235</v>
      </c>
      <c r="I86" s="420">
        <v>1179.8177001106051</v>
      </c>
      <c r="J86" s="420">
        <v>4525.5530483148823</v>
      </c>
      <c r="K86" s="412">
        <f t="shared" si="163"/>
        <v>18573.609847481253</v>
      </c>
      <c r="L86" s="421">
        <v>0</v>
      </c>
      <c r="M86" s="420">
        <v>5647.9698771600442</v>
      </c>
      <c r="N86" s="420">
        <v>0</v>
      </c>
      <c r="O86" s="420">
        <v>8708.6429455320813</v>
      </c>
      <c r="P86" s="420">
        <v>0</v>
      </c>
      <c r="Q86" s="420">
        <v>11834.729251244304</v>
      </c>
      <c r="R86" s="420">
        <v>0</v>
      </c>
      <c r="S86" s="420">
        <v>10938.352240533182</v>
      </c>
      <c r="T86" s="414">
        <f t="shared" si="164"/>
        <v>37129.694314469612</v>
      </c>
      <c r="U86" s="415">
        <f t="shared" si="165"/>
        <v>55703.304161950866</v>
      </c>
      <c r="V86" s="300">
        <v>58</v>
      </c>
      <c r="W86" s="420">
        <v>155.9585958925307</v>
      </c>
      <c r="X86" s="420">
        <v>1424.8274403388561</v>
      </c>
      <c r="Y86" s="420">
        <v>179.78647220499369</v>
      </c>
      <c r="Z86" s="420">
        <v>1875.4861596063772</v>
      </c>
      <c r="AA86" s="420">
        <v>557.69082193056045</v>
      </c>
      <c r="AB86" s="420">
        <v>2103.2718839132604</v>
      </c>
      <c r="AC86" s="420">
        <v>490.97426062168739</v>
      </c>
      <c r="AD86" s="420">
        <v>1935.8236843544405</v>
      </c>
      <c r="AE86" s="412">
        <f t="shared" si="166"/>
        <v>8723.8193188627065</v>
      </c>
      <c r="AF86" s="421">
        <v>0</v>
      </c>
      <c r="AG86" s="420">
        <v>2302.9942567107687</v>
      </c>
      <c r="AH86" s="420">
        <v>0</v>
      </c>
      <c r="AI86" s="420">
        <v>2691.681080957926</v>
      </c>
      <c r="AJ86" s="420">
        <v>0</v>
      </c>
      <c r="AK86" s="420">
        <v>2968.2947963726238</v>
      </c>
      <c r="AL86" s="420">
        <v>0</v>
      </c>
      <c r="AM86" s="420">
        <v>2782.4564785435091</v>
      </c>
      <c r="AN86" s="414">
        <f t="shared" si="167"/>
        <v>10745.426612584828</v>
      </c>
      <c r="AO86" s="415">
        <f t="shared" si="168"/>
        <v>19469.245931447535</v>
      </c>
      <c r="AP86" s="300">
        <v>58</v>
      </c>
      <c r="AQ86" s="420">
        <v>17932.072901891104</v>
      </c>
      <c r="AR86" s="420">
        <v>38709.653196985491</v>
      </c>
      <c r="AS86" s="420">
        <v>27925.671418026985</v>
      </c>
      <c r="AT86" s="420">
        <v>59703.051802951813</v>
      </c>
      <c r="AU86" s="420">
        <v>38650.89124902746</v>
      </c>
      <c r="AV86" s="420">
        <v>86593.161827410426</v>
      </c>
      <c r="AW86" s="420">
        <v>48846.366995806529</v>
      </c>
      <c r="AX86" s="420">
        <v>83902.349668424911</v>
      </c>
      <c r="AY86" s="412">
        <f t="shared" si="169"/>
        <v>402263.21906052472</v>
      </c>
      <c r="AZ86" s="421">
        <v>0</v>
      </c>
      <c r="BA86" s="420">
        <v>33040.263058948418</v>
      </c>
      <c r="BB86" s="420">
        <v>0</v>
      </c>
      <c r="BC86" s="420">
        <v>43851.948114157378</v>
      </c>
      <c r="BD86" s="420">
        <v>0</v>
      </c>
      <c r="BE86" s="420">
        <v>66145.434661861786</v>
      </c>
      <c r="BF86" s="420">
        <v>0</v>
      </c>
      <c r="BG86" s="420">
        <v>61305.404153280506</v>
      </c>
      <c r="BH86" s="414">
        <f t="shared" si="170"/>
        <v>204343.04998824809</v>
      </c>
      <c r="BI86" s="415">
        <f t="shared" si="171"/>
        <v>606606.26904877275</v>
      </c>
      <c r="BJ86" s="300">
        <v>58</v>
      </c>
      <c r="BK86" s="420">
        <v>738.88145789395378</v>
      </c>
      <c r="BL86" s="420">
        <v>5717.4735252718501</v>
      </c>
      <c r="BM86" s="420">
        <v>1067.9335049899548</v>
      </c>
      <c r="BN86" s="420">
        <v>6289.6102445462993</v>
      </c>
      <c r="BO86" s="420">
        <v>1432.7847233941848</v>
      </c>
      <c r="BP86" s="420">
        <v>7559.1409935745505</v>
      </c>
      <c r="BQ86" s="420">
        <v>814.73661245147491</v>
      </c>
      <c r="BR86" s="420">
        <v>5335.9298573198257</v>
      </c>
      <c r="BS86" s="412">
        <f t="shared" si="172"/>
        <v>28956.490919442091</v>
      </c>
      <c r="BT86" s="421">
        <v>0</v>
      </c>
      <c r="BU86" s="420">
        <v>2328.2439213103862</v>
      </c>
      <c r="BV86" s="420">
        <v>0</v>
      </c>
      <c r="BW86" s="420">
        <v>3032.8214087262222</v>
      </c>
      <c r="BX86" s="420">
        <v>0</v>
      </c>
      <c r="BY86" s="420">
        <v>3547.6409719493545</v>
      </c>
      <c r="BZ86" s="420">
        <v>0</v>
      </c>
      <c r="CA86" s="420">
        <v>2601.5709106379577</v>
      </c>
      <c r="CB86" s="414">
        <f t="shared" si="173"/>
        <v>11510.277212623922</v>
      </c>
      <c r="CC86" s="415">
        <f t="shared" si="174"/>
        <v>40466.768132066012</v>
      </c>
      <c r="CD86" s="300">
        <v>58</v>
      </c>
      <c r="CE86" s="414">
        <f t="shared" si="175"/>
        <v>67384.349318647917</v>
      </c>
      <c r="CF86" s="414">
        <f t="shared" si="176"/>
        <v>101189.87502834323</v>
      </c>
      <c r="CG86" s="414">
        <f t="shared" si="177"/>
        <v>142911.36297191525</v>
      </c>
      <c r="CH86" s="414">
        <f t="shared" si="178"/>
        <v>147031.55182740436</v>
      </c>
      <c r="CI86" s="416">
        <f t="shared" si="179"/>
        <v>458517.13914631074</v>
      </c>
      <c r="CJ86" s="414">
        <f t="shared" si="180"/>
        <v>43319.471114129621</v>
      </c>
      <c r="CK86" s="414">
        <f t="shared" si="181"/>
        <v>58285.093549373611</v>
      </c>
      <c r="CL86" s="414">
        <f t="shared" si="182"/>
        <v>84496.099681428066</v>
      </c>
      <c r="CM86" s="414">
        <f t="shared" si="183"/>
        <v>77627.783782995146</v>
      </c>
      <c r="CN86" s="416">
        <f t="shared" si="184"/>
        <v>263728.44812792644</v>
      </c>
      <c r="CO86" s="414">
        <f t="shared" si="185"/>
        <v>110703.82043277755</v>
      </c>
      <c r="CP86" s="414">
        <f t="shared" si="186"/>
        <v>159474.96857771682</v>
      </c>
      <c r="CQ86" s="414">
        <f t="shared" si="187"/>
        <v>227407.4626533433</v>
      </c>
      <c r="CR86" s="414">
        <f t="shared" si="188"/>
        <v>224659.33561039952</v>
      </c>
      <c r="CS86" s="416">
        <f t="shared" si="189"/>
        <v>722245.58727423707</v>
      </c>
    </row>
    <row r="87" spans="1:131" ht="15.75" customHeight="1">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t="s">
        <v>1315</v>
      </c>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t="s">
        <v>1315</v>
      </c>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t="s">
        <v>1315</v>
      </c>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t="s">
        <v>1315</v>
      </c>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131" s="14" customFormat="1" ht="15.75" customHeight="1">
      <c r="A88" s="16" t="s">
        <v>266</v>
      </c>
      <c r="B88" s="300">
        <v>59</v>
      </c>
      <c r="C88" s="216">
        <f t="shared" ref="C88:U88" si="190">SUM(C76:C86)</f>
        <v>4156.0188032978413</v>
      </c>
      <c r="D88" s="216">
        <f t="shared" si="190"/>
        <v>14416.367773230575</v>
      </c>
      <c r="E88" s="216">
        <f t="shared" si="190"/>
        <v>4523.6225313693458</v>
      </c>
      <c r="F88" s="216">
        <f t="shared" si="190"/>
        <v>17314.349184150564</v>
      </c>
      <c r="G88" s="216">
        <f t="shared" si="190"/>
        <v>4879.9638065549198</v>
      </c>
      <c r="H88" s="216">
        <f t="shared" si="190"/>
        <v>20233.562822435651</v>
      </c>
      <c r="I88" s="216">
        <f t="shared" si="190"/>
        <v>5593.8366073619736</v>
      </c>
      <c r="J88" s="216">
        <f t="shared" si="190"/>
        <v>21456.877878547781</v>
      </c>
      <c r="K88" s="221">
        <f t="shared" si="190"/>
        <v>92574.599406948633</v>
      </c>
      <c r="L88" s="218">
        <f t="shared" si="190"/>
        <v>0</v>
      </c>
      <c r="M88" s="216">
        <f t="shared" si="190"/>
        <v>38771.750158510811</v>
      </c>
      <c r="N88" s="216">
        <f t="shared" si="190"/>
        <v>0</v>
      </c>
      <c r="O88" s="216">
        <f t="shared" si="190"/>
        <v>45844.677152276483</v>
      </c>
      <c r="P88" s="216">
        <f t="shared" si="190"/>
        <v>0</v>
      </c>
      <c r="Q88" s="216">
        <f t="shared" si="190"/>
        <v>49416.521530595513</v>
      </c>
      <c r="R88" s="216">
        <f t="shared" si="190"/>
        <v>0</v>
      </c>
      <c r="S88" s="216">
        <f t="shared" si="190"/>
        <v>51861.703025457413</v>
      </c>
      <c r="T88" s="219">
        <f t="shared" si="190"/>
        <v>185894.65186684023</v>
      </c>
      <c r="U88" s="220">
        <f t="shared" si="190"/>
        <v>278469.25127378892</v>
      </c>
      <c r="V88" s="300">
        <v>59</v>
      </c>
      <c r="W88" s="216">
        <f t="shared" ref="W88:AO88" si="191">SUM(W76:W86)</f>
        <v>1070.6126000193617</v>
      </c>
      <c r="X88" s="216">
        <f t="shared" si="191"/>
        <v>9781.0460638622153</v>
      </c>
      <c r="Y88" s="216">
        <f t="shared" si="191"/>
        <v>946.4451380238645</v>
      </c>
      <c r="Z88" s="216">
        <f t="shared" si="191"/>
        <v>9873.0718469551357</v>
      </c>
      <c r="AA88" s="216">
        <f t="shared" si="191"/>
        <v>2328.6667505679929</v>
      </c>
      <c r="AB88" s="216">
        <f t="shared" si="191"/>
        <v>8782.3200792842763</v>
      </c>
      <c r="AC88" s="216">
        <f t="shared" si="191"/>
        <v>2327.8425065843667</v>
      </c>
      <c r="AD88" s="216">
        <f t="shared" si="191"/>
        <v>9178.2665999374622</v>
      </c>
      <c r="AE88" s="221">
        <f t="shared" si="191"/>
        <v>44288.271585234674</v>
      </c>
      <c r="AF88" s="218">
        <f t="shared" si="191"/>
        <v>0</v>
      </c>
      <c r="AG88" s="216">
        <f t="shared" si="191"/>
        <v>15809.418229860192</v>
      </c>
      <c r="AH88" s="216">
        <f t="shared" si="191"/>
        <v>0</v>
      </c>
      <c r="AI88" s="216">
        <f t="shared" si="191"/>
        <v>14169.745036649592</v>
      </c>
      <c r="AJ88" s="216">
        <f t="shared" si="191"/>
        <v>0</v>
      </c>
      <c r="AK88" s="216">
        <f t="shared" si="191"/>
        <v>12394.267802846452</v>
      </c>
      <c r="AL88" s="216">
        <f t="shared" si="191"/>
        <v>0</v>
      </c>
      <c r="AM88" s="216">
        <f t="shared" si="191"/>
        <v>13192.382947474869</v>
      </c>
      <c r="AN88" s="219">
        <f t="shared" si="191"/>
        <v>55565.814016831107</v>
      </c>
      <c r="AO88" s="220">
        <f t="shared" si="191"/>
        <v>99854.085602065781</v>
      </c>
      <c r="AP88" s="300">
        <v>59</v>
      </c>
      <c r="AQ88" s="216">
        <f t="shared" ref="AQ88:BI88" si="192">SUM(AQ76:AQ86)</f>
        <v>123098.7178575249</v>
      </c>
      <c r="AR88" s="216">
        <f t="shared" si="192"/>
        <v>265731.05648905924</v>
      </c>
      <c r="AS88" s="216">
        <f t="shared" si="192"/>
        <v>147008.3684022002</v>
      </c>
      <c r="AT88" s="216">
        <f t="shared" si="192"/>
        <v>314293.18575016339</v>
      </c>
      <c r="AU88" s="216">
        <f t="shared" si="192"/>
        <v>161388.78710583551</v>
      </c>
      <c r="AV88" s="216">
        <f t="shared" si="192"/>
        <v>361574.20714940829</v>
      </c>
      <c r="AW88" s="216">
        <f t="shared" si="192"/>
        <v>231593.91134084936</v>
      </c>
      <c r="AX88" s="216">
        <f t="shared" si="192"/>
        <v>397803.85984624655</v>
      </c>
      <c r="AY88" s="221">
        <f t="shared" si="192"/>
        <v>2002492.0939412876</v>
      </c>
      <c r="AZ88" s="218">
        <f t="shared" si="192"/>
        <v>0</v>
      </c>
      <c r="BA88" s="216">
        <f t="shared" si="192"/>
        <v>226812.26216758063</v>
      </c>
      <c r="BB88" s="216">
        <f t="shared" si="192"/>
        <v>0</v>
      </c>
      <c r="BC88" s="216">
        <f t="shared" si="192"/>
        <v>230848.64270653529</v>
      </c>
      <c r="BD88" s="216">
        <f t="shared" si="192"/>
        <v>0</v>
      </c>
      <c r="BE88" s="216">
        <f t="shared" si="192"/>
        <v>276193.66921932943</v>
      </c>
      <c r="BF88" s="216">
        <f t="shared" si="192"/>
        <v>0</v>
      </c>
      <c r="BG88" s="216">
        <f t="shared" si="192"/>
        <v>290665.59515897429</v>
      </c>
      <c r="BH88" s="219">
        <f t="shared" si="192"/>
        <v>1024520.1692524196</v>
      </c>
      <c r="BI88" s="220">
        <f t="shared" si="192"/>
        <v>3027012.2631937074</v>
      </c>
      <c r="BJ88" s="300">
        <v>59</v>
      </c>
      <c r="BK88" s="216">
        <f t="shared" ref="BK88:CC88" si="193">SUM(BK76:BK86)</f>
        <v>5072.2167265922935</v>
      </c>
      <c r="BL88" s="216">
        <f t="shared" si="193"/>
        <v>39248.873468001795</v>
      </c>
      <c r="BM88" s="216">
        <f t="shared" si="193"/>
        <v>5621.893911896077</v>
      </c>
      <c r="BN88" s="216">
        <f t="shared" si="193"/>
        <v>33110.227721852993</v>
      </c>
      <c r="BO88" s="216">
        <f t="shared" si="193"/>
        <v>5982.6664074188948</v>
      </c>
      <c r="BP88" s="216">
        <f t="shared" si="193"/>
        <v>31563.582548583374</v>
      </c>
      <c r="BQ88" s="216">
        <f t="shared" si="193"/>
        <v>3862.8878746791897</v>
      </c>
      <c r="BR88" s="216">
        <f t="shared" si="193"/>
        <v>25299.094739291661</v>
      </c>
      <c r="BS88" s="221">
        <f t="shared" si="193"/>
        <v>149761.44339831627</v>
      </c>
      <c r="BT88" s="218">
        <f t="shared" si="193"/>
        <v>0</v>
      </c>
      <c r="BU88" s="216">
        <f t="shared" si="193"/>
        <v>15982.750189614697</v>
      </c>
      <c r="BV88" s="216">
        <f t="shared" si="193"/>
        <v>0</v>
      </c>
      <c r="BW88" s="216">
        <f t="shared" si="193"/>
        <v>15965.600979759885</v>
      </c>
      <c r="BX88" s="216">
        <f t="shared" si="193"/>
        <v>0</v>
      </c>
      <c r="BY88" s="216">
        <f t="shared" si="193"/>
        <v>14813.35759791258</v>
      </c>
      <c r="BZ88" s="216">
        <f t="shared" si="193"/>
        <v>0</v>
      </c>
      <c r="CA88" s="216">
        <f t="shared" si="193"/>
        <v>12334.755272115639</v>
      </c>
      <c r="CB88" s="219">
        <f t="shared" si="193"/>
        <v>59096.464039402796</v>
      </c>
      <c r="CC88" s="220">
        <f t="shared" si="193"/>
        <v>208857.90743771906</v>
      </c>
      <c r="CD88" s="300">
        <v>59</v>
      </c>
      <c r="CE88" s="219">
        <f t="shared" ref="CE88:CH88" si="194">SUM(CE76:CE86)</f>
        <v>462574.9097815883</v>
      </c>
      <c r="CF88" s="219">
        <f t="shared" si="194"/>
        <v>532691.16448661161</v>
      </c>
      <c r="CG88" s="219">
        <f t="shared" si="194"/>
        <v>596733.75667008886</v>
      </c>
      <c r="CH88" s="219">
        <f t="shared" si="194"/>
        <v>697116.57739349827</v>
      </c>
      <c r="CI88" s="216">
        <f>SUM(CI76:CI86)</f>
        <v>2289116.4083317872</v>
      </c>
      <c r="CJ88" s="219">
        <f t="shared" ref="CJ88:CM88" si="195">SUM(CJ76:CJ86)</f>
        <v>297376.18074556632</v>
      </c>
      <c r="CK88" s="219">
        <f t="shared" si="195"/>
        <v>306828.66587522125</v>
      </c>
      <c r="CL88" s="219">
        <f t="shared" si="195"/>
        <v>352817.81615068397</v>
      </c>
      <c r="CM88" s="219">
        <f t="shared" si="195"/>
        <v>368054.43640402221</v>
      </c>
      <c r="CN88" s="216">
        <f>SUM(CN76:CN86)</f>
        <v>1325077.0991754937</v>
      </c>
      <c r="CO88" s="219">
        <f t="shared" ref="CO88:CR88" si="196">SUM(CO76:CO86)</f>
        <v>759951.09052715462</v>
      </c>
      <c r="CP88" s="219">
        <f t="shared" si="196"/>
        <v>839519.83036183286</v>
      </c>
      <c r="CQ88" s="219">
        <f t="shared" si="196"/>
        <v>949551.57282077277</v>
      </c>
      <c r="CR88" s="219">
        <f t="shared" si="196"/>
        <v>1065171.0137975207</v>
      </c>
      <c r="CS88" s="216">
        <f>SUM(CS76:CS86)</f>
        <v>3614193.5075072818</v>
      </c>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row>
    <row r="89" spans="1:131" ht="15.75" customHeight="1">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t="s">
        <v>1315</v>
      </c>
      <c r="U89" s="422"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t="s">
        <v>1315</v>
      </c>
      <c r="AO89" s="422"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t="s">
        <v>1315</v>
      </c>
      <c r="BI89" s="422"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t="s">
        <v>1315</v>
      </c>
      <c r="CC89" s="422" t="s">
        <v>1315</v>
      </c>
      <c r="CD89" s="300"/>
      <c r="CE89" s="380" t="s">
        <v>1315</v>
      </c>
      <c r="CF89" s="380"/>
      <c r="CG89" s="380"/>
      <c r="CH89" s="380"/>
      <c r="CI89" s="187"/>
      <c r="CJ89" s="380" t="s">
        <v>1315</v>
      </c>
      <c r="CK89" s="380"/>
      <c r="CL89" s="380"/>
      <c r="CM89" s="380"/>
      <c r="CN89" s="187"/>
      <c r="CO89" s="380" t="s">
        <v>1315</v>
      </c>
      <c r="CP89" s="380"/>
      <c r="CQ89" s="380"/>
      <c r="CR89" s="380"/>
      <c r="CS89" s="187"/>
    </row>
    <row r="90" spans="1:131" s="14" customFormat="1" ht="15.75" customHeight="1">
      <c r="A90" s="16" t="s">
        <v>268</v>
      </c>
      <c r="B90" s="300">
        <v>60</v>
      </c>
      <c r="C90" s="216">
        <f t="shared" ref="C90:U90" si="197">C88+C66+C73-C70</f>
        <v>46296.407881571497</v>
      </c>
      <c r="D90" s="216">
        <f t="shared" si="197"/>
        <v>251913.51272294964</v>
      </c>
      <c r="E90" s="216">
        <f t="shared" si="197"/>
        <v>252622.97035051082</v>
      </c>
      <c r="F90" s="216">
        <f t="shared" si="197"/>
        <v>419199.34606331255</v>
      </c>
      <c r="G90" s="216">
        <f t="shared" si="197"/>
        <v>168381.5548397497</v>
      </c>
      <c r="H90" s="216">
        <f t="shared" si="197"/>
        <v>418849.12598171033</v>
      </c>
      <c r="I90" s="216">
        <f t="shared" si="197"/>
        <v>161101.20092652884</v>
      </c>
      <c r="J90" s="216">
        <f t="shared" si="197"/>
        <v>251825.70252807299</v>
      </c>
      <c r="K90" s="221">
        <f t="shared" si="197"/>
        <v>1970189.8212944064</v>
      </c>
      <c r="L90" s="218">
        <f t="shared" si="197"/>
        <v>0</v>
      </c>
      <c r="M90" s="216">
        <f t="shared" si="197"/>
        <v>391520.96806572116</v>
      </c>
      <c r="N90" s="216">
        <f t="shared" si="197"/>
        <v>0</v>
      </c>
      <c r="O90" s="216">
        <f t="shared" si="197"/>
        <v>764842.10802698159</v>
      </c>
      <c r="P90" s="216">
        <f t="shared" si="197"/>
        <v>0</v>
      </c>
      <c r="Q90" s="216">
        <f t="shared" si="197"/>
        <v>814237.97407256893</v>
      </c>
      <c r="R90" s="216">
        <f t="shared" si="197"/>
        <v>0</v>
      </c>
      <c r="S90" s="216">
        <f t="shared" si="197"/>
        <v>775040.10879756196</v>
      </c>
      <c r="T90" s="219">
        <f t="shared" si="197"/>
        <v>2745641.1589628346</v>
      </c>
      <c r="U90" s="220">
        <f t="shared" si="197"/>
        <v>4715830.9802572401</v>
      </c>
      <c r="V90" s="300">
        <v>60</v>
      </c>
      <c r="W90" s="216">
        <f t="shared" ref="W90:AO90" si="198">W88+W66+W73-W70</f>
        <v>7927.9646656760779</v>
      </c>
      <c r="X90" s="216">
        <f t="shared" si="198"/>
        <v>76607.483732470326</v>
      </c>
      <c r="Y90" s="216">
        <f t="shared" si="198"/>
        <v>8243.7152203249698</v>
      </c>
      <c r="Z90" s="216">
        <f t="shared" si="198"/>
        <v>47893.712690355482</v>
      </c>
      <c r="AA90" s="216">
        <f t="shared" si="198"/>
        <v>23952.637084844082</v>
      </c>
      <c r="AB90" s="216">
        <f t="shared" si="198"/>
        <v>42233.267762958822</v>
      </c>
      <c r="AC90" s="216">
        <f t="shared" si="198"/>
        <v>10197.571595318841</v>
      </c>
      <c r="AD90" s="216">
        <f t="shared" si="198"/>
        <v>33827.25887094668</v>
      </c>
      <c r="AE90" s="221">
        <f t="shared" si="198"/>
        <v>250883.61162289532</v>
      </c>
      <c r="AF90" s="218">
        <f t="shared" si="198"/>
        <v>0</v>
      </c>
      <c r="AG90" s="216">
        <f t="shared" si="198"/>
        <v>213450.88266059873</v>
      </c>
      <c r="AH90" s="216">
        <f t="shared" si="198"/>
        <v>0</v>
      </c>
      <c r="AI90" s="216">
        <f t="shared" si="198"/>
        <v>149124.5673147341</v>
      </c>
      <c r="AJ90" s="216">
        <f t="shared" si="198"/>
        <v>0</v>
      </c>
      <c r="AK90" s="216">
        <f t="shared" si="198"/>
        <v>104591.25533905505</v>
      </c>
      <c r="AL90" s="216">
        <f t="shared" si="198"/>
        <v>0</v>
      </c>
      <c r="AM90" s="216">
        <f t="shared" si="198"/>
        <v>122426.55724560175</v>
      </c>
      <c r="AN90" s="219">
        <f t="shared" si="198"/>
        <v>589593.26255998947</v>
      </c>
      <c r="AO90" s="220">
        <f t="shared" si="198"/>
        <v>840476.87418288481</v>
      </c>
      <c r="AP90" s="300">
        <v>60</v>
      </c>
      <c r="AQ90" s="216">
        <f t="shared" ref="AQ90:BI90" si="199">AQ88+AQ66+AQ73-AQ70</f>
        <v>1382736.084279485</v>
      </c>
      <c r="AR90" s="216">
        <f t="shared" si="199"/>
        <v>3030829.7429198483</v>
      </c>
      <c r="AS90" s="216">
        <f t="shared" si="199"/>
        <v>1311570.6124553781</v>
      </c>
      <c r="AT90" s="216">
        <f t="shared" si="199"/>
        <v>2917009.7852461124</v>
      </c>
      <c r="AU90" s="216">
        <f t="shared" si="199"/>
        <v>1591904.1794146609</v>
      </c>
      <c r="AV90" s="216">
        <f t="shared" si="199"/>
        <v>3315950.4993889942</v>
      </c>
      <c r="AW90" s="216">
        <f t="shared" si="199"/>
        <v>2083108.333662498</v>
      </c>
      <c r="AX90" s="216">
        <f t="shared" si="199"/>
        <v>3752592.491452754</v>
      </c>
      <c r="AY90" s="221">
        <f t="shared" si="199"/>
        <v>19385701.728819732</v>
      </c>
      <c r="AZ90" s="218">
        <f t="shared" si="199"/>
        <v>0</v>
      </c>
      <c r="BA90" s="216">
        <f t="shared" si="199"/>
        <v>2726013.1542075602</v>
      </c>
      <c r="BB90" s="216">
        <f t="shared" si="199"/>
        <v>0</v>
      </c>
      <c r="BC90" s="216">
        <f t="shared" si="199"/>
        <v>2795826.2689046208</v>
      </c>
      <c r="BD90" s="216">
        <f t="shared" si="199"/>
        <v>0</v>
      </c>
      <c r="BE90" s="216">
        <f t="shared" si="199"/>
        <v>3065323.898891367</v>
      </c>
      <c r="BF90" s="216">
        <f t="shared" si="199"/>
        <v>0</v>
      </c>
      <c r="BG90" s="216">
        <f t="shared" si="199"/>
        <v>3399418.5373024847</v>
      </c>
      <c r="BH90" s="219">
        <f t="shared" si="199"/>
        <v>11986581.859306034</v>
      </c>
      <c r="BI90" s="220">
        <f t="shared" si="199"/>
        <v>31372283.588125769</v>
      </c>
      <c r="BJ90" s="300">
        <v>60</v>
      </c>
      <c r="BK90" s="216">
        <f t="shared" ref="BK90:CC90" si="200">BK88+BK66+BK73-BK70</f>
        <v>75542.831370054293</v>
      </c>
      <c r="BL90" s="216">
        <f t="shared" si="200"/>
        <v>492776.47007459158</v>
      </c>
      <c r="BM90" s="216">
        <f t="shared" si="200"/>
        <v>61537.588747425209</v>
      </c>
      <c r="BN90" s="216">
        <f t="shared" si="200"/>
        <v>335557.1087318373</v>
      </c>
      <c r="BO90" s="216">
        <f t="shared" si="200"/>
        <v>58960.369068160035</v>
      </c>
      <c r="BP90" s="216">
        <f t="shared" si="200"/>
        <v>371559.61830881011</v>
      </c>
      <c r="BQ90" s="216">
        <f t="shared" si="200"/>
        <v>32798.744855122481</v>
      </c>
      <c r="BR90" s="216">
        <f t="shared" si="200"/>
        <v>374631.62297417689</v>
      </c>
      <c r="BS90" s="221">
        <f t="shared" si="200"/>
        <v>1803364.354130178</v>
      </c>
      <c r="BT90" s="218">
        <f t="shared" si="200"/>
        <v>0</v>
      </c>
      <c r="BU90" s="216">
        <f t="shared" si="200"/>
        <v>133098.7098551938</v>
      </c>
      <c r="BV90" s="216">
        <f t="shared" si="200"/>
        <v>0</v>
      </c>
      <c r="BW90" s="216">
        <f t="shared" si="200"/>
        <v>199903.54455303424</v>
      </c>
      <c r="BX90" s="216">
        <f t="shared" si="200"/>
        <v>0</v>
      </c>
      <c r="BY90" s="216">
        <f t="shared" si="200"/>
        <v>129761.27390019565</v>
      </c>
      <c r="BZ90" s="216">
        <f t="shared" si="200"/>
        <v>0</v>
      </c>
      <c r="CA90" s="216">
        <f t="shared" si="200"/>
        <v>146241.10968468277</v>
      </c>
      <c r="CB90" s="219">
        <f t="shared" si="200"/>
        <v>609004.6379931065</v>
      </c>
      <c r="CC90" s="220">
        <f t="shared" si="200"/>
        <v>2412368.9921232839</v>
      </c>
      <c r="CD90" s="300">
        <v>60</v>
      </c>
      <c r="CE90" s="219">
        <f t="shared" ref="CE90:CS90" si="201">CE88+CE66+CE73-CE70</f>
        <v>5364630.4976466456</v>
      </c>
      <c r="CF90" s="219">
        <f t="shared" si="201"/>
        <v>5353634.8395052571</v>
      </c>
      <c r="CG90" s="219">
        <f t="shared" si="201"/>
        <v>5991791.2518498888</v>
      </c>
      <c r="CH90" s="219">
        <f t="shared" si="201"/>
        <v>6700082.9268654184</v>
      </c>
      <c r="CI90" s="216">
        <f t="shared" si="201"/>
        <v>23410139.515867211</v>
      </c>
      <c r="CJ90" s="219">
        <f t="shared" si="201"/>
        <v>3464083.714789073</v>
      </c>
      <c r="CK90" s="219">
        <f t="shared" si="201"/>
        <v>3909696.4887993704</v>
      </c>
      <c r="CL90" s="219">
        <f t="shared" si="201"/>
        <v>4113914.4022031855</v>
      </c>
      <c r="CM90" s="219">
        <f t="shared" si="201"/>
        <v>4443126.3130303323</v>
      </c>
      <c r="CN90" s="216">
        <f t="shared" si="201"/>
        <v>1325077.0991754937</v>
      </c>
      <c r="CO90" s="219">
        <f t="shared" si="201"/>
        <v>8828714.2124357205</v>
      </c>
      <c r="CP90" s="219">
        <f t="shared" si="201"/>
        <v>9263331.328304626</v>
      </c>
      <c r="CQ90" s="219">
        <f t="shared" si="201"/>
        <v>10105705.654053079</v>
      </c>
      <c r="CR90" s="219">
        <f t="shared" si="201"/>
        <v>11143209.239895746</v>
      </c>
      <c r="CS90" s="216">
        <f t="shared" si="201"/>
        <v>39340960.434689179</v>
      </c>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row>
    <row r="91" spans="1:131" ht="15.75" customHeight="1">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t="s">
        <v>1315</v>
      </c>
      <c r="U91" s="422"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422"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422"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422" t="s">
        <v>1315</v>
      </c>
      <c r="CD91" s="300"/>
      <c r="CE91" s="380" t="s">
        <v>1315</v>
      </c>
      <c r="CF91" s="380"/>
      <c r="CG91" s="380"/>
      <c r="CH91" s="380"/>
      <c r="CI91" s="187"/>
      <c r="CJ91" s="380" t="s">
        <v>1315</v>
      </c>
      <c r="CK91" s="380"/>
      <c r="CL91" s="380"/>
      <c r="CM91" s="380"/>
      <c r="CN91" s="187"/>
      <c r="CO91" s="380" t="s">
        <v>1315</v>
      </c>
      <c r="CP91" s="380"/>
      <c r="CQ91" s="380"/>
      <c r="CR91" s="380"/>
      <c r="CS91" s="187"/>
    </row>
    <row r="92" spans="1:131" s="14" customFormat="1" ht="15.75" customHeight="1">
      <c r="A92" s="16" t="s">
        <v>270</v>
      </c>
      <c r="B92" s="300">
        <v>61</v>
      </c>
      <c r="C92" s="216">
        <f t="shared" ref="C92:J92" si="202">C32-C90</f>
        <v>2815.8521184285055</v>
      </c>
      <c r="D92" s="216">
        <f t="shared" si="202"/>
        <v>-81553.262722949643</v>
      </c>
      <c r="E92" s="216">
        <f t="shared" si="202"/>
        <v>-204393.34035051081</v>
      </c>
      <c r="F92" s="216">
        <f t="shared" si="202"/>
        <v>-234598.47606331256</v>
      </c>
      <c r="G92" s="216">
        <f t="shared" si="202"/>
        <v>-117918.9448397497</v>
      </c>
      <c r="H92" s="216">
        <f t="shared" si="202"/>
        <v>-209618.39598170933</v>
      </c>
      <c r="I92" s="216">
        <f t="shared" si="202"/>
        <v>-103236.11092652884</v>
      </c>
      <c r="J92" s="216">
        <f t="shared" si="202"/>
        <v>-29866.38252807199</v>
      </c>
      <c r="K92" s="221">
        <f>SUM(C92:J92)</f>
        <v>-978369.06129440432</v>
      </c>
      <c r="L92" s="218">
        <f t="shared" ref="L92:U92" si="203">L32-L90</f>
        <v>0</v>
      </c>
      <c r="M92" s="216">
        <f t="shared" si="203"/>
        <v>129480.12500851706</v>
      </c>
      <c r="N92" s="216">
        <f t="shared" si="203"/>
        <v>0</v>
      </c>
      <c r="O92" s="216">
        <f t="shared" si="203"/>
        <v>-211039.61708851822</v>
      </c>
      <c r="P92" s="216">
        <f t="shared" si="203"/>
        <v>0</v>
      </c>
      <c r="Q92" s="216">
        <f t="shared" si="203"/>
        <v>-222981.97948332096</v>
      </c>
      <c r="R92" s="216">
        <f t="shared" si="203"/>
        <v>0</v>
      </c>
      <c r="S92" s="216">
        <f t="shared" si="203"/>
        <v>-132404.2484009777</v>
      </c>
      <c r="T92" s="219">
        <f t="shared" si="203"/>
        <v>-436945.71996430075</v>
      </c>
      <c r="U92" s="220">
        <f t="shared" si="203"/>
        <v>-1415314.7812587041</v>
      </c>
      <c r="V92" s="300">
        <v>61</v>
      </c>
      <c r="W92" s="216">
        <f t="shared" ref="W92:AD92" si="204">W32-W90</f>
        <v>4723.6153343239221</v>
      </c>
      <c r="X92" s="216">
        <f t="shared" si="204"/>
        <v>38976.516267529674</v>
      </c>
      <c r="Y92" s="216">
        <f t="shared" si="204"/>
        <v>1847.02477967503</v>
      </c>
      <c r="Z92" s="216">
        <f t="shared" si="204"/>
        <v>57370.287309644518</v>
      </c>
      <c r="AA92" s="216">
        <f t="shared" si="204"/>
        <v>127.58291515591918</v>
      </c>
      <c r="AB92" s="216">
        <f t="shared" si="204"/>
        <v>48582.732237041178</v>
      </c>
      <c r="AC92" s="216">
        <f t="shared" si="204"/>
        <v>13882.64840468116</v>
      </c>
      <c r="AD92" s="216">
        <f t="shared" si="204"/>
        <v>61116.74112905332</v>
      </c>
      <c r="AE92" s="221">
        <f>SUM(W92:AD92)</f>
        <v>226627.14837710469</v>
      </c>
      <c r="AF92" s="218">
        <f t="shared" ref="AF92:AM92" si="205">AF32-AF90</f>
        <v>0</v>
      </c>
      <c r="AG92" s="216">
        <f t="shared" si="205"/>
        <v>6903.1205386609363</v>
      </c>
      <c r="AH92" s="216">
        <f t="shared" si="205"/>
        <v>0</v>
      </c>
      <c r="AI92" s="216">
        <f t="shared" si="205"/>
        <v>28767.146177389717</v>
      </c>
      <c r="AJ92" s="216">
        <f t="shared" si="205"/>
        <v>0</v>
      </c>
      <c r="AK92" s="216">
        <f t="shared" si="205"/>
        <v>72123.824023422247</v>
      </c>
      <c r="AL92" s="216">
        <f t="shared" si="205"/>
        <v>0</v>
      </c>
      <c r="AM92" s="216">
        <f t="shared" si="205"/>
        <v>52511.247289001854</v>
      </c>
      <c r="AN92" s="219">
        <f>SUM(AF92:AM92)</f>
        <v>160305.33802847477</v>
      </c>
      <c r="AO92" s="220">
        <f>AO32-AO90</f>
        <v>386932.48640557961</v>
      </c>
      <c r="AP92" s="300">
        <v>61</v>
      </c>
      <c r="AQ92" s="216">
        <f t="shared" ref="AQ92:AX92" si="206">AQ32-AQ90</f>
        <v>71938.81572051486</v>
      </c>
      <c r="AR92" s="216">
        <f t="shared" si="206"/>
        <v>109351.60708019137</v>
      </c>
      <c r="AS92" s="216">
        <f t="shared" si="206"/>
        <v>255792.52754462184</v>
      </c>
      <c r="AT92" s="216">
        <f t="shared" si="206"/>
        <v>433898.46475393744</v>
      </c>
      <c r="AU92" s="216">
        <f t="shared" si="206"/>
        <v>76981.03058533906</v>
      </c>
      <c r="AV92" s="216">
        <f t="shared" si="206"/>
        <v>423007.19061092613</v>
      </c>
      <c r="AW92" s="216">
        <f t="shared" si="206"/>
        <v>312600.27633750183</v>
      </c>
      <c r="AX92" s="216">
        <f t="shared" si="206"/>
        <v>362464.4485471556</v>
      </c>
      <c r="AY92" s="221">
        <f>SUM(AQ92:AX92)</f>
        <v>2046034.3611801881</v>
      </c>
      <c r="AZ92" s="218">
        <f t="shared" ref="AZ92:BG92" si="207">AZ32-AZ90</f>
        <v>0</v>
      </c>
      <c r="BA92" s="216">
        <f t="shared" si="207"/>
        <v>610195.33373377379</v>
      </c>
      <c r="BB92" s="216">
        <f t="shared" si="207"/>
        <v>0</v>
      </c>
      <c r="BC92" s="216">
        <f t="shared" si="207"/>
        <v>400007.11440123571</v>
      </c>
      <c r="BD92" s="216">
        <f t="shared" si="207"/>
        <v>0</v>
      </c>
      <c r="BE92" s="216">
        <f t="shared" si="207"/>
        <v>499671.23256328749</v>
      </c>
      <c r="BF92" s="216">
        <f t="shared" si="207"/>
        <v>0</v>
      </c>
      <c r="BG92" s="216">
        <f t="shared" si="207"/>
        <v>340478.49003369641</v>
      </c>
      <c r="BH92" s="219">
        <f>SUM(AZ92:BG92)</f>
        <v>1850352.1707319934</v>
      </c>
      <c r="BI92" s="220">
        <f>BI32-BI90</f>
        <v>3896386.5319121741</v>
      </c>
      <c r="BJ92" s="300">
        <v>61</v>
      </c>
      <c r="BK92" s="216">
        <f t="shared" ref="BK92:BR92" si="208">BK32-BK90</f>
        <v>-10997.791006218125</v>
      </c>
      <c r="BL92" s="216">
        <f t="shared" si="208"/>
        <v>6673.8213425210561</v>
      </c>
      <c r="BM92" s="216">
        <f t="shared" si="208"/>
        <v>3185.9789835759511</v>
      </c>
      <c r="BN92" s="216">
        <f t="shared" si="208"/>
        <v>45633.305055508215</v>
      </c>
      <c r="BO92" s="216">
        <f t="shared" si="208"/>
        <v>7952.9240205748138</v>
      </c>
      <c r="BP92" s="216">
        <f t="shared" si="208"/>
        <v>-18535.881704544532</v>
      </c>
      <c r="BQ92" s="216">
        <f t="shared" si="208"/>
        <v>20180.279102728149</v>
      </c>
      <c r="BR92" s="216">
        <f t="shared" si="208"/>
        <v>-27657.703516010311</v>
      </c>
      <c r="BS92" s="221">
        <f>SUM(BK92:BR92)</f>
        <v>26434.932278135217</v>
      </c>
      <c r="BT92" s="218">
        <f t="shared" ref="BT92:CA92" si="209">BT32-BT90</f>
        <v>0</v>
      </c>
      <c r="BU92" s="216">
        <f t="shared" si="209"/>
        <v>86293.06374609159</v>
      </c>
      <c r="BV92" s="216">
        <f t="shared" si="209"/>
        <v>0</v>
      </c>
      <c r="BW92" s="216">
        <f t="shared" si="209"/>
        <v>-2333.1817614945758</v>
      </c>
      <c r="BX92" s="216">
        <f t="shared" si="209"/>
        <v>0</v>
      </c>
      <c r="BY92" s="216">
        <f t="shared" si="209"/>
        <v>55587.004851659105</v>
      </c>
      <c r="BZ92" s="216">
        <f t="shared" si="209"/>
        <v>0</v>
      </c>
      <c r="CA92" s="216">
        <f t="shared" si="209"/>
        <v>10189.531301020557</v>
      </c>
      <c r="CB92" s="219">
        <f>SUM(BT92:CA92)</f>
        <v>149736.41813727669</v>
      </c>
      <c r="CC92" s="220">
        <f>CC32-CC90</f>
        <v>176171.35041541187</v>
      </c>
      <c r="CD92" s="300">
        <v>61</v>
      </c>
      <c r="CE92" s="219">
        <f t="shared" ref="CE92:CS92" si="210">CE32-CE90</f>
        <v>141929.17413434107</v>
      </c>
      <c r="CF92" s="219">
        <f t="shared" si="210"/>
        <v>358735.77201313805</v>
      </c>
      <c r="CG92" s="219">
        <f t="shared" si="210"/>
        <v>210578.23784303199</v>
      </c>
      <c r="CH92" s="219">
        <f t="shared" si="210"/>
        <v>609484.19655050896</v>
      </c>
      <c r="CI92" s="216">
        <f t="shared" si="210"/>
        <v>1320727.3805410191</v>
      </c>
      <c r="CJ92" s="219">
        <f t="shared" si="210"/>
        <v>832871.64302704483</v>
      </c>
      <c r="CK92" s="219">
        <f t="shared" si="210"/>
        <v>215401.46172861289</v>
      </c>
      <c r="CL92" s="219">
        <f t="shared" si="210"/>
        <v>404400.08195504919</v>
      </c>
      <c r="CM92" s="219">
        <f t="shared" si="210"/>
        <v>270775.02022274025</v>
      </c>
      <c r="CN92" s="216">
        <f t="shared" si="210"/>
        <v>-1325077.0991754937</v>
      </c>
      <c r="CO92" s="219">
        <f t="shared" si="210"/>
        <v>974800.81716138311</v>
      </c>
      <c r="CP92" s="219">
        <f t="shared" si="210"/>
        <v>574137.23374175467</v>
      </c>
      <c r="CQ92" s="219">
        <f t="shared" si="210"/>
        <v>614978.31979807653</v>
      </c>
      <c r="CR92" s="219">
        <f t="shared" si="210"/>
        <v>880259.21677325293</v>
      </c>
      <c r="CS92" s="216">
        <f t="shared" si="210"/>
        <v>3044175.5874744579</v>
      </c>
      <c r="CT92" s="318"/>
      <c r="CU92" s="318"/>
      <c r="CV92" s="318"/>
      <c r="CW92" s="318"/>
      <c r="CX92" s="318"/>
      <c r="CY92" s="318"/>
      <c r="CZ92" s="318"/>
      <c r="DA92" s="318"/>
      <c r="DB92" s="318"/>
      <c r="DC92" s="318"/>
      <c r="DD92" s="318"/>
      <c r="DE92" s="318"/>
      <c r="DF92" s="318"/>
      <c r="DG92" s="318"/>
      <c r="DH92" s="318"/>
      <c r="DI92" s="318"/>
      <c r="DJ92" s="318"/>
      <c r="DK92" s="318"/>
      <c r="DL92" s="318"/>
      <c r="DM92" s="318"/>
      <c r="DN92" s="318"/>
      <c r="DO92" s="318"/>
      <c r="DP92" s="318"/>
      <c r="DQ92" s="318"/>
      <c r="DR92" s="318"/>
      <c r="DS92" s="318"/>
      <c r="DT92" s="318"/>
      <c r="DU92" s="318"/>
      <c r="DV92" s="318"/>
      <c r="DW92" s="318"/>
      <c r="DX92" s="318"/>
      <c r="DY92" s="318"/>
      <c r="DZ92" s="318"/>
      <c r="EA92" s="318"/>
    </row>
    <row r="93" spans="1:131" ht="15.75" customHeight="1">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t="s">
        <v>1320</v>
      </c>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t="s">
        <v>1320</v>
      </c>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t="s">
        <v>1320</v>
      </c>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t="s">
        <v>1320</v>
      </c>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131" ht="15.75" customHeight="1">
      <c r="A94" s="135" t="s">
        <v>272</v>
      </c>
      <c r="B94" s="300">
        <v>62</v>
      </c>
      <c r="C94" s="387">
        <f t="shared" ref="C94:U94" si="211">IF((C32-C28)=0,"",C92/(C32-C28))</f>
        <v>5.7335014076495466E-2</v>
      </c>
      <c r="D94" s="387">
        <f t="shared" si="211"/>
        <v>-0.47871063069553865</v>
      </c>
      <c r="E94" s="387">
        <f t="shared" si="211"/>
        <v>-4.2379205552792092</v>
      </c>
      <c r="F94" s="387">
        <f t="shared" si="211"/>
        <v>-1.2708416599732848</v>
      </c>
      <c r="G94" s="387">
        <f t="shared" si="211"/>
        <v>-2.3367587376029442</v>
      </c>
      <c r="H94" s="387">
        <f t="shared" si="211"/>
        <v>-1.0018528157011559</v>
      </c>
      <c r="I94" s="387">
        <f t="shared" si="211"/>
        <v>-1.7840827850873271</v>
      </c>
      <c r="J94" s="387">
        <f t="shared" si="211"/>
        <v>-0.1345579114590541</v>
      </c>
      <c r="K94" s="388">
        <f t="shared" si="211"/>
        <v>-0.98643736928273451</v>
      </c>
      <c r="L94" s="389" t="str">
        <f t="shared" si="211"/>
        <v/>
      </c>
      <c r="M94" s="387">
        <f t="shared" si="211"/>
        <v>0.24852179146976808</v>
      </c>
      <c r="N94" s="387" t="str">
        <f t="shared" si="211"/>
        <v/>
      </c>
      <c r="O94" s="387">
        <f t="shared" si="211"/>
        <v>-0.3810737953361214</v>
      </c>
      <c r="P94" s="387" t="str">
        <f t="shared" si="211"/>
        <v/>
      </c>
      <c r="Q94" s="387">
        <f t="shared" si="211"/>
        <v>-0.37713271666400439</v>
      </c>
      <c r="R94" s="387" t="str">
        <f t="shared" si="211"/>
        <v/>
      </c>
      <c r="S94" s="387">
        <f t="shared" si="211"/>
        <v>-0.20603308430262235</v>
      </c>
      <c r="T94" s="390">
        <f t="shared" si="211"/>
        <v>-0.18926087546386763</v>
      </c>
      <c r="U94" s="389">
        <f t="shared" si="211"/>
        <v>-0.42881618993057757</v>
      </c>
      <c r="V94" s="300">
        <v>62</v>
      </c>
      <c r="W94" s="387">
        <f t="shared" ref="W94:AO94" si="212">IF((W32-W28)=0,"",W92/(W32-W28))</f>
        <v>0.37336169350578524</v>
      </c>
      <c r="X94" s="387">
        <f t="shared" si="212"/>
        <v>0.33721376892588656</v>
      </c>
      <c r="Y94" s="387">
        <f t="shared" si="212"/>
        <v>0.18304155886238571</v>
      </c>
      <c r="Z94" s="387">
        <f t="shared" si="212"/>
        <v>0.54501336933466826</v>
      </c>
      <c r="AA94" s="387">
        <f t="shared" si="212"/>
        <v>5.2982454128707784E-3</v>
      </c>
      <c r="AB94" s="387">
        <f t="shared" si="212"/>
        <v>0.53495785144733499</v>
      </c>
      <c r="AC94" s="387">
        <f t="shared" si="212"/>
        <v>0.57651667653705652</v>
      </c>
      <c r="AD94" s="387">
        <f t="shared" si="212"/>
        <v>0.643713569357235</v>
      </c>
      <c r="AE94" s="388">
        <f t="shared" si="212"/>
        <v>0.47460113438512819</v>
      </c>
      <c r="AF94" s="389" t="str">
        <f t="shared" si="212"/>
        <v/>
      </c>
      <c r="AG94" s="387">
        <f t="shared" si="212"/>
        <v>3.1327411521626165E-2</v>
      </c>
      <c r="AH94" s="387" t="str">
        <f t="shared" si="212"/>
        <v/>
      </c>
      <c r="AI94" s="387">
        <f t="shared" si="212"/>
        <v>0.16171155818712932</v>
      </c>
      <c r="AJ94" s="387" t="str">
        <f t="shared" si="212"/>
        <v/>
      </c>
      <c r="AK94" s="387">
        <f t="shared" si="212"/>
        <v>0.40813621725785004</v>
      </c>
      <c r="AL94" s="387" t="str">
        <f t="shared" si="212"/>
        <v/>
      </c>
      <c r="AM94" s="387">
        <f t="shared" si="212"/>
        <v>0.30017095177740644</v>
      </c>
      <c r="AN94" s="390">
        <f t="shared" si="212"/>
        <v>0.21376935215331661</v>
      </c>
      <c r="AO94" s="389">
        <f t="shared" si="212"/>
        <v>0.31524322596013948</v>
      </c>
      <c r="AP94" s="300">
        <v>62</v>
      </c>
      <c r="AQ94" s="387">
        <f t="shared" ref="AQ94:BI94" si="213">IF((AQ32-AQ28)=0,"",AQ92/(AQ32-AQ28))</f>
        <v>4.9453534752345603E-2</v>
      </c>
      <c r="AR94" s="387">
        <f t="shared" si="213"/>
        <v>3.4823341358991892E-2</v>
      </c>
      <c r="AS94" s="387">
        <f t="shared" si="213"/>
        <v>0.1631992746394571</v>
      </c>
      <c r="AT94" s="387">
        <f t="shared" si="213"/>
        <v>0.12948682338704171</v>
      </c>
      <c r="AU94" s="387">
        <f t="shared" si="213"/>
        <v>4.6127217213063482E-2</v>
      </c>
      <c r="AV94" s="387">
        <f t="shared" si="213"/>
        <v>0.1131350567946478</v>
      </c>
      <c r="AW94" s="387">
        <f t="shared" si="213"/>
        <v>0.13048342984312347</v>
      </c>
      <c r="AX94" s="387">
        <f t="shared" si="213"/>
        <v>8.8082486787452216E-2</v>
      </c>
      <c r="AY94" s="388">
        <f t="shared" si="213"/>
        <v>9.5467504479717413E-2</v>
      </c>
      <c r="AZ94" s="389" t="str">
        <f t="shared" si="213"/>
        <v/>
      </c>
      <c r="BA94" s="387">
        <f t="shared" si="213"/>
        <v>0.18290083966254325</v>
      </c>
      <c r="BB94" s="387" t="str">
        <f t="shared" si="213"/>
        <v/>
      </c>
      <c r="BC94" s="387">
        <f t="shared" si="213"/>
        <v>0.12516519681243754</v>
      </c>
      <c r="BD94" s="387" t="str">
        <f t="shared" si="213"/>
        <v/>
      </c>
      <c r="BE94" s="387">
        <f t="shared" si="213"/>
        <v>0.14016042494829509</v>
      </c>
      <c r="BF94" s="387" t="str">
        <f t="shared" si="213"/>
        <v/>
      </c>
      <c r="BG94" s="387">
        <f t="shared" si="213"/>
        <v>9.1039535993911902E-2</v>
      </c>
      <c r="BH94" s="390">
        <f t="shared" si="213"/>
        <v>0.1337255902727541</v>
      </c>
      <c r="BI94" s="389">
        <f t="shared" si="213"/>
        <v>0.11047727398426732</v>
      </c>
      <c r="BJ94" s="300">
        <v>62</v>
      </c>
      <c r="BK94" s="387">
        <f t="shared" ref="BK94:CC94" si="214">IF((BK32-BK28)=0,"",BK92/(BK32-BK28))</f>
        <v>-0.17038940473542658</v>
      </c>
      <c r="BL94" s="387">
        <f t="shared" si="214"/>
        <v>1.336233346382705E-2</v>
      </c>
      <c r="BM94" s="387">
        <f t="shared" si="214"/>
        <v>4.9224403030705265E-2</v>
      </c>
      <c r="BN94" s="387">
        <f t="shared" si="214"/>
        <v>0.11971262499000208</v>
      </c>
      <c r="BO94" s="387">
        <f t="shared" si="214"/>
        <v>0.1188541716221963</v>
      </c>
      <c r="BP94" s="387">
        <f t="shared" si="214"/>
        <v>-5.2506049261279511E-2</v>
      </c>
      <c r="BQ94" s="387">
        <f t="shared" si="214"/>
        <v>0.38091073778149059</v>
      </c>
      <c r="BR94" s="387">
        <f t="shared" si="214"/>
        <v>-7.9711188550426207E-2</v>
      </c>
      <c r="BS94" s="388">
        <f t="shared" si="214"/>
        <v>1.4446902714681877E-2</v>
      </c>
      <c r="BT94" s="389" t="str">
        <f t="shared" si="214"/>
        <v/>
      </c>
      <c r="BU94" s="387">
        <f t="shared" si="214"/>
        <v>0.39332862089404252</v>
      </c>
      <c r="BV94" s="387" t="str">
        <f t="shared" si="214"/>
        <v/>
      </c>
      <c r="BW94" s="387">
        <f t="shared" si="214"/>
        <v>-1.1809371246416961E-2</v>
      </c>
      <c r="BX94" s="387" t="str">
        <f t="shared" si="214"/>
        <v/>
      </c>
      <c r="BY94" s="387">
        <f t="shared" si="214"/>
        <v>0.29990569767350944</v>
      </c>
      <c r="BZ94" s="387" t="str">
        <f t="shared" si="214"/>
        <v/>
      </c>
      <c r="CA94" s="387">
        <f t="shared" si="214"/>
        <v>6.5137694487564041E-2</v>
      </c>
      <c r="CB94" s="390">
        <f t="shared" si="214"/>
        <v>0.19734851162653547</v>
      </c>
      <c r="CC94" s="389">
        <f t="shared" si="214"/>
        <v>6.8058182258281072E-2</v>
      </c>
      <c r="CD94" s="300">
        <v>62</v>
      </c>
      <c r="CE94" s="390">
        <f t="shared" ref="CE94:CS94" si="215">IF((CE32-CE28)=0,"",CE92/(CE32-CE28))</f>
        <v>2.5774563900882404E-2</v>
      </c>
      <c r="CF94" s="390">
        <f t="shared" si="215"/>
        <v>6.2799807017035109E-2</v>
      </c>
      <c r="CG94" s="390">
        <f t="shared" si="215"/>
        <v>3.3951256562991014E-2</v>
      </c>
      <c r="CH94" s="390">
        <f t="shared" si="215"/>
        <v>8.3381708692167142E-2</v>
      </c>
      <c r="CI94" s="423">
        <f t="shared" si="215"/>
        <v>5.3404006663948934E-2</v>
      </c>
      <c r="CJ94" s="390">
        <f t="shared" si="215"/>
        <v>0.19382832114186616</v>
      </c>
      <c r="CK94" s="390">
        <f t="shared" si="215"/>
        <v>5.2217296246515318E-2</v>
      </c>
      <c r="CL94" s="390">
        <f t="shared" si="215"/>
        <v>8.9502420288124149E-2</v>
      </c>
      <c r="CM94" s="390">
        <f t="shared" si="215"/>
        <v>5.7441809040979203E-2</v>
      </c>
      <c r="CN94" s="423" t="str">
        <f t="shared" si="215"/>
        <v/>
      </c>
      <c r="CO94" s="390">
        <f t="shared" si="215"/>
        <v>9.943380657023837E-2</v>
      </c>
      <c r="CP94" s="390">
        <f t="shared" si="215"/>
        <v>5.8362294132945434E-2</v>
      </c>
      <c r="CQ94" s="390">
        <f t="shared" si="215"/>
        <v>5.7363720570261331E-2</v>
      </c>
      <c r="CR94" s="390">
        <f t="shared" si="215"/>
        <v>7.3211754157761669E-2</v>
      </c>
      <c r="CS94" s="423">
        <f t="shared" si="215"/>
        <v>7.1821772280797364E-2</v>
      </c>
    </row>
    <row r="95" spans="1:131" s="317" customFormat="1" ht="15.75" customHeight="1">
      <c r="A95" s="135" t="s">
        <v>274</v>
      </c>
      <c r="B95" s="300">
        <v>63</v>
      </c>
      <c r="C95" s="392">
        <f>IF((C32-C28-C25)=0,"",(C73+C66-C64)/(C32-C28-C25))</f>
        <v>0.85804214830011194</v>
      </c>
      <c r="D95" s="392">
        <f t="shared" ref="D95:U95" si="216">IF((D32-D28-D25)=0,"",(D73+D66-D64)/(D32-D28-D25))</f>
        <v>1.394087793072146</v>
      </c>
      <c r="E95" s="392">
        <f t="shared" si="216"/>
        <v>5.1441271230805929</v>
      </c>
      <c r="F95" s="392">
        <f t="shared" si="216"/>
        <v>2.1770482277746686</v>
      </c>
      <c r="G95" s="392">
        <f t="shared" si="216"/>
        <v>3.240054191275378</v>
      </c>
      <c r="H95" s="392">
        <f t="shared" si="216"/>
        <v>1.9051482693735895</v>
      </c>
      <c r="I95" s="392">
        <f t="shared" si="216"/>
        <v>2.68741246784835</v>
      </c>
      <c r="J95" s="392">
        <f t="shared" si="216"/>
        <v>1.0378875942200767</v>
      </c>
      <c r="K95" s="388">
        <f t="shared" si="216"/>
        <v>1.8930993356979684</v>
      </c>
      <c r="L95" s="393" t="str">
        <f t="shared" si="216"/>
        <v/>
      </c>
      <c r="M95" s="392">
        <f t="shared" si="216"/>
        <v>0.67706041809963458</v>
      </c>
      <c r="N95" s="392" t="str">
        <f t="shared" si="216"/>
        <v/>
      </c>
      <c r="O95" s="392">
        <f t="shared" si="216"/>
        <v>1.2982921576540862</v>
      </c>
      <c r="P95" s="392" t="str">
        <f t="shared" si="216"/>
        <v/>
      </c>
      <c r="Q95" s="392">
        <f t="shared" si="216"/>
        <v>1.2935538236247452</v>
      </c>
      <c r="R95" s="392" t="str">
        <f t="shared" si="216"/>
        <v/>
      </c>
      <c r="S95" s="392">
        <f t="shared" si="216"/>
        <v>1.1253315451861272</v>
      </c>
      <c r="T95" s="390">
        <f t="shared" si="216"/>
        <v>1.1087415272957621</v>
      </c>
      <c r="U95" s="394">
        <f t="shared" si="216"/>
        <v>1.3444447660429193</v>
      </c>
      <c r="V95" s="300">
        <v>63</v>
      </c>
      <c r="W95" s="392">
        <f>IF((W32-W28-W25)=0,"",(W73+W66-W64)/(W32-W28-W25))</f>
        <v>0.54201546887082219</v>
      </c>
      <c r="X95" s="392">
        <f t="shared" ref="X95:AO95" si="217">IF((X32-X28-X25)=0,"",(X73+X66-X64)/(X32-X28-X25))</f>
        <v>0.57816339345072076</v>
      </c>
      <c r="Y95" s="392">
        <f t="shared" si="217"/>
        <v>0.72316500893899804</v>
      </c>
      <c r="Z95" s="392">
        <f t="shared" si="217"/>
        <v>0.36119319846671555</v>
      </c>
      <c r="AA95" s="392">
        <f t="shared" si="217"/>
        <v>0.89799720825956264</v>
      </c>
      <c r="AB95" s="392">
        <f t="shared" si="217"/>
        <v>0.36833760222509848</v>
      </c>
      <c r="AC95" s="392">
        <f t="shared" si="217"/>
        <v>0.3268130062239662</v>
      </c>
      <c r="AD95" s="392">
        <f t="shared" si="217"/>
        <v>0.25961611340378771</v>
      </c>
      <c r="AE95" s="388">
        <f t="shared" si="217"/>
        <v>0.43265064862132246</v>
      </c>
      <c r="AF95" s="393" t="str">
        <f t="shared" si="217"/>
        <v/>
      </c>
      <c r="AG95" s="392">
        <f t="shared" si="217"/>
        <v>0.89692704267331669</v>
      </c>
      <c r="AH95" s="392" t="str">
        <f t="shared" si="217"/>
        <v/>
      </c>
      <c r="AI95" s="392">
        <f t="shared" si="217"/>
        <v>0.75863467515624128</v>
      </c>
      <c r="AJ95" s="392" t="str">
        <f t="shared" si="217"/>
        <v/>
      </c>
      <c r="AK95" s="392">
        <f t="shared" si="217"/>
        <v>0.52172676983096888</v>
      </c>
      <c r="AL95" s="392" t="str">
        <f t="shared" si="217"/>
        <v/>
      </c>
      <c r="AM95" s="392">
        <f t="shared" si="217"/>
        <v>0.62441720123748212</v>
      </c>
      <c r="AN95" s="390">
        <f t="shared" si="217"/>
        <v>0.71213287786387858</v>
      </c>
      <c r="AO95" s="394">
        <f t="shared" si="217"/>
        <v>0.60340324292926828</v>
      </c>
      <c r="AP95" s="300">
        <v>63</v>
      </c>
      <c r="AQ95" s="392">
        <f>IF((AQ32-AQ28-AQ25)=0,"",(AQ73+AQ66-AQ64)/(AQ32-AQ28-AQ25))</f>
        <v>0.86592362762426167</v>
      </c>
      <c r="AR95" s="392">
        <f t="shared" ref="AR95:BI95" si="218">IF((AR32-AR28-AR25)=0,"",(AR73+AR66-AR64)/(AR32-AR28-AR25))</f>
        <v>0.88055382101761548</v>
      </c>
      <c r="AS95" s="392">
        <f t="shared" si="218"/>
        <v>0.7430072931619266</v>
      </c>
      <c r="AT95" s="392">
        <f t="shared" si="218"/>
        <v>0.77671974441434211</v>
      </c>
      <c r="AU95" s="392">
        <f t="shared" si="218"/>
        <v>0.85716823645937001</v>
      </c>
      <c r="AV95" s="392">
        <f t="shared" si="218"/>
        <v>0.79016039687778572</v>
      </c>
      <c r="AW95" s="392">
        <f t="shared" si="218"/>
        <v>0.77284625291789932</v>
      </c>
      <c r="AX95" s="392">
        <f t="shared" si="218"/>
        <v>0.81524719597357054</v>
      </c>
      <c r="AY95" s="388">
        <f t="shared" si="218"/>
        <v>0.81109666346579745</v>
      </c>
      <c r="AZ95" s="393" t="str">
        <f t="shared" si="218"/>
        <v/>
      </c>
      <c r="BA95" s="392">
        <f t="shared" si="218"/>
        <v>0.74911412193611304</v>
      </c>
      <c r="BB95" s="392" t="str">
        <f t="shared" si="218"/>
        <v/>
      </c>
      <c r="BC95" s="392">
        <f t="shared" si="218"/>
        <v>0.80260054845062145</v>
      </c>
      <c r="BD95" s="392" t="str">
        <f t="shared" si="218"/>
        <v/>
      </c>
      <c r="BE95" s="392">
        <f t="shared" si="218"/>
        <v>0.78236578924414002</v>
      </c>
      <c r="BF95" s="392" t="str">
        <f t="shared" si="218"/>
        <v/>
      </c>
      <c r="BG95" s="392">
        <f t="shared" si="218"/>
        <v>0.83124025057924766</v>
      </c>
      <c r="BH95" s="390">
        <f t="shared" si="218"/>
        <v>0.79223198334663791</v>
      </c>
      <c r="BI95" s="394">
        <f t="shared" si="218"/>
        <v>0.80369549598717804</v>
      </c>
      <c r="BJ95" s="300">
        <v>63</v>
      </c>
      <c r="BK95" s="392">
        <f>IF((BK32-BK28-BK25)=0,"",(BK73+BK66-BK64)/(BK32-BK28-BK25))</f>
        <v>1.1757035831946425</v>
      </c>
      <c r="BL95" s="392">
        <f t="shared" ref="BL95:CS95" si="219">IF((BL32-BL28-BL25)=0,"",(BL73+BL66-BL64)/(BL32-BL28-BL25))</f>
        <v>0.97783168723698077</v>
      </c>
      <c r="BM95" s="392">
        <f t="shared" si="219"/>
        <v>0.93287511550105229</v>
      </c>
      <c r="BN95" s="392">
        <f t="shared" si="219"/>
        <v>0.85676037223296198</v>
      </c>
      <c r="BO95" s="392">
        <f t="shared" si="219"/>
        <v>0.85633801927023734</v>
      </c>
      <c r="BP95" s="392">
        <f t="shared" si="219"/>
        <v>1.0416803080181234</v>
      </c>
      <c r="BQ95" s="392">
        <f t="shared" si="219"/>
        <v>0.72413141790025104</v>
      </c>
      <c r="BR95" s="392">
        <f t="shared" si="219"/>
        <v>1.3348337825666354</v>
      </c>
      <c r="BS95" s="388">
        <f t="shared" si="219"/>
        <v>1.0165873871493696</v>
      </c>
      <c r="BT95" s="393" t="str">
        <f t="shared" si="219"/>
        <v/>
      </c>
      <c r="BU95" s="392">
        <f t="shared" si="219"/>
        <v>0.53382110798019877</v>
      </c>
      <c r="BV95" s="392" t="str">
        <f t="shared" si="219"/>
        <v/>
      </c>
      <c r="BW95" s="392">
        <f t="shared" si="219"/>
        <v>0.93099967512511406</v>
      </c>
      <c r="BX95" s="392" t="str">
        <f t="shared" si="219"/>
        <v/>
      </c>
      <c r="BY95" s="392">
        <f t="shared" si="219"/>
        <v>0.62017255879767808</v>
      </c>
      <c r="BZ95" s="392" t="str">
        <f t="shared" si="219"/>
        <v/>
      </c>
      <c r="CA95" s="392">
        <f t="shared" si="219"/>
        <v>0.85601103191033556</v>
      </c>
      <c r="CB95" s="390">
        <f t="shared" si="219"/>
        <v>0.72476396197440884</v>
      </c>
      <c r="CC95" s="394">
        <f t="shared" si="219"/>
        <v>0.92376358880326392</v>
      </c>
      <c r="CD95" s="300">
        <v>63</v>
      </c>
      <c r="CE95" s="390">
        <f t="shared" ref="CE95:CN95" si="220">IF((CE32-CE28-CE25)=0,"",(CE73+CE66-CE64)/(CE32-CE28-CE25))</f>
        <v>0.8967755173505102</v>
      </c>
      <c r="CF95" s="390">
        <f t="shared" si="220"/>
        <v>0.84884616802682833</v>
      </c>
      <c r="CG95" s="390">
        <f t="shared" si="220"/>
        <v>0.87430379403011105</v>
      </c>
      <c r="CH95" s="390">
        <f t="shared" si="220"/>
        <v>0.83244134510201417</v>
      </c>
      <c r="CI95" s="391">
        <f t="shared" si="220"/>
        <v>0.86110937741433236</v>
      </c>
      <c r="CJ95" s="390">
        <f t="shared" si="220"/>
        <v>0.73696542559682365</v>
      </c>
      <c r="CK95" s="390">
        <f t="shared" si="220"/>
        <v>0.87340176309340911</v>
      </c>
      <c r="CL95" s="390">
        <f t="shared" si="220"/>
        <v>0.83241142227690612</v>
      </c>
      <c r="CM95" s="390">
        <f t="shared" si="220"/>
        <v>0.86447967162140293</v>
      </c>
      <c r="CN95" s="391" t="str">
        <f t="shared" si="220"/>
        <v/>
      </c>
      <c r="CO95" s="390">
        <f t="shared" si="219"/>
        <v>0.82644078812282651</v>
      </c>
      <c r="CP95" s="390">
        <f t="shared" si="219"/>
        <v>0.85917756421454339</v>
      </c>
      <c r="CQ95" s="390">
        <f t="shared" si="219"/>
        <v>0.85659560482806762</v>
      </c>
      <c r="CR95" s="390">
        <f t="shared" si="219"/>
        <v>0.84510576715573815</v>
      </c>
      <c r="CS95" s="391">
        <f t="shared" si="219"/>
        <v>0.84696795532902991</v>
      </c>
    </row>
    <row r="96" spans="1:131" s="317" customFormat="1" ht="15.75" customHeight="1">
      <c r="A96" s="135" t="s">
        <v>276</v>
      </c>
      <c r="B96" s="300">
        <v>64</v>
      </c>
      <c r="C96" s="392">
        <f>IF((C32-C28)=0,"",(C73)/(C32-C28))</f>
        <v>3.720523199284026E-2</v>
      </c>
      <c r="D96" s="392">
        <f t="shared" ref="D96:U96" si="221">IF((D32-D28)=0,"",(D73)/(D32-D28))</f>
        <v>3.720523199284026E-2</v>
      </c>
      <c r="E96" s="392">
        <f t="shared" si="221"/>
        <v>4.0473652490409885E-2</v>
      </c>
      <c r="F96" s="392">
        <f t="shared" si="221"/>
        <v>4.0473652490409885E-2</v>
      </c>
      <c r="G96" s="392">
        <f t="shared" si="221"/>
        <v>3.8211887225006465E-2</v>
      </c>
      <c r="H96" s="392">
        <f t="shared" si="221"/>
        <v>3.8211887225006458E-2</v>
      </c>
      <c r="I96" s="392">
        <f t="shared" si="221"/>
        <v>3.7631832553010017E-2</v>
      </c>
      <c r="J96" s="392">
        <f t="shared" si="221"/>
        <v>3.7631832553010017E-2</v>
      </c>
      <c r="K96" s="388">
        <f t="shared" si="221"/>
        <v>3.8356430812457903E-2</v>
      </c>
      <c r="L96" s="393" t="str">
        <f t="shared" si="221"/>
        <v/>
      </c>
      <c r="M96" s="392">
        <f t="shared" si="221"/>
        <v>3.1658030361193225E-2</v>
      </c>
      <c r="N96" s="392" t="str">
        <f t="shared" si="221"/>
        <v/>
      </c>
      <c r="O96" s="392">
        <f t="shared" si="221"/>
        <v>3.4744977280574275E-2</v>
      </c>
      <c r="P96" s="392" t="str">
        <f t="shared" si="221"/>
        <v/>
      </c>
      <c r="Q96" s="392">
        <f t="shared" si="221"/>
        <v>3.2100478516104217E-2</v>
      </c>
      <c r="R96" s="392" t="str">
        <f t="shared" si="221"/>
        <v/>
      </c>
      <c r="S96" s="392">
        <f t="shared" si="221"/>
        <v>3.0579335209250245E-2</v>
      </c>
      <c r="T96" s="390">
        <f t="shared" si="221"/>
        <v>3.2211568436667559E-2</v>
      </c>
      <c r="U96" s="394">
        <f t="shared" si="221"/>
        <v>3.4058128703058937E-2</v>
      </c>
      <c r="V96" s="300">
        <v>64</v>
      </c>
      <c r="W96" s="392">
        <f t="shared" ref="W96:AO96" si="222">IF((W32-W28)=0,"",(W73)/(W32-W28))</f>
        <v>3.7205231992840267E-2</v>
      </c>
      <c r="X96" s="392">
        <f t="shared" si="222"/>
        <v>3.720523199284026E-2</v>
      </c>
      <c r="Y96" s="392">
        <f t="shared" si="222"/>
        <v>4.0473652490409885E-2</v>
      </c>
      <c r="Z96" s="392">
        <f t="shared" si="222"/>
        <v>4.0473652490409885E-2</v>
      </c>
      <c r="AA96" s="392">
        <f t="shared" si="222"/>
        <v>3.8211887225006458E-2</v>
      </c>
      <c r="AB96" s="392">
        <f t="shared" si="222"/>
        <v>3.8211887225006458E-2</v>
      </c>
      <c r="AC96" s="392">
        <f t="shared" si="222"/>
        <v>3.7631832553010017E-2</v>
      </c>
      <c r="AD96" s="392">
        <f t="shared" si="222"/>
        <v>3.7631832553010017E-2</v>
      </c>
      <c r="AE96" s="388">
        <f t="shared" si="222"/>
        <v>3.8343351847255062E-2</v>
      </c>
      <c r="AF96" s="393" t="str">
        <f t="shared" si="222"/>
        <v/>
      </c>
      <c r="AG96" s="392">
        <f t="shared" si="222"/>
        <v>3.0521232278390906E-2</v>
      </c>
      <c r="AH96" s="392" t="str">
        <f t="shared" si="222"/>
        <v/>
      </c>
      <c r="AI96" s="392">
        <f t="shared" si="222"/>
        <v>3.3432152229543918E-2</v>
      </c>
      <c r="AJ96" s="392" t="str">
        <f t="shared" si="222"/>
        <v/>
      </c>
      <c r="AK96" s="392">
        <f t="shared" si="222"/>
        <v>2.6937802048676771E-2</v>
      </c>
      <c r="AL96" s="392" t="str">
        <f t="shared" si="222"/>
        <v/>
      </c>
      <c r="AM96" s="392">
        <f t="shared" si="222"/>
        <v>2.8574971096617729E-2</v>
      </c>
      <c r="AN96" s="390">
        <f t="shared" si="222"/>
        <v>2.9913293715340666E-2</v>
      </c>
      <c r="AO96" s="394">
        <f t="shared" si="222"/>
        <v>3.3192919563627077E-2</v>
      </c>
      <c r="AP96" s="300">
        <v>64</v>
      </c>
      <c r="AQ96" s="392">
        <f t="shared" ref="AQ96:BI96" si="223">IF((AQ32-AQ28)=0,"",(AQ73)/(AQ32-AQ28))</f>
        <v>3.720523199284026E-2</v>
      </c>
      <c r="AR96" s="392">
        <f t="shared" si="223"/>
        <v>3.7205231992840267E-2</v>
      </c>
      <c r="AS96" s="392">
        <f t="shared" si="223"/>
        <v>4.0473652490409885E-2</v>
      </c>
      <c r="AT96" s="392">
        <f t="shared" si="223"/>
        <v>4.0473652490409892E-2</v>
      </c>
      <c r="AU96" s="392">
        <f t="shared" si="223"/>
        <v>3.8211887225006458E-2</v>
      </c>
      <c r="AV96" s="392">
        <f t="shared" si="223"/>
        <v>3.8211887225006465E-2</v>
      </c>
      <c r="AW96" s="392">
        <f t="shared" si="223"/>
        <v>3.7631832553010024E-2</v>
      </c>
      <c r="AX96" s="392">
        <f t="shared" si="223"/>
        <v>3.7631832553010017E-2</v>
      </c>
      <c r="AY96" s="388">
        <f t="shared" si="223"/>
        <v>3.8338892303999318E-2</v>
      </c>
      <c r="AZ96" s="393" t="str">
        <f t="shared" si="223"/>
        <v/>
      </c>
      <c r="BA96" s="392">
        <f t="shared" si="223"/>
        <v>2.8921476939359748E-2</v>
      </c>
      <c r="BB96" s="392" t="str">
        <f t="shared" si="223"/>
        <v/>
      </c>
      <c r="BC96" s="392">
        <f t="shared" si="223"/>
        <v>3.0318046489419562E-2</v>
      </c>
      <c r="BD96" s="392" t="str">
        <f t="shared" si="223"/>
        <v/>
      </c>
      <c r="BE96" s="392">
        <f t="shared" si="223"/>
        <v>2.9755665652437081E-2</v>
      </c>
      <c r="BF96" s="392" t="str">
        <f t="shared" si="223"/>
        <v/>
      </c>
      <c r="BG96" s="392">
        <f t="shared" si="223"/>
        <v>2.9449654677379661E-2</v>
      </c>
      <c r="BH96" s="390">
        <f t="shared" si="223"/>
        <v>2.9601715251034687E-2</v>
      </c>
      <c r="BI96" s="394">
        <f t="shared" si="223"/>
        <v>3.4911041407462484E-2</v>
      </c>
      <c r="BJ96" s="300">
        <v>64</v>
      </c>
      <c r="BK96" s="392">
        <f t="shared" ref="BK96:CC96" si="224">IF((BK32-BK28)=0,"",(BK73)/(BK32-BK28))</f>
        <v>3.4550263015894277E-2</v>
      </c>
      <c r="BL96" s="392">
        <f t="shared" si="224"/>
        <v>3.4550263015894277E-2</v>
      </c>
      <c r="BM96" s="392">
        <f t="shared" si="224"/>
        <v>3.7481776561985605E-2</v>
      </c>
      <c r="BN96" s="392">
        <f t="shared" si="224"/>
        <v>3.7481776561985612E-2</v>
      </c>
      <c r="BO96" s="392">
        <f t="shared" si="224"/>
        <v>3.5329214285027853E-2</v>
      </c>
      <c r="BP96" s="392">
        <f t="shared" si="224"/>
        <v>3.532921428502786E-2</v>
      </c>
      <c r="BQ96" s="392">
        <f t="shared" si="224"/>
        <v>2.8383789231660957E-2</v>
      </c>
      <c r="BR96" s="392">
        <f t="shared" si="224"/>
        <v>2.8383789231660954E-2</v>
      </c>
      <c r="BS96" s="388">
        <f t="shared" si="224"/>
        <v>3.4095575997906205E-2</v>
      </c>
      <c r="BT96" s="393" t="str">
        <f t="shared" si="224"/>
        <v/>
      </c>
      <c r="BU96" s="392">
        <f t="shared" si="224"/>
        <v>3.099119285557525E-2</v>
      </c>
      <c r="BV96" s="392" t="str">
        <f t="shared" si="224"/>
        <v/>
      </c>
      <c r="BW96" s="392">
        <f t="shared" si="224"/>
        <v>3.3917317105627835E-2</v>
      </c>
      <c r="BX96" s="392" t="str">
        <f t="shared" si="224"/>
        <v/>
      </c>
      <c r="BY96" s="392">
        <f t="shared" si="224"/>
        <v>3.0695862529683704E-2</v>
      </c>
      <c r="BZ96" s="392" t="str">
        <f t="shared" si="224"/>
        <v/>
      </c>
      <c r="CA96" s="392">
        <f t="shared" si="224"/>
        <v>2.9878234709678424E-2</v>
      </c>
      <c r="CB96" s="390">
        <f t="shared" si="224"/>
        <v>3.1451528701531992E-2</v>
      </c>
      <c r="CC96" s="394">
        <f t="shared" si="224"/>
        <v>3.332056499840904E-2</v>
      </c>
      <c r="CD96" s="300">
        <v>64</v>
      </c>
      <c r="CE96" s="390">
        <f t="shared" ref="CE96:CS96" si="225">IF((CE32-CE28)=0,"",(CE73)/(CE32-CE28))</f>
        <v>3.6933303565968897E-2</v>
      </c>
      <c r="CF96" s="390">
        <f t="shared" si="225"/>
        <v>4.0240103339246207E-2</v>
      </c>
      <c r="CG96" s="390">
        <f t="shared" si="225"/>
        <v>3.8016713249318199E-2</v>
      </c>
      <c r="CH96" s="390">
        <f t="shared" si="225"/>
        <v>3.7125813238218661E-2</v>
      </c>
      <c r="CI96" s="391">
        <f t="shared" si="225"/>
        <v>3.802572525471401E-2</v>
      </c>
      <c r="CJ96" s="390">
        <f t="shared" si="225"/>
        <v>2.9440993265908245E-2</v>
      </c>
      <c r="CK96" s="390">
        <f t="shared" si="225"/>
        <v>3.1219050090173707E-2</v>
      </c>
      <c r="CL96" s="390">
        <f t="shared" si="225"/>
        <v>2.9990861663709317E-2</v>
      </c>
      <c r="CM96" s="390">
        <f t="shared" si="225"/>
        <v>2.9585423544653652E-2</v>
      </c>
      <c r="CN96" s="391" t="str">
        <f t="shared" si="225"/>
        <v/>
      </c>
      <c r="CO96" s="390">
        <f t="shared" si="225"/>
        <v>3.3649366856628268E-2</v>
      </c>
      <c r="CP96" s="390">
        <f t="shared" si="225"/>
        <v>3.6457348859814158E-2</v>
      </c>
      <c r="CQ96" s="390">
        <f t="shared" si="225"/>
        <v>3.4634156543476395E-2</v>
      </c>
      <c r="CR96" s="390">
        <f t="shared" si="225"/>
        <v>3.4169540415792912E-2</v>
      </c>
      <c r="CS96" s="391">
        <f t="shared" si="225"/>
        <v>3.4697737777271614E-2</v>
      </c>
    </row>
    <row r="97" spans="1:102" ht="15.75" customHeight="1">
      <c r="A97" s="135" t="s">
        <v>278</v>
      </c>
      <c r="B97" s="300">
        <v>65</v>
      </c>
      <c r="C97" s="392">
        <f t="shared" ref="C97:U97" si="226">IF((C32-C28)=0,"",C88/(C32-C28))</f>
        <v>8.4622837623392635E-2</v>
      </c>
      <c r="D97" s="392">
        <f t="shared" si="226"/>
        <v>8.4622837623392635E-2</v>
      </c>
      <c r="E97" s="392">
        <f t="shared" si="226"/>
        <v>9.3793432198616203E-2</v>
      </c>
      <c r="F97" s="392">
        <f t="shared" si="226"/>
        <v>9.3793432198616203E-2</v>
      </c>
      <c r="G97" s="392">
        <f t="shared" si="226"/>
        <v>9.670454632756649E-2</v>
      </c>
      <c r="H97" s="392">
        <f t="shared" si="226"/>
        <v>9.670454632756649E-2</v>
      </c>
      <c r="I97" s="392">
        <f t="shared" si="226"/>
        <v>9.6670317238977316E-2</v>
      </c>
      <c r="J97" s="392">
        <f t="shared" si="226"/>
        <v>9.667031723897733E-2</v>
      </c>
      <c r="K97" s="395">
        <f t="shared" si="226"/>
        <v>9.3338033584766306E-2</v>
      </c>
      <c r="L97" s="393" t="str">
        <f t="shared" si="226"/>
        <v/>
      </c>
      <c r="M97" s="392">
        <f t="shared" si="226"/>
        <v>7.4417790430597361E-2</v>
      </c>
      <c r="N97" s="392" t="str">
        <f t="shared" si="226"/>
        <v/>
      </c>
      <c r="O97" s="392">
        <f t="shared" si="226"/>
        <v>8.2781637682035253E-2</v>
      </c>
      <c r="P97" s="392" t="str">
        <f t="shared" si="226"/>
        <v/>
      </c>
      <c r="Q97" s="392">
        <f t="shared" si="226"/>
        <v>8.3578893039259097E-2</v>
      </c>
      <c r="R97" s="392" t="str">
        <f t="shared" si="226"/>
        <v/>
      </c>
      <c r="S97" s="392">
        <f t="shared" si="226"/>
        <v>8.070153911649508E-2</v>
      </c>
      <c r="T97" s="396">
        <f t="shared" si="226"/>
        <v>8.0519348168105548E-2</v>
      </c>
      <c r="U97" s="393">
        <f t="shared" si="226"/>
        <v>8.4371423887658503E-2</v>
      </c>
      <c r="V97" s="300">
        <v>65</v>
      </c>
      <c r="W97" s="392">
        <f t="shared" ref="W97:AO97" si="227">IF((W32-W28)=0,"",W88/(W32-W28))</f>
        <v>8.4622837623392635E-2</v>
      </c>
      <c r="X97" s="392">
        <f t="shared" si="227"/>
        <v>8.4622837623392649E-2</v>
      </c>
      <c r="Y97" s="392">
        <f t="shared" si="227"/>
        <v>9.3793432198616203E-2</v>
      </c>
      <c r="Z97" s="392">
        <f t="shared" si="227"/>
        <v>9.3793432198616203E-2</v>
      </c>
      <c r="AA97" s="392">
        <f t="shared" si="227"/>
        <v>9.6704546327566476E-2</v>
      </c>
      <c r="AB97" s="392">
        <f t="shared" si="227"/>
        <v>9.6704546327566462E-2</v>
      </c>
      <c r="AC97" s="392">
        <f t="shared" si="227"/>
        <v>9.667031723897733E-2</v>
      </c>
      <c r="AD97" s="392">
        <f t="shared" si="227"/>
        <v>9.6670317238977316E-2</v>
      </c>
      <c r="AE97" s="395">
        <f t="shared" si="227"/>
        <v>9.2748216993549362E-2</v>
      </c>
      <c r="AF97" s="393" t="str">
        <f t="shared" si="227"/>
        <v/>
      </c>
      <c r="AG97" s="392">
        <f t="shared" si="227"/>
        <v>7.174554580505714E-2</v>
      </c>
      <c r="AH97" s="392" t="str">
        <f t="shared" si="227"/>
        <v/>
      </c>
      <c r="AI97" s="392">
        <f t="shared" si="227"/>
        <v>7.9653766656629349E-2</v>
      </c>
      <c r="AJ97" s="392" t="str">
        <f t="shared" si="227"/>
        <v/>
      </c>
      <c r="AK97" s="392">
        <f t="shared" si="227"/>
        <v>7.0137012911181046E-2</v>
      </c>
      <c r="AL97" s="392" t="str">
        <f t="shared" si="227"/>
        <v/>
      </c>
      <c r="AM97" s="392">
        <f t="shared" si="227"/>
        <v>7.5411846985111483E-2</v>
      </c>
      <c r="AN97" s="396">
        <f t="shared" si="227"/>
        <v>7.4097769982804623E-2</v>
      </c>
      <c r="AO97" s="393">
        <f t="shared" si="227"/>
        <v>8.135353111059225E-2</v>
      </c>
      <c r="AP97" s="300">
        <v>65</v>
      </c>
      <c r="AQ97" s="392">
        <f t="shared" ref="AQ97:BI97" si="228">IF((AQ32-AQ28)=0,"",AQ88/(AQ32-AQ28))</f>
        <v>8.4622837623392622E-2</v>
      </c>
      <c r="AR97" s="392">
        <f t="shared" si="228"/>
        <v>8.4622837623392635E-2</v>
      </c>
      <c r="AS97" s="392">
        <f t="shared" si="228"/>
        <v>9.3793432198616217E-2</v>
      </c>
      <c r="AT97" s="392">
        <f t="shared" si="228"/>
        <v>9.3793432198616217E-2</v>
      </c>
      <c r="AU97" s="392">
        <f t="shared" si="228"/>
        <v>9.6704546327566476E-2</v>
      </c>
      <c r="AV97" s="392">
        <f t="shared" si="228"/>
        <v>9.670454632756649E-2</v>
      </c>
      <c r="AW97" s="392">
        <f t="shared" si="228"/>
        <v>9.6670317238977316E-2</v>
      </c>
      <c r="AX97" s="392">
        <f t="shared" si="228"/>
        <v>9.667031723897733E-2</v>
      </c>
      <c r="AY97" s="395">
        <f t="shared" si="228"/>
        <v>9.3435832054485496E-2</v>
      </c>
      <c r="AZ97" s="393" t="str">
        <f t="shared" si="228"/>
        <v/>
      </c>
      <c r="BA97" s="392">
        <f t="shared" si="228"/>
        <v>6.7985038401343775E-2</v>
      </c>
      <c r="BB97" s="392" t="str">
        <f t="shared" si="228"/>
        <v/>
      </c>
      <c r="BC97" s="392">
        <f t="shared" si="228"/>
        <v>7.223425473694102E-2</v>
      </c>
      <c r="BD97" s="392" t="str">
        <f t="shared" si="228"/>
        <v/>
      </c>
      <c r="BE97" s="392">
        <f t="shared" si="228"/>
        <v>7.7473785807564852E-2</v>
      </c>
      <c r="BF97" s="392" t="str">
        <f t="shared" si="228"/>
        <v/>
      </c>
      <c r="BG97" s="392">
        <f t="shared" si="228"/>
        <v>7.772021342684049E-2</v>
      </c>
      <c r="BH97" s="396">
        <f t="shared" si="228"/>
        <v>7.4042426380607956E-2</v>
      </c>
      <c r="BI97" s="393">
        <f t="shared" si="228"/>
        <v>8.5827230028554621E-2</v>
      </c>
      <c r="BJ97" s="300">
        <v>65</v>
      </c>
      <c r="BK97" s="392">
        <f t="shared" ref="BK97:CC97" si="229">IF((BK32-BK28)=0,"",BK88/(BK32-BK28))</f>
        <v>7.858414369253687E-2</v>
      </c>
      <c r="BL97" s="392">
        <f t="shared" si="229"/>
        <v>7.858414369253687E-2</v>
      </c>
      <c r="BM97" s="392">
        <f t="shared" si="229"/>
        <v>8.6860074451725777E-2</v>
      </c>
      <c r="BN97" s="392">
        <f t="shared" si="229"/>
        <v>8.6860074451725791E-2</v>
      </c>
      <c r="BO97" s="392">
        <f t="shared" si="229"/>
        <v>8.9409235911991056E-2</v>
      </c>
      <c r="BP97" s="392">
        <f t="shared" si="229"/>
        <v>8.9409235911991056E-2</v>
      </c>
      <c r="BQ97" s="392">
        <f t="shared" si="229"/>
        <v>7.2913534189539789E-2</v>
      </c>
      <c r="BR97" s="392">
        <f t="shared" si="229"/>
        <v>7.2913534189539803E-2</v>
      </c>
      <c r="BS97" s="395">
        <f t="shared" si="229"/>
        <v>8.1845831130626837E-2</v>
      </c>
      <c r="BT97" s="393" t="str">
        <f t="shared" si="229"/>
        <v/>
      </c>
      <c r="BU97" s="392">
        <f t="shared" si="229"/>
        <v>7.2850271125758634E-2</v>
      </c>
      <c r="BV97" s="392" t="str">
        <f t="shared" si="229"/>
        <v/>
      </c>
      <c r="BW97" s="392">
        <f t="shared" si="229"/>
        <v>8.0809696121302885E-2</v>
      </c>
      <c r="BX97" s="392" t="str">
        <f t="shared" si="229"/>
        <v/>
      </c>
      <c r="BY97" s="392">
        <f t="shared" si="229"/>
        <v>7.9921743528812483E-2</v>
      </c>
      <c r="BZ97" s="392" t="str">
        <f t="shared" si="229"/>
        <v/>
      </c>
      <c r="CA97" s="392">
        <f t="shared" si="229"/>
        <v>7.8851273602100438E-2</v>
      </c>
      <c r="CB97" s="396">
        <f t="shared" si="229"/>
        <v>7.788752639905594E-2</v>
      </c>
      <c r="CC97" s="393">
        <f t="shared" si="229"/>
        <v>8.06855910280629E-2</v>
      </c>
      <c r="CD97" s="300">
        <v>65</v>
      </c>
      <c r="CE97" s="396">
        <f t="shared" ref="CE97:CS97" si="230">IF((CE32-CE28)=0,"",CE88/(CE32-CE28))</f>
        <v>8.4004339797152813E-2</v>
      </c>
      <c r="CF97" s="396">
        <f t="shared" si="230"/>
        <v>9.32522066079704E-2</v>
      </c>
      <c r="CG97" s="396">
        <f t="shared" si="230"/>
        <v>9.621061074509335E-2</v>
      </c>
      <c r="CH97" s="396">
        <f t="shared" si="230"/>
        <v>9.5370432424146043E-2</v>
      </c>
      <c r="CI97" s="423">
        <f t="shared" si="230"/>
        <v>9.2561106649449693E-2</v>
      </c>
      <c r="CJ97" s="396">
        <f t="shared" si="230"/>
        <v>6.920625326131026E-2</v>
      </c>
      <c r="CK97" s="396">
        <f t="shared" si="230"/>
        <v>7.438094066007557E-2</v>
      </c>
      <c r="CL97" s="396">
        <f t="shared" si="230"/>
        <v>7.808615743496973E-2</v>
      </c>
      <c r="CM97" s="396">
        <f t="shared" si="230"/>
        <v>7.8078519337617766E-2</v>
      </c>
      <c r="CN97" s="423" t="str">
        <f t="shared" si="230"/>
        <v/>
      </c>
      <c r="CO97" s="396">
        <f t="shared" si="230"/>
        <v>7.7518225680568625E-2</v>
      </c>
      <c r="CP97" s="396">
        <f t="shared" si="230"/>
        <v>8.5339010240983865E-2</v>
      </c>
      <c r="CQ97" s="396">
        <f t="shared" si="230"/>
        <v>8.8571920890199371E-2</v>
      </c>
      <c r="CR97" s="396">
        <f t="shared" si="230"/>
        <v>8.8590993325782574E-2</v>
      </c>
      <c r="CS97" s="423">
        <f t="shared" si="230"/>
        <v>8.5270305741554822E-2</v>
      </c>
    </row>
    <row r="98" spans="1:102" s="317" customFormat="1" ht="15.75" customHeight="1">
      <c r="A98" s="316"/>
      <c r="AP98" s="424"/>
    </row>
    <row r="99" spans="1:102" s="317" customFormat="1" ht="15.75" customHeight="1">
      <c r="A99" s="316"/>
    </row>
    <row r="100" spans="1:102" s="317" customFormat="1" ht="15.75" customHeight="1">
      <c r="C100" s="319"/>
      <c r="D100" s="319"/>
      <c r="E100" s="319"/>
      <c r="F100" s="319"/>
      <c r="G100" s="319"/>
      <c r="H100" s="319"/>
      <c r="I100" s="319"/>
      <c r="J100" s="319"/>
      <c r="L100" s="319"/>
      <c r="M100" s="319"/>
      <c r="N100" s="319"/>
      <c r="O100" s="319"/>
      <c r="P100" s="319"/>
      <c r="Q100" s="319"/>
      <c r="R100" s="319"/>
      <c r="S100" s="319"/>
      <c r="W100" s="319"/>
      <c r="X100" s="319"/>
      <c r="Y100" s="319"/>
      <c r="Z100" s="319"/>
      <c r="AA100" s="319"/>
      <c r="AB100" s="319"/>
      <c r="AC100" s="319"/>
      <c r="AD100" s="319"/>
      <c r="AF100" s="319"/>
      <c r="AG100" s="319"/>
      <c r="AH100" s="319"/>
      <c r="AI100" s="319"/>
      <c r="AJ100" s="319"/>
      <c r="AK100" s="319"/>
      <c r="AL100" s="319"/>
      <c r="AM100" s="319"/>
      <c r="AQ100" s="319"/>
      <c r="AR100" s="319"/>
      <c r="AS100" s="319"/>
      <c r="AT100" s="319"/>
      <c r="AU100" s="319"/>
      <c r="AV100" s="319"/>
      <c r="AW100" s="319"/>
      <c r="AX100" s="319"/>
      <c r="AZ100" s="319"/>
      <c r="BA100" s="319"/>
      <c r="BB100" s="319"/>
      <c r="BC100" s="319"/>
      <c r="BD100" s="319"/>
      <c r="BE100" s="319"/>
      <c r="BF100" s="319"/>
      <c r="BG100" s="319"/>
      <c r="BK100" s="319"/>
      <c r="BL100" s="319"/>
      <c r="BM100" s="319"/>
      <c r="BN100" s="319"/>
      <c r="BO100" s="319"/>
      <c r="BP100" s="319"/>
      <c r="BQ100" s="319"/>
      <c r="BR100" s="319"/>
      <c r="BT100" s="319"/>
      <c r="BU100" s="319"/>
      <c r="BV100" s="319"/>
      <c r="BW100" s="319"/>
      <c r="BX100" s="319"/>
      <c r="BY100" s="319"/>
      <c r="BZ100" s="319"/>
      <c r="CA100" s="319"/>
      <c r="CT100" s="319"/>
      <c r="CU100" s="319"/>
      <c r="CV100" s="319"/>
      <c r="CW100" s="319"/>
      <c r="CX100" s="319"/>
    </row>
    <row r="101" spans="1:102" s="317" customFormat="1" ht="15.75" customHeight="1">
      <c r="C101" s="319"/>
      <c r="D101" s="319"/>
      <c r="F101" s="319"/>
      <c r="H101" s="319"/>
      <c r="J101" s="319"/>
      <c r="L101" s="319"/>
      <c r="M101" s="319"/>
      <c r="O101" s="319"/>
      <c r="Q101" s="319"/>
      <c r="S101" s="319"/>
      <c r="W101" s="319"/>
      <c r="X101" s="319"/>
      <c r="Z101" s="319"/>
      <c r="AB101" s="319"/>
      <c r="AD101" s="319"/>
      <c r="AF101" s="319"/>
      <c r="AG101" s="319"/>
      <c r="AI101" s="319"/>
      <c r="AK101" s="319"/>
      <c r="AM101" s="319"/>
      <c r="AQ101" s="319"/>
      <c r="AR101" s="319"/>
      <c r="AT101" s="319"/>
      <c r="AV101" s="319"/>
      <c r="AX101" s="319"/>
      <c r="AZ101" s="319"/>
      <c r="BA101" s="319"/>
      <c r="BC101" s="319"/>
      <c r="BE101" s="319"/>
      <c r="BG101" s="319"/>
      <c r="BK101" s="319"/>
      <c r="BL101" s="319"/>
      <c r="BN101" s="319"/>
      <c r="BP101" s="319"/>
      <c r="BR101" s="319"/>
      <c r="BT101" s="319"/>
      <c r="BU101" s="319"/>
      <c r="BW101" s="319"/>
      <c r="BY101" s="319"/>
      <c r="CA101" s="319"/>
      <c r="CT101" s="319"/>
      <c r="CV101" s="319"/>
      <c r="CX101" s="319"/>
    </row>
    <row r="102" spans="1:102" s="317" customFormat="1" ht="15.75" customHeight="1"/>
    <row r="103" spans="1:102" s="317" customFormat="1">
      <c r="C103" s="319"/>
      <c r="D103" s="319"/>
      <c r="E103" s="319"/>
      <c r="F103" s="319"/>
      <c r="G103" s="319"/>
      <c r="H103" s="319"/>
      <c r="I103" s="319"/>
      <c r="J103" s="319"/>
      <c r="L103" s="319"/>
      <c r="M103" s="319"/>
      <c r="N103" s="319"/>
      <c r="O103" s="319"/>
      <c r="P103" s="319"/>
      <c r="Q103" s="319"/>
      <c r="R103" s="319"/>
      <c r="S103" s="319"/>
      <c r="W103" s="319"/>
      <c r="X103" s="319"/>
      <c r="Y103" s="319"/>
      <c r="Z103" s="319"/>
      <c r="AA103" s="319"/>
      <c r="AB103" s="319"/>
      <c r="AC103" s="319"/>
      <c r="AD103" s="319"/>
      <c r="AF103" s="319"/>
      <c r="AG103" s="319"/>
      <c r="AH103" s="319"/>
      <c r="AI103" s="319"/>
      <c r="AJ103" s="319"/>
      <c r="AK103" s="319"/>
      <c r="AL103" s="319"/>
      <c r="AM103" s="319"/>
      <c r="AQ103" s="319"/>
      <c r="AR103" s="319"/>
      <c r="AS103" s="319"/>
      <c r="AT103" s="319"/>
      <c r="AU103" s="319"/>
      <c r="AV103" s="319"/>
      <c r="AW103" s="319"/>
      <c r="AX103" s="319"/>
      <c r="AZ103" s="319"/>
      <c r="BA103" s="319"/>
      <c r="BB103" s="319"/>
      <c r="BC103" s="319"/>
      <c r="BD103" s="319"/>
      <c r="BE103" s="319"/>
      <c r="BF103" s="319"/>
      <c r="BG103" s="319"/>
      <c r="BK103" s="319"/>
      <c r="BL103" s="319"/>
      <c r="BM103" s="319"/>
      <c r="BN103" s="319"/>
      <c r="BO103" s="319"/>
      <c r="BP103" s="319"/>
      <c r="BQ103" s="319"/>
      <c r="BR103" s="319"/>
      <c r="BT103" s="319"/>
      <c r="BU103" s="319"/>
      <c r="BV103" s="319"/>
      <c r="BW103" s="319"/>
      <c r="BX103" s="319"/>
      <c r="BY103" s="319"/>
      <c r="BZ103" s="319"/>
      <c r="CA103" s="319"/>
      <c r="CT103" s="319"/>
      <c r="CU103" s="319"/>
      <c r="CV103" s="319"/>
      <c r="CW103" s="319"/>
      <c r="CX103" s="319"/>
    </row>
    <row r="104" spans="1:102" s="317" customFormat="1">
      <c r="C104" s="319"/>
      <c r="D104" s="319"/>
      <c r="F104" s="319"/>
      <c r="H104" s="319"/>
      <c r="J104" s="319"/>
      <c r="L104" s="319"/>
      <c r="M104" s="319"/>
      <c r="O104" s="319"/>
      <c r="Q104" s="319"/>
      <c r="S104" s="319"/>
      <c r="W104" s="319"/>
      <c r="X104" s="319"/>
      <c r="Z104" s="319"/>
      <c r="AB104" s="319"/>
      <c r="AD104" s="319"/>
      <c r="AF104" s="319"/>
      <c r="AG104" s="319"/>
      <c r="AI104" s="319"/>
      <c r="AK104" s="319"/>
      <c r="AM104" s="319"/>
      <c r="AQ104" s="319"/>
      <c r="AR104" s="319"/>
      <c r="AT104" s="319"/>
      <c r="AV104" s="319"/>
      <c r="AX104" s="319"/>
      <c r="AZ104" s="319"/>
      <c r="BA104" s="319"/>
      <c r="BC104" s="319"/>
      <c r="BE104" s="319"/>
      <c r="BG104" s="319"/>
      <c r="BK104" s="319"/>
      <c r="BL104" s="319"/>
      <c r="BN104" s="319"/>
      <c r="BP104" s="319"/>
      <c r="BR104" s="319"/>
      <c r="BT104" s="319"/>
      <c r="BU104" s="319"/>
      <c r="BW104" s="319"/>
      <c r="BY104" s="319"/>
      <c r="CA104" s="319"/>
      <c r="CT104" s="319"/>
      <c r="CV104" s="319"/>
      <c r="CX104" s="319"/>
    </row>
    <row r="105" spans="1:102" s="317" customFormat="1"/>
    <row r="106" spans="1:102" s="317" customFormat="1">
      <c r="CT106" s="319"/>
      <c r="CV106" s="319"/>
      <c r="CX106" s="319"/>
    </row>
    <row r="107" spans="1:102" s="317" customFormat="1">
      <c r="CT107" s="319"/>
      <c r="CV107" s="319"/>
      <c r="CX107" s="319"/>
    </row>
    <row r="108" spans="1:102" s="317" customFormat="1">
      <c r="CT108" s="319"/>
      <c r="CV108" s="319"/>
      <c r="CX108" s="319"/>
    </row>
    <row r="109" spans="1:102" s="317" customFormat="1"/>
    <row r="110" spans="1:102" s="317" customFormat="1">
      <c r="CT110" s="319"/>
      <c r="CV110" s="319"/>
      <c r="CX110" s="319"/>
    </row>
    <row r="111" spans="1:102" s="317" customFormat="1"/>
    <row r="112" spans="1:102" s="317" customFormat="1"/>
    <row r="113" s="317" customFormat="1"/>
    <row r="114" s="317" customFormat="1"/>
    <row r="115" s="317" customFormat="1"/>
    <row r="116" s="317" customFormat="1"/>
    <row r="117" s="317" customFormat="1"/>
    <row r="118" s="317" customFormat="1"/>
    <row r="119" s="317" customFormat="1"/>
    <row r="120" s="317" customFormat="1"/>
    <row r="121" s="317" customFormat="1"/>
    <row r="122" s="317" customFormat="1"/>
    <row r="123" s="317" customFormat="1"/>
    <row r="124" s="317" customFormat="1"/>
    <row r="125" s="317" customFormat="1"/>
    <row r="126" s="317" customFormat="1"/>
    <row r="127" s="317" customFormat="1"/>
    <row r="128" s="317" customFormat="1"/>
    <row r="129" s="317" customFormat="1"/>
    <row r="130" s="317" customFormat="1"/>
    <row r="131" s="317" customFormat="1"/>
    <row r="132" s="317" customFormat="1"/>
    <row r="133" s="317" customFormat="1"/>
    <row r="134" s="317" customFormat="1"/>
    <row r="135" s="317" customFormat="1"/>
    <row r="136" s="317" customFormat="1"/>
    <row r="137" s="317" customFormat="1"/>
    <row r="138" s="317" customFormat="1"/>
    <row r="139" s="317" customFormat="1"/>
    <row r="140" s="317" customFormat="1"/>
    <row r="141" s="317" customFormat="1"/>
    <row r="142" s="317" customFormat="1"/>
    <row r="143" s="317" customFormat="1"/>
    <row r="144" s="317" customFormat="1"/>
    <row r="145" s="317" customFormat="1"/>
    <row r="146" s="317" customFormat="1"/>
    <row r="147" s="317" customFormat="1"/>
    <row r="148" s="317" customFormat="1"/>
    <row r="149" s="317" customFormat="1"/>
    <row r="150" s="317" customFormat="1"/>
    <row r="151" s="317" customFormat="1"/>
    <row r="152" s="317" customFormat="1"/>
    <row r="153" s="317" customFormat="1"/>
    <row r="154" s="317" customFormat="1"/>
    <row r="155" s="317" customFormat="1"/>
    <row r="156" s="317" customFormat="1"/>
    <row r="157" s="317" customFormat="1"/>
    <row r="158" s="317" customFormat="1"/>
    <row r="159" s="317" customFormat="1"/>
    <row r="160" s="317" customFormat="1"/>
    <row r="161" s="317" customFormat="1"/>
    <row r="162" s="317" customFormat="1"/>
    <row r="163" s="317" customFormat="1"/>
    <row r="164" s="317" customFormat="1"/>
    <row r="165" s="317" customFormat="1"/>
    <row r="166" s="317" customFormat="1"/>
    <row r="167" s="317" customFormat="1"/>
    <row r="168" s="317" customFormat="1"/>
    <row r="169" s="317" customFormat="1"/>
    <row r="170" s="317" customFormat="1"/>
    <row r="171" s="317" customFormat="1"/>
    <row r="172" s="317" customFormat="1"/>
    <row r="173" s="317" customFormat="1"/>
    <row r="174" s="317" customFormat="1"/>
    <row r="175" s="317" customFormat="1"/>
    <row r="176" s="317" customFormat="1"/>
    <row r="177" s="317" customFormat="1"/>
    <row r="178" s="317" customFormat="1"/>
    <row r="179" s="317" customFormat="1"/>
    <row r="180" s="317" customFormat="1"/>
    <row r="181" s="317" customFormat="1"/>
    <row r="182" s="317" customFormat="1"/>
    <row r="183" s="317" customFormat="1"/>
    <row r="184" s="317" customFormat="1"/>
    <row r="185" s="317" customFormat="1"/>
    <row r="186" s="317" customFormat="1"/>
    <row r="187" s="317" customFormat="1"/>
    <row r="188" s="317" customFormat="1"/>
    <row r="189" s="317" customFormat="1"/>
    <row r="190" s="317" customFormat="1"/>
    <row r="191" s="317" customFormat="1"/>
    <row r="192" s="317" customFormat="1"/>
    <row r="193" s="317" customFormat="1"/>
    <row r="194" s="317" customFormat="1"/>
    <row r="195" s="317" customFormat="1"/>
    <row r="196" s="317" customFormat="1"/>
    <row r="197" s="317" customFormat="1"/>
    <row r="198" s="317" customFormat="1"/>
    <row r="199" s="317" customFormat="1"/>
    <row r="200" s="317" customFormat="1"/>
    <row r="201" s="317" customFormat="1"/>
    <row r="202" s="317" customFormat="1"/>
    <row r="203" s="317" customFormat="1"/>
    <row r="204" s="317" customFormat="1"/>
    <row r="205" s="317" customFormat="1"/>
    <row r="206" s="317" customFormat="1"/>
    <row r="207" s="317" customFormat="1"/>
    <row r="208" s="317" customFormat="1"/>
    <row r="209" s="317" customFormat="1"/>
    <row r="210" s="317" customFormat="1"/>
    <row r="211" s="317" customFormat="1"/>
    <row r="212" s="317" customFormat="1"/>
    <row r="213" s="317" customFormat="1"/>
    <row r="214" s="317" customFormat="1"/>
    <row r="215" s="317" customFormat="1"/>
    <row r="216" s="317" customFormat="1"/>
    <row r="217" s="317" customFormat="1"/>
    <row r="218" s="317" customFormat="1"/>
    <row r="219" s="317" customFormat="1"/>
    <row r="220" s="317" customFormat="1"/>
    <row r="221" s="317" customFormat="1"/>
    <row r="222" s="317" customFormat="1"/>
    <row r="223" s="317" customFormat="1"/>
    <row r="224" s="317" customFormat="1"/>
    <row r="225" s="317" customFormat="1"/>
    <row r="226" s="317" customFormat="1"/>
    <row r="227" s="317" customFormat="1"/>
    <row r="228" s="317" customFormat="1"/>
    <row r="229" s="317" customFormat="1"/>
    <row r="230" s="317" customFormat="1"/>
    <row r="231" s="317" customFormat="1"/>
    <row r="232" s="317" customFormat="1"/>
    <row r="233" s="317" customFormat="1"/>
    <row r="234" s="317" customFormat="1"/>
    <row r="235" s="317" customFormat="1"/>
    <row r="236" s="317" customFormat="1"/>
    <row r="237" s="317" customFormat="1"/>
    <row r="238" s="317" customFormat="1"/>
    <row r="239" s="317" customFormat="1"/>
    <row r="240" s="317" customFormat="1"/>
    <row r="241" s="317" customFormat="1"/>
    <row r="242" s="317" customFormat="1"/>
    <row r="243" s="317" customFormat="1"/>
    <row r="244" s="317" customFormat="1"/>
    <row r="245" s="317" customFormat="1"/>
    <row r="246" s="317" customFormat="1"/>
    <row r="247" s="317" customFormat="1"/>
    <row r="248" s="317" customFormat="1"/>
    <row r="249" s="317" customFormat="1"/>
    <row r="250" s="317" customFormat="1"/>
    <row r="251" s="317" customFormat="1"/>
    <row r="252" s="317" customFormat="1"/>
    <row r="253" s="317" customFormat="1"/>
    <row r="254" s="317" customFormat="1"/>
    <row r="255" s="317" customFormat="1"/>
    <row r="256" s="317" customFormat="1"/>
    <row r="257" s="317" customFormat="1"/>
    <row r="258" s="317" customFormat="1"/>
    <row r="259" s="317" customFormat="1"/>
    <row r="260" s="317" customFormat="1"/>
    <row r="261" s="317" customFormat="1"/>
    <row r="262" s="317" customFormat="1"/>
    <row r="263" s="317" customFormat="1"/>
    <row r="264" s="317" customFormat="1"/>
    <row r="265" s="317" customFormat="1"/>
    <row r="266" s="317" customFormat="1"/>
    <row r="267" s="317" customFormat="1"/>
    <row r="268" s="317" customFormat="1"/>
    <row r="269" s="317" customFormat="1"/>
    <row r="270" s="317" customFormat="1"/>
    <row r="271" s="317" customFormat="1"/>
    <row r="272" s="317" customFormat="1"/>
    <row r="273" s="317" customFormat="1"/>
    <row r="274" s="317" customFormat="1"/>
    <row r="275" s="317" customFormat="1"/>
    <row r="276" s="317" customFormat="1"/>
    <row r="277" s="317" customFormat="1"/>
    <row r="278" s="317" customFormat="1"/>
    <row r="279" s="317" customFormat="1"/>
    <row r="280" s="317" customFormat="1"/>
    <row r="281" s="317" customFormat="1"/>
    <row r="282" s="317" customFormat="1"/>
    <row r="283" s="317" customFormat="1"/>
    <row r="284" s="317" customFormat="1"/>
    <row r="285" s="317" customFormat="1"/>
    <row r="286" s="317" customFormat="1"/>
    <row r="287" s="317" customFormat="1"/>
    <row r="288" s="317" customFormat="1"/>
    <row r="289" s="317" customFormat="1"/>
    <row r="290" s="317" customFormat="1"/>
    <row r="291" s="317" customFormat="1"/>
    <row r="292" s="317" customFormat="1"/>
    <row r="293" s="317" customFormat="1"/>
    <row r="294" s="317" customFormat="1"/>
    <row r="295" s="317" customFormat="1"/>
    <row r="296" s="317" customFormat="1"/>
    <row r="297" s="317" customFormat="1"/>
    <row r="298" s="317" customFormat="1"/>
    <row r="299" s="317" customFormat="1"/>
    <row r="300" s="317" customFormat="1"/>
    <row r="301" s="317" customFormat="1"/>
    <row r="302" s="317" customFormat="1"/>
    <row r="303" s="317" customFormat="1"/>
    <row r="304" s="317" customFormat="1"/>
    <row r="305" s="317" customFormat="1"/>
    <row r="306" s="317" customFormat="1"/>
    <row r="307" s="317" customFormat="1"/>
    <row r="308" s="317" customFormat="1"/>
    <row r="309" s="317" customFormat="1"/>
    <row r="310" s="317" customFormat="1"/>
    <row r="311" s="317" customFormat="1"/>
    <row r="312" s="317" customFormat="1"/>
    <row r="313" s="317" customFormat="1"/>
    <row r="314" s="317" customFormat="1"/>
    <row r="315" s="317" customFormat="1"/>
    <row r="316" s="317" customFormat="1"/>
    <row r="317" s="317" customFormat="1"/>
    <row r="318" s="317" customFormat="1"/>
    <row r="319" s="317" customFormat="1"/>
    <row r="320" s="317" customFormat="1"/>
    <row r="321" s="317" customFormat="1"/>
    <row r="322" s="317" customFormat="1"/>
    <row r="323" s="317" customFormat="1"/>
    <row r="324" s="317" customFormat="1"/>
    <row r="325" s="317" customFormat="1"/>
    <row r="326" s="317" customFormat="1"/>
    <row r="327" s="317" customFormat="1"/>
    <row r="328" s="317" customFormat="1"/>
    <row r="329" s="317" customFormat="1"/>
    <row r="330" s="317" customFormat="1"/>
    <row r="331" s="317" customFormat="1"/>
    <row r="332" s="317" customFormat="1"/>
    <row r="333" s="317" customFormat="1"/>
    <row r="334" s="317" customFormat="1"/>
    <row r="335" s="317" customFormat="1"/>
    <row r="336" s="317" customFormat="1"/>
    <row r="337" s="317" customFormat="1"/>
    <row r="338" s="317" customFormat="1"/>
    <row r="339" s="317" customFormat="1"/>
    <row r="340" s="317" customFormat="1"/>
    <row r="341" s="317" customFormat="1"/>
    <row r="342" s="317" customFormat="1"/>
  </sheetData>
  <sheetProtection formatColumns="0"/>
  <mergeCells count="13">
    <mergeCell ref="G1:I1"/>
    <mergeCell ref="B10:B13"/>
    <mergeCell ref="V10:V13"/>
    <mergeCell ref="AP10:AP13"/>
    <mergeCell ref="BJ10:BJ13"/>
    <mergeCell ref="CI10:CI13"/>
    <mergeCell ref="CN10:CN13"/>
    <mergeCell ref="CS10:CS13"/>
    <mergeCell ref="U11:U13"/>
    <mergeCell ref="AO11:AO13"/>
    <mergeCell ref="BI11:BI13"/>
    <mergeCell ref="CC11:CC13"/>
    <mergeCell ref="CD10:CD13"/>
  </mergeCells>
  <pageMargins left="0.25" right="0.25" top="0.5" bottom="0.75" header="0.3" footer="0.3"/>
  <pageSetup paperSize="9" scale="5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A342"/>
  <sheetViews>
    <sheetView zoomScale="80" zoomScaleNormal="80" workbookViewId="0">
      <selection activeCell="CX25" sqref="CX25"/>
    </sheetView>
  </sheetViews>
  <sheetFormatPr defaultColWidth="9.28515625" defaultRowHeight="13.15"/>
  <cols>
    <col min="1" max="1" width="49.28515625" style="136" bestFit="1" customWidth="1"/>
    <col min="2" max="2" width="8.5703125" style="136" bestFit="1" customWidth="1"/>
    <col min="3" max="21" width="15.5703125" style="136" customWidth="1"/>
    <col min="22" max="22" width="7.28515625" style="136" bestFit="1" customWidth="1"/>
    <col min="23" max="41" width="15.5703125" style="136" customWidth="1"/>
    <col min="42" max="42" width="7.28515625" style="136" bestFit="1" customWidth="1"/>
    <col min="43" max="61" width="15.5703125" style="136" customWidth="1"/>
    <col min="62" max="62" width="7.28515625" style="136" bestFit="1" customWidth="1"/>
    <col min="63" max="81" width="15.5703125" style="136" customWidth="1"/>
    <col min="82" max="82" width="7.28515625" style="136" bestFit="1" customWidth="1"/>
    <col min="83" max="95" width="15.5703125" style="136" customWidth="1"/>
    <col min="96" max="96" width="16.85546875" style="136" bestFit="1" customWidth="1"/>
    <col min="97" max="97" width="18.140625" style="136" bestFit="1" customWidth="1"/>
    <col min="98" max="98" width="13.28515625" style="317" bestFit="1" customWidth="1"/>
    <col min="99" max="99" width="11.28515625" style="317" bestFit="1" customWidth="1"/>
    <col min="100" max="100" width="13.28515625" style="317" bestFit="1" customWidth="1"/>
    <col min="101" max="101" width="11.28515625" style="317" bestFit="1" customWidth="1"/>
    <col min="102" max="102" width="13.28515625" style="317" bestFit="1" customWidth="1"/>
    <col min="103" max="131" width="9.28515625" style="317"/>
    <col min="132" max="16384" width="9.28515625" style="136"/>
  </cols>
  <sheetData>
    <row r="1" spans="1:131" s="179" customFormat="1" ht="27" customHeight="1">
      <c r="A1" s="15" t="s">
        <v>1325</v>
      </c>
      <c r="G1" s="777"/>
      <c r="H1" s="777"/>
      <c r="I1" s="777"/>
      <c r="J1" s="710"/>
      <c r="K1" s="710"/>
      <c r="L1" s="180"/>
      <c r="M1" s="180"/>
      <c r="N1" s="180"/>
      <c r="O1" s="180"/>
      <c r="P1" s="180"/>
      <c r="Q1" s="180"/>
      <c r="R1" s="180"/>
      <c r="S1" s="180"/>
      <c r="T1" s="710"/>
      <c r="U1" s="180"/>
      <c r="V1" s="180"/>
      <c r="W1" s="180"/>
      <c r="X1" s="180"/>
      <c r="Y1" s="180"/>
      <c r="Z1" s="180"/>
      <c r="AA1" s="180"/>
      <c r="AB1" s="180"/>
      <c r="AC1" s="180"/>
      <c r="AD1" s="180"/>
      <c r="AE1" s="710"/>
      <c r="AF1" s="180"/>
      <c r="AG1" s="180"/>
      <c r="AH1" s="180"/>
      <c r="AI1" s="180"/>
      <c r="AJ1" s="180"/>
      <c r="AK1" s="180"/>
      <c r="AL1" s="180"/>
      <c r="AM1" s="180"/>
      <c r="AN1" s="710"/>
      <c r="AO1" s="180"/>
      <c r="AP1" s="180"/>
      <c r="AQ1" s="180"/>
      <c r="AR1" s="180"/>
      <c r="AS1" s="180"/>
      <c r="AT1" s="180"/>
      <c r="AU1" s="180"/>
      <c r="AV1" s="180"/>
      <c r="AW1" s="180"/>
      <c r="AX1" s="180"/>
      <c r="AY1" s="710"/>
      <c r="AZ1" s="180"/>
      <c r="BA1" s="180"/>
      <c r="BB1" s="180"/>
      <c r="BC1" s="180"/>
      <c r="BD1" s="180"/>
      <c r="BE1" s="180"/>
      <c r="BF1" s="180"/>
      <c r="BG1" s="180"/>
      <c r="BH1" s="710"/>
      <c r="BI1" s="180"/>
      <c r="BJ1" s="180"/>
      <c r="BK1" s="180"/>
      <c r="BL1" s="180"/>
      <c r="BM1" s="180"/>
      <c r="BN1" s="180"/>
      <c r="BO1" s="180"/>
      <c r="BP1" s="180"/>
      <c r="BQ1" s="180"/>
      <c r="BR1" s="180"/>
      <c r="BS1" s="710"/>
      <c r="BT1" s="180"/>
      <c r="BU1" s="180"/>
      <c r="BV1" s="180"/>
      <c r="BW1" s="180"/>
      <c r="BX1" s="180"/>
      <c r="BY1" s="180"/>
      <c r="BZ1" s="180"/>
      <c r="CA1" s="180"/>
      <c r="CB1" s="71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row>
    <row r="2" spans="1:131" s="179" customFormat="1" ht="15.6">
      <c r="A2" s="139" t="s">
        <v>1303</v>
      </c>
      <c r="B2" s="397" t="str">
        <f>'Schedule 3A_Income Statement'!B2</f>
        <v>Tufts Associated Health Plans, Inc. (TAHMO)</v>
      </c>
      <c r="C2" s="398"/>
      <c r="D2" s="398"/>
      <c r="E2" s="398"/>
      <c r="F2" s="399"/>
      <c r="G2" s="425"/>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row>
    <row r="3" spans="1:131" s="179" customFormat="1" ht="15.6">
      <c r="A3" s="139" t="s">
        <v>1285</v>
      </c>
      <c r="B3" s="520" t="str">
        <f>'Schedule 3A_Income Statement'!B3</f>
        <v>01/01/2024 - 12/31/2024</v>
      </c>
      <c r="C3" s="521"/>
      <c r="D3" s="521"/>
      <c r="E3" s="521"/>
      <c r="F3" s="522"/>
      <c r="G3" s="42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c r="CR3" s="180"/>
      <c r="CS3" s="180"/>
      <c r="CT3" s="180"/>
      <c r="CU3" s="180"/>
      <c r="CV3" s="180"/>
      <c r="CW3" s="180"/>
      <c r="CX3" s="180"/>
      <c r="CY3" s="180"/>
      <c r="CZ3" s="180"/>
      <c r="DA3" s="180"/>
      <c r="DB3" s="180"/>
      <c r="DC3" s="180"/>
      <c r="DD3" s="180"/>
      <c r="DE3" s="180"/>
      <c r="DF3" s="180"/>
      <c r="DG3" s="180"/>
      <c r="DH3" s="180"/>
      <c r="DI3" s="180"/>
      <c r="DJ3" s="180"/>
      <c r="DK3" s="180"/>
      <c r="DL3" s="180"/>
      <c r="DM3" s="180"/>
      <c r="DN3" s="180"/>
      <c r="DO3" s="180"/>
      <c r="DP3" s="180"/>
      <c r="DQ3" s="180"/>
      <c r="DR3" s="180"/>
      <c r="DS3" s="180"/>
      <c r="DT3" s="180"/>
      <c r="DU3" s="180"/>
      <c r="DV3" s="180"/>
      <c r="DW3" s="180"/>
      <c r="DX3" s="180"/>
      <c r="DY3" s="180"/>
      <c r="DZ3" s="180"/>
      <c r="EA3" s="180"/>
    </row>
    <row r="4" spans="1:131" s="179" customFormat="1" ht="15.6">
      <c r="A4" s="139" t="s">
        <v>1306</v>
      </c>
      <c r="B4" s="401">
        <f>'Schedule 3A_Income Statement'!B4</f>
        <v>45657</v>
      </c>
      <c r="C4" s="398"/>
      <c r="D4" s="398"/>
      <c r="E4" s="398"/>
      <c r="F4" s="399"/>
      <c r="G4" s="425"/>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row>
    <row r="5" spans="1:131" s="179" customFormat="1" ht="15.6">
      <c r="A5" s="139" t="s">
        <v>1307</v>
      </c>
      <c r="B5" s="397" t="str">
        <f>'Schedule 3A_Income Statement'!B5</f>
        <v>Roshni Parikh</v>
      </c>
      <c r="C5" s="398"/>
      <c r="D5" s="398"/>
      <c r="E5" s="398"/>
      <c r="F5" s="399"/>
      <c r="G5" s="425"/>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row>
    <row r="6" spans="1:131" s="179" customFormat="1" ht="15.6">
      <c r="A6" s="139" t="s">
        <v>1288</v>
      </c>
      <c r="B6" s="401">
        <f>'Schedule 3A_Income Statement'!B6</f>
        <v>45657</v>
      </c>
      <c r="C6" s="398"/>
      <c r="D6" s="398"/>
      <c r="E6" s="398"/>
      <c r="F6" s="399"/>
      <c r="G6" s="425"/>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row>
    <row r="7" spans="1:131" s="179" customFormat="1">
      <c r="A7" s="230" t="s">
        <v>1289</v>
      </c>
      <c r="B7" s="181"/>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row>
    <row r="8" spans="1:131" s="179" customFormat="1">
      <c r="A8" s="230"/>
      <c r="B8" s="181"/>
      <c r="G8" s="180"/>
      <c r="H8" s="180"/>
      <c r="I8" s="180"/>
      <c r="J8" s="180"/>
      <c r="K8" s="180"/>
      <c r="L8" s="180"/>
      <c r="M8" s="180"/>
      <c r="N8" s="180"/>
      <c r="O8" s="180"/>
      <c r="P8" s="180"/>
      <c r="Q8" s="180"/>
      <c r="R8" s="180"/>
      <c r="S8" s="180"/>
      <c r="T8" s="180"/>
      <c r="U8" s="180"/>
      <c r="V8" s="343"/>
      <c r="W8" s="180"/>
      <c r="X8" s="180"/>
      <c r="Y8" s="180"/>
      <c r="Z8" s="180"/>
      <c r="AA8" s="180"/>
      <c r="AB8" s="180"/>
      <c r="AC8" s="180"/>
      <c r="AD8" s="180"/>
      <c r="AE8" s="180"/>
      <c r="AF8" s="180"/>
      <c r="AG8" s="180"/>
      <c r="AH8" s="180"/>
      <c r="AI8" s="180"/>
      <c r="AJ8" s="180"/>
      <c r="AK8" s="180"/>
      <c r="AL8" s="180"/>
      <c r="AM8" s="180"/>
      <c r="AN8" s="180"/>
      <c r="AO8" s="180"/>
      <c r="AP8" s="343"/>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row>
    <row r="9" spans="1:131" s="179" customFormat="1">
      <c r="A9" s="230"/>
      <c r="B9" s="181"/>
      <c r="G9" s="180"/>
      <c r="H9" s="180"/>
      <c r="I9" s="180"/>
      <c r="J9" s="180"/>
      <c r="K9" s="180"/>
      <c r="L9" s="180"/>
      <c r="M9" s="180"/>
      <c r="N9" s="180"/>
      <c r="O9" s="180"/>
      <c r="P9" s="180"/>
      <c r="Q9" s="180"/>
      <c r="R9" s="180"/>
      <c r="S9" s="180"/>
      <c r="T9" s="180"/>
      <c r="U9" s="180"/>
      <c r="V9" s="343"/>
      <c r="W9" s="180"/>
      <c r="X9" s="180"/>
      <c r="Y9" s="180"/>
      <c r="Z9" s="180"/>
      <c r="AA9" s="180"/>
      <c r="AB9" s="180"/>
      <c r="AC9" s="180"/>
      <c r="AD9" s="180"/>
      <c r="AE9" s="180"/>
      <c r="AF9" s="180"/>
      <c r="AG9" s="180"/>
      <c r="AH9" s="180"/>
      <c r="AI9" s="180"/>
      <c r="AJ9" s="180"/>
      <c r="AK9" s="180"/>
      <c r="AL9" s="180"/>
      <c r="AM9" s="180"/>
      <c r="AN9" s="180"/>
      <c r="AO9" s="180"/>
      <c r="AP9" s="343"/>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row>
    <row r="10" spans="1:131" s="179" customFormat="1" ht="15.75" customHeight="1">
      <c r="A10" s="404"/>
      <c r="B10" s="773" t="s">
        <v>1326</v>
      </c>
      <c r="C10" s="405" t="s">
        <v>404</v>
      </c>
      <c r="D10" s="406"/>
      <c r="E10" s="406"/>
      <c r="F10" s="406"/>
      <c r="G10" s="406"/>
      <c r="H10" s="406"/>
      <c r="I10" s="406"/>
      <c r="J10" s="406"/>
      <c r="K10" s="406"/>
      <c r="L10" s="406"/>
      <c r="M10" s="406"/>
      <c r="N10" s="406"/>
      <c r="O10" s="406"/>
      <c r="P10" s="406"/>
      <c r="Q10" s="406"/>
      <c r="R10" s="406"/>
      <c r="S10" s="406"/>
      <c r="T10" s="406"/>
      <c r="U10" s="407"/>
      <c r="V10" s="773" t="s">
        <v>1326</v>
      </c>
      <c r="W10" s="405" t="s">
        <v>409</v>
      </c>
      <c r="X10" s="406"/>
      <c r="Y10" s="406"/>
      <c r="Z10" s="406"/>
      <c r="AA10" s="406"/>
      <c r="AB10" s="406"/>
      <c r="AC10" s="406"/>
      <c r="AD10" s="406"/>
      <c r="AE10" s="406"/>
      <c r="AF10" s="406"/>
      <c r="AG10" s="406"/>
      <c r="AH10" s="406"/>
      <c r="AI10" s="406"/>
      <c r="AJ10" s="406"/>
      <c r="AK10" s="406"/>
      <c r="AL10" s="406"/>
      <c r="AM10" s="406"/>
      <c r="AN10" s="406"/>
      <c r="AO10" s="407"/>
      <c r="AP10" s="773" t="s">
        <v>1326</v>
      </c>
      <c r="AQ10" s="405" t="s">
        <v>411</v>
      </c>
      <c r="AR10" s="406"/>
      <c r="AS10" s="406"/>
      <c r="AT10" s="406"/>
      <c r="AU10" s="406"/>
      <c r="AV10" s="406"/>
      <c r="AW10" s="406"/>
      <c r="AX10" s="406"/>
      <c r="AY10" s="406"/>
      <c r="AZ10" s="406"/>
      <c r="BA10" s="406"/>
      <c r="BB10" s="406"/>
      <c r="BC10" s="406"/>
      <c r="BD10" s="406"/>
      <c r="BE10" s="406"/>
      <c r="BF10" s="406"/>
      <c r="BG10" s="406"/>
      <c r="BH10" s="406"/>
      <c r="BI10" s="406"/>
      <c r="BJ10" s="773" t="s">
        <v>1326</v>
      </c>
      <c r="BK10" s="406" t="s">
        <v>1327</v>
      </c>
      <c r="BL10" s="406"/>
      <c r="BM10" s="406"/>
      <c r="BN10" s="406"/>
      <c r="BO10" s="406"/>
      <c r="BP10" s="406"/>
      <c r="BQ10" s="406"/>
      <c r="BR10" s="406"/>
      <c r="BS10" s="406"/>
      <c r="BT10" s="406"/>
      <c r="BU10" s="406"/>
      <c r="BV10" s="406"/>
      <c r="BW10" s="406"/>
      <c r="BX10" s="406"/>
      <c r="BY10" s="406"/>
      <c r="BZ10" s="406"/>
      <c r="CA10" s="406"/>
      <c r="CB10" s="406"/>
      <c r="CC10" s="406"/>
      <c r="CD10" s="773" t="s">
        <v>1326</v>
      </c>
      <c r="CE10" s="646"/>
      <c r="CF10" s="647"/>
      <c r="CG10" s="647"/>
      <c r="CH10" s="648"/>
      <c r="CI10" s="774" t="s">
        <v>1328</v>
      </c>
      <c r="CJ10" s="646"/>
      <c r="CK10" s="647"/>
      <c r="CL10" s="647"/>
      <c r="CM10" s="648"/>
      <c r="CN10" s="774" t="s">
        <v>1328</v>
      </c>
      <c r="CO10" s="646"/>
      <c r="CP10" s="647"/>
      <c r="CQ10" s="647"/>
      <c r="CR10" s="648"/>
      <c r="CS10" s="774" t="s">
        <v>1328</v>
      </c>
      <c r="CT10" s="180"/>
      <c r="CU10" s="180"/>
      <c r="CV10" s="180"/>
      <c r="CW10" s="180"/>
      <c r="CX10" s="180"/>
      <c r="CY10" s="180"/>
      <c r="CZ10" s="180"/>
      <c r="DA10" s="180"/>
      <c r="DB10" s="180"/>
      <c r="DC10" s="180"/>
      <c r="DD10" s="180"/>
      <c r="DE10" s="180"/>
      <c r="DF10" s="180"/>
      <c r="DG10" s="180"/>
      <c r="DH10" s="180"/>
      <c r="DI10" s="180"/>
      <c r="DJ10" s="180"/>
      <c r="DK10" s="180"/>
      <c r="DL10" s="180"/>
      <c r="DM10" s="180"/>
      <c r="DN10" s="180"/>
      <c r="DO10" s="180"/>
      <c r="DP10" s="180"/>
      <c r="DQ10" s="180"/>
      <c r="DR10" s="180"/>
      <c r="DS10" s="180"/>
      <c r="DT10" s="180"/>
      <c r="DU10" s="180"/>
      <c r="DV10" s="180"/>
      <c r="DW10" s="180"/>
      <c r="DX10" s="180"/>
      <c r="DY10" s="180"/>
      <c r="DZ10" s="180"/>
      <c r="EA10" s="180"/>
    </row>
    <row r="11" spans="1:131" s="179" customFormat="1" ht="32.1" customHeight="1">
      <c r="A11" s="138" t="s">
        <v>1329</v>
      </c>
      <c r="B11" s="773"/>
      <c r="C11" s="405" t="s">
        <v>1330</v>
      </c>
      <c r="D11" s="406"/>
      <c r="E11" s="406"/>
      <c r="F11" s="406"/>
      <c r="G11" s="406"/>
      <c r="H11" s="406"/>
      <c r="I11" s="406"/>
      <c r="J11" s="406"/>
      <c r="K11" s="408"/>
      <c r="L11" s="409" t="s">
        <v>1331</v>
      </c>
      <c r="M11" s="406"/>
      <c r="N11" s="406"/>
      <c r="O11" s="406"/>
      <c r="P11" s="406"/>
      <c r="Q11" s="406"/>
      <c r="R11" s="406"/>
      <c r="S11" s="406"/>
      <c r="T11" s="406"/>
      <c r="U11" s="769" t="s">
        <v>1332</v>
      </c>
      <c r="V11" s="773"/>
      <c r="W11" s="406" t="s">
        <v>1330</v>
      </c>
      <c r="X11" s="406"/>
      <c r="Y11" s="406"/>
      <c r="Z11" s="406"/>
      <c r="AA11" s="406"/>
      <c r="AB11" s="406"/>
      <c r="AC11" s="406"/>
      <c r="AD11" s="406"/>
      <c r="AE11" s="408"/>
      <c r="AF11" s="409" t="s">
        <v>1331</v>
      </c>
      <c r="AG11" s="406"/>
      <c r="AH11" s="406"/>
      <c r="AI11" s="406"/>
      <c r="AJ11" s="406"/>
      <c r="AK11" s="406"/>
      <c r="AL11" s="406"/>
      <c r="AM11" s="406"/>
      <c r="AN11" s="406"/>
      <c r="AO11" s="769" t="s">
        <v>1332</v>
      </c>
      <c r="AP11" s="773"/>
      <c r="AQ11" s="405" t="s">
        <v>1330</v>
      </c>
      <c r="AR11" s="406"/>
      <c r="AS11" s="406"/>
      <c r="AT11" s="406"/>
      <c r="AU11" s="406"/>
      <c r="AV11" s="406"/>
      <c r="AW11" s="406"/>
      <c r="AX11" s="406"/>
      <c r="AY11" s="408"/>
      <c r="AZ11" s="409" t="s">
        <v>1331</v>
      </c>
      <c r="BA11" s="406"/>
      <c r="BB11" s="406"/>
      <c r="BC11" s="406"/>
      <c r="BD11" s="406"/>
      <c r="BE11" s="406"/>
      <c r="BF11" s="406"/>
      <c r="BG11" s="406"/>
      <c r="BH11" s="406"/>
      <c r="BI11" s="778" t="s">
        <v>1332</v>
      </c>
      <c r="BJ11" s="773"/>
      <c r="BK11" s="406" t="s">
        <v>1330</v>
      </c>
      <c r="BL11" s="406"/>
      <c r="BM11" s="406"/>
      <c r="BN11" s="406"/>
      <c r="BO11" s="406"/>
      <c r="BP11" s="406"/>
      <c r="BQ11" s="406"/>
      <c r="BR11" s="406"/>
      <c r="BS11" s="408"/>
      <c r="BT11" s="409" t="s">
        <v>1331</v>
      </c>
      <c r="BU11" s="406"/>
      <c r="BV11" s="406"/>
      <c r="BW11" s="406"/>
      <c r="BX11" s="406"/>
      <c r="BY11" s="406"/>
      <c r="BZ11" s="406"/>
      <c r="CA11" s="406"/>
      <c r="CB11" s="406"/>
      <c r="CC11" s="778" t="s">
        <v>1332</v>
      </c>
      <c r="CD11" s="773"/>
      <c r="CE11" s="645" t="s">
        <v>1330</v>
      </c>
      <c r="CF11" s="645"/>
      <c r="CG11" s="645"/>
      <c r="CH11" s="645"/>
      <c r="CI11" s="775"/>
      <c r="CJ11" s="645" t="s">
        <v>1331</v>
      </c>
      <c r="CK11" s="645"/>
      <c r="CL11" s="645"/>
      <c r="CM11" s="645"/>
      <c r="CN11" s="775"/>
      <c r="CO11" s="645" t="s">
        <v>1333</v>
      </c>
      <c r="CP11" s="645"/>
      <c r="CQ11" s="645"/>
      <c r="CR11" s="645"/>
      <c r="CS11" s="775"/>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row>
    <row r="12" spans="1:131" ht="12.75" customHeight="1">
      <c r="A12" s="103" t="s">
        <v>1334</v>
      </c>
      <c r="B12" s="773"/>
      <c r="C12" s="174" t="s">
        <v>1291</v>
      </c>
      <c r="D12" s="175"/>
      <c r="E12" s="174" t="s">
        <v>1298</v>
      </c>
      <c r="F12" s="175"/>
      <c r="G12" s="174" t="s">
        <v>1299</v>
      </c>
      <c r="H12" s="175"/>
      <c r="I12" s="174" t="s">
        <v>1300</v>
      </c>
      <c r="J12" s="175"/>
      <c r="K12" s="79"/>
      <c r="L12" s="176" t="s">
        <v>1291</v>
      </c>
      <c r="M12" s="175"/>
      <c r="N12" s="174" t="s">
        <v>1298</v>
      </c>
      <c r="O12" s="175"/>
      <c r="P12" s="174" t="s">
        <v>1299</v>
      </c>
      <c r="Q12" s="175"/>
      <c r="R12" s="174" t="s">
        <v>1300</v>
      </c>
      <c r="S12" s="175"/>
      <c r="T12" s="411"/>
      <c r="U12" s="770"/>
      <c r="V12" s="773"/>
      <c r="W12" s="177" t="s">
        <v>1291</v>
      </c>
      <c r="X12" s="175"/>
      <c r="Y12" s="174" t="s">
        <v>1298</v>
      </c>
      <c r="Z12" s="175"/>
      <c r="AA12" s="174" t="s">
        <v>1299</v>
      </c>
      <c r="AB12" s="175"/>
      <c r="AC12" s="174" t="s">
        <v>1300</v>
      </c>
      <c r="AD12" s="175"/>
      <c r="AE12" s="79"/>
      <c r="AF12" s="176" t="s">
        <v>1291</v>
      </c>
      <c r="AG12" s="175"/>
      <c r="AH12" s="174" t="s">
        <v>1298</v>
      </c>
      <c r="AI12" s="175"/>
      <c r="AJ12" s="174" t="s">
        <v>1299</v>
      </c>
      <c r="AK12" s="175"/>
      <c r="AL12" s="174" t="s">
        <v>1300</v>
      </c>
      <c r="AM12" s="175"/>
      <c r="AN12" s="411"/>
      <c r="AO12" s="770"/>
      <c r="AP12" s="773"/>
      <c r="AQ12" s="174" t="s">
        <v>1291</v>
      </c>
      <c r="AR12" s="175"/>
      <c r="AS12" s="174" t="s">
        <v>1298</v>
      </c>
      <c r="AT12" s="175"/>
      <c r="AU12" s="174" t="s">
        <v>1299</v>
      </c>
      <c r="AV12" s="175"/>
      <c r="AW12" s="174" t="s">
        <v>1300</v>
      </c>
      <c r="AX12" s="175"/>
      <c r="AY12" s="79"/>
      <c r="AZ12" s="176" t="s">
        <v>1291</v>
      </c>
      <c r="BA12" s="175"/>
      <c r="BB12" s="174" t="s">
        <v>1298</v>
      </c>
      <c r="BC12" s="175"/>
      <c r="BD12" s="174" t="s">
        <v>1299</v>
      </c>
      <c r="BE12" s="175"/>
      <c r="BF12" s="174" t="s">
        <v>1300</v>
      </c>
      <c r="BG12" s="175"/>
      <c r="BH12" s="411"/>
      <c r="BI12" s="779"/>
      <c r="BJ12" s="773"/>
      <c r="BK12" s="177" t="s">
        <v>1291</v>
      </c>
      <c r="BL12" s="175"/>
      <c r="BM12" s="174" t="s">
        <v>1298</v>
      </c>
      <c r="BN12" s="175"/>
      <c r="BO12" s="174" t="s">
        <v>1299</v>
      </c>
      <c r="BP12" s="175"/>
      <c r="BQ12" s="174" t="s">
        <v>1300</v>
      </c>
      <c r="BR12" s="175"/>
      <c r="BS12" s="79"/>
      <c r="BT12" s="176" t="s">
        <v>1291</v>
      </c>
      <c r="BU12" s="175"/>
      <c r="BV12" s="174" t="s">
        <v>1298</v>
      </c>
      <c r="BW12" s="175"/>
      <c r="BX12" s="174" t="s">
        <v>1299</v>
      </c>
      <c r="BY12" s="175"/>
      <c r="BZ12" s="174" t="s">
        <v>1300</v>
      </c>
      <c r="CA12" s="175"/>
      <c r="CB12" s="411"/>
      <c r="CC12" s="779"/>
      <c r="CD12" s="773"/>
      <c r="CE12" s="174" t="s">
        <v>1291</v>
      </c>
      <c r="CF12" s="174" t="s">
        <v>1298</v>
      </c>
      <c r="CG12" s="174" t="s">
        <v>1299</v>
      </c>
      <c r="CH12" s="175" t="s">
        <v>1300</v>
      </c>
      <c r="CI12" s="775"/>
      <c r="CJ12" s="174" t="s">
        <v>1291</v>
      </c>
      <c r="CK12" s="174" t="s">
        <v>1298</v>
      </c>
      <c r="CL12" s="174" t="s">
        <v>1299</v>
      </c>
      <c r="CM12" s="175" t="s">
        <v>1300</v>
      </c>
      <c r="CN12" s="775"/>
      <c r="CO12" s="174" t="s">
        <v>1291</v>
      </c>
      <c r="CP12" s="174" t="s">
        <v>1298</v>
      </c>
      <c r="CQ12" s="174" t="s">
        <v>1299</v>
      </c>
      <c r="CR12" s="175" t="s">
        <v>1300</v>
      </c>
      <c r="CS12" s="775"/>
    </row>
    <row r="13" spans="1:131" s="247" customFormat="1" ht="46.5" customHeight="1">
      <c r="A13" s="410"/>
      <c r="B13" s="773"/>
      <c r="C13" s="612" t="s">
        <v>408</v>
      </c>
      <c r="D13" s="612" t="s">
        <v>406</v>
      </c>
      <c r="E13" s="612" t="s">
        <v>408</v>
      </c>
      <c r="F13" s="612" t="s">
        <v>406</v>
      </c>
      <c r="G13" s="612" t="s">
        <v>408</v>
      </c>
      <c r="H13" s="612" t="s">
        <v>406</v>
      </c>
      <c r="I13" s="612" t="s">
        <v>408</v>
      </c>
      <c r="J13" s="612" t="s">
        <v>406</v>
      </c>
      <c r="K13" s="613" t="s">
        <v>1335</v>
      </c>
      <c r="L13" s="614" t="s">
        <v>408</v>
      </c>
      <c r="M13" s="612" t="s">
        <v>406</v>
      </c>
      <c r="N13" s="612" t="s">
        <v>408</v>
      </c>
      <c r="O13" s="612" t="s">
        <v>406</v>
      </c>
      <c r="P13" s="612" t="s">
        <v>408</v>
      </c>
      <c r="Q13" s="612" t="s">
        <v>406</v>
      </c>
      <c r="R13" s="612" t="s">
        <v>408</v>
      </c>
      <c r="S13" s="612" t="s">
        <v>406</v>
      </c>
      <c r="T13" s="612" t="s">
        <v>1336</v>
      </c>
      <c r="U13" s="771"/>
      <c r="V13" s="773"/>
      <c r="W13" s="615" t="s">
        <v>408</v>
      </c>
      <c r="X13" s="612" t="s">
        <v>406</v>
      </c>
      <c r="Y13" s="612" t="s">
        <v>408</v>
      </c>
      <c r="Z13" s="612" t="s">
        <v>406</v>
      </c>
      <c r="AA13" s="612" t="s">
        <v>408</v>
      </c>
      <c r="AB13" s="612" t="s">
        <v>406</v>
      </c>
      <c r="AC13" s="612" t="s">
        <v>408</v>
      </c>
      <c r="AD13" s="612" t="s">
        <v>406</v>
      </c>
      <c r="AE13" s="613" t="s">
        <v>1335</v>
      </c>
      <c r="AF13" s="614" t="s">
        <v>408</v>
      </c>
      <c r="AG13" s="612" t="s">
        <v>406</v>
      </c>
      <c r="AH13" s="612" t="s">
        <v>408</v>
      </c>
      <c r="AI13" s="612" t="s">
        <v>406</v>
      </c>
      <c r="AJ13" s="612" t="s">
        <v>408</v>
      </c>
      <c r="AK13" s="612" t="s">
        <v>406</v>
      </c>
      <c r="AL13" s="612" t="s">
        <v>408</v>
      </c>
      <c r="AM13" s="612" t="s">
        <v>406</v>
      </c>
      <c r="AN13" s="612" t="s">
        <v>1336</v>
      </c>
      <c r="AO13" s="771"/>
      <c r="AP13" s="773"/>
      <c r="AQ13" s="612" t="s">
        <v>408</v>
      </c>
      <c r="AR13" s="612" t="s">
        <v>406</v>
      </c>
      <c r="AS13" s="612" t="s">
        <v>408</v>
      </c>
      <c r="AT13" s="612" t="s">
        <v>406</v>
      </c>
      <c r="AU13" s="612" t="s">
        <v>408</v>
      </c>
      <c r="AV13" s="612" t="s">
        <v>406</v>
      </c>
      <c r="AW13" s="612" t="s">
        <v>408</v>
      </c>
      <c r="AX13" s="612" t="s">
        <v>406</v>
      </c>
      <c r="AY13" s="613" t="s">
        <v>1335</v>
      </c>
      <c r="AZ13" s="614" t="s">
        <v>408</v>
      </c>
      <c r="BA13" s="612" t="s">
        <v>406</v>
      </c>
      <c r="BB13" s="612" t="s">
        <v>408</v>
      </c>
      <c r="BC13" s="612" t="s">
        <v>406</v>
      </c>
      <c r="BD13" s="612" t="s">
        <v>408</v>
      </c>
      <c r="BE13" s="612" t="s">
        <v>406</v>
      </c>
      <c r="BF13" s="612" t="s">
        <v>408</v>
      </c>
      <c r="BG13" s="612" t="s">
        <v>406</v>
      </c>
      <c r="BH13" s="612" t="s">
        <v>1336</v>
      </c>
      <c r="BI13" s="780"/>
      <c r="BJ13" s="773"/>
      <c r="BK13" s="615" t="s">
        <v>408</v>
      </c>
      <c r="BL13" s="612" t="s">
        <v>406</v>
      </c>
      <c r="BM13" s="612" t="s">
        <v>408</v>
      </c>
      <c r="BN13" s="612" t="s">
        <v>406</v>
      </c>
      <c r="BO13" s="612" t="s">
        <v>408</v>
      </c>
      <c r="BP13" s="612" t="s">
        <v>406</v>
      </c>
      <c r="BQ13" s="612" t="s">
        <v>408</v>
      </c>
      <c r="BR13" s="612" t="s">
        <v>406</v>
      </c>
      <c r="BS13" s="613" t="s">
        <v>1335</v>
      </c>
      <c r="BT13" s="614" t="s">
        <v>408</v>
      </c>
      <c r="BU13" s="612" t="s">
        <v>406</v>
      </c>
      <c r="BV13" s="612" t="s">
        <v>408</v>
      </c>
      <c r="BW13" s="612" t="s">
        <v>406</v>
      </c>
      <c r="BX13" s="612" t="s">
        <v>408</v>
      </c>
      <c r="BY13" s="612" t="s">
        <v>406</v>
      </c>
      <c r="BZ13" s="612" t="s">
        <v>408</v>
      </c>
      <c r="CA13" s="612" t="s">
        <v>406</v>
      </c>
      <c r="CB13" s="612" t="s">
        <v>1336</v>
      </c>
      <c r="CC13" s="780"/>
      <c r="CD13" s="773"/>
      <c r="CE13" s="616" t="s">
        <v>54</v>
      </c>
      <c r="CF13" s="616" t="s">
        <v>54</v>
      </c>
      <c r="CG13" s="616" t="s">
        <v>54</v>
      </c>
      <c r="CH13" s="616" t="s">
        <v>54</v>
      </c>
      <c r="CI13" s="776"/>
      <c r="CJ13" s="616" t="s">
        <v>54</v>
      </c>
      <c r="CK13" s="616" t="s">
        <v>54</v>
      </c>
      <c r="CL13" s="616" t="s">
        <v>54</v>
      </c>
      <c r="CM13" s="616" t="s">
        <v>54</v>
      </c>
      <c r="CN13" s="776"/>
      <c r="CO13" s="616" t="s">
        <v>54</v>
      </c>
      <c r="CP13" s="616" t="s">
        <v>54</v>
      </c>
      <c r="CQ13" s="616" t="s">
        <v>54</v>
      </c>
      <c r="CR13" s="616" t="s">
        <v>54</v>
      </c>
      <c r="CS13" s="776"/>
      <c r="CT13" s="374"/>
      <c r="CU13" s="374"/>
      <c r="CV13" s="374"/>
      <c r="CW13" s="374"/>
      <c r="CX13" s="374"/>
      <c r="CY13" s="374"/>
      <c r="CZ13" s="374"/>
      <c r="DA13" s="374"/>
      <c r="DB13" s="374"/>
      <c r="DC13" s="374"/>
      <c r="DD13" s="374"/>
      <c r="DE13" s="374"/>
      <c r="DF13" s="374"/>
      <c r="DG13" s="374"/>
      <c r="DH13" s="374"/>
      <c r="DI13" s="374"/>
      <c r="DJ13" s="374"/>
      <c r="DK13" s="374"/>
      <c r="DL13" s="374"/>
      <c r="DM13" s="374"/>
      <c r="DN13" s="374"/>
      <c r="DO13" s="374"/>
      <c r="DP13" s="374"/>
      <c r="DQ13" s="374"/>
      <c r="DR13" s="374"/>
      <c r="DS13" s="374"/>
      <c r="DT13" s="374"/>
      <c r="DU13" s="374"/>
      <c r="DV13" s="374"/>
      <c r="DW13" s="374"/>
      <c r="DX13" s="374"/>
      <c r="DY13" s="374"/>
      <c r="DZ13" s="374"/>
      <c r="EA13" s="374"/>
    </row>
    <row r="14" spans="1:131" ht="15.75" customHeight="1">
      <c r="A14" s="16" t="s">
        <v>1293</v>
      </c>
      <c r="B14" s="140"/>
      <c r="C14" s="637">
        <f>INDEX('Schedule 1_Enrollment'!$D$12:$K$35,MATCH(C12,'Schedule 1_Enrollment'!$B$10:$B$31,0)+1,MATCH(C10,'Schedule 1_Enrollment'!$D$10:$K$10,0)+IF(C13="Dual Eligible",1,0))</f>
        <v>109</v>
      </c>
      <c r="D14" s="637">
        <f>INDEX('Schedule 1_Enrollment'!$D$12:$K$35,MATCH(C12,'Schedule 1_Enrollment'!$B$10:$B$31,0)+1,MATCH(C10,'Schedule 1_Enrollment'!$D$10:$K$10,0)+IF(D13="Dual Eligible",1,0))</f>
        <v>430</v>
      </c>
      <c r="E14" s="637">
        <f>INDEX('Schedule 1_Enrollment'!$D$12:$K$35,MATCH(E12,'Schedule 1_Enrollment'!$B$10:$B$31,0)+1,MATCH(C10,'Schedule 1_Enrollment'!$D$10:$K$10,0)+IF(E13="Dual Eligible",1,0))</f>
        <v>126</v>
      </c>
      <c r="F14" s="637">
        <f>INDEX('Schedule 1_Enrollment'!$D$12:$K$35,MATCH(E12,'Schedule 1_Enrollment'!$B$10:$B$31,0)+1,MATCH(C10,'Schedule 1_Enrollment'!$D$10:$K$10,0)+IF(F13="Dual Eligible",1,0))</f>
        <v>558</v>
      </c>
      <c r="G14" s="637">
        <f>INDEX('Schedule 1_Enrollment'!$D$12:$K$35,MATCH(G12,'Schedule 1_Enrollment'!$B$10:$B$31,0)+1,MATCH(C10,'Schedule 1_Enrollment'!$D$10:$K$10,0)+IF(G13="Dual Eligible",1,0))</f>
        <v>136</v>
      </c>
      <c r="H14" s="637">
        <f>INDEX('Schedule 1_Enrollment'!$D$12:$K$35,MATCH(G12,'Schedule 1_Enrollment'!$B$10:$B$31,0)+1,MATCH(C10,'Schedule 1_Enrollment'!$D$10:$K$10,0)+IF(H13="Dual Eligible",1,0))</f>
        <v>583</v>
      </c>
      <c r="I14" s="637">
        <f>INDEX('Schedule 1_Enrollment'!$D$12:$K$35,MATCH(I12,'Schedule 1_Enrollment'!$B$10:$B$31,0)+1,MATCH(C10,'Schedule 1_Enrollment'!$D$10:$K$10,0)+IF(I13="Dual Eligible",1,0))</f>
        <v>108</v>
      </c>
      <c r="J14" s="637">
        <f>INDEX('Schedule 1_Enrollment'!$D$12:$K$35,MATCH(I12,'Schedule 1_Enrollment'!$B$10:$B$31,0)+1,MATCH(C10,'Schedule 1_Enrollment'!$D$10:$K$10,0)+IF(J13="Dual Eligible",1,0))</f>
        <v>561</v>
      </c>
      <c r="K14" s="640">
        <f>SUM(C14:J14)</f>
        <v>2611</v>
      </c>
      <c r="L14" s="639">
        <f>INDEX('Schedule 1_Enrollment'!$D$12:$K$35,MATCH(L12,'Schedule 1_Enrollment'!$B$10:$B$31,0)+1,MATCH(C10,'Schedule 1_Enrollment'!$D$10:$K$10,0)+IF(L13="Dual Eligible",1,0))</f>
        <v>109</v>
      </c>
      <c r="M14" s="637">
        <f>INDEX('Schedule 1_Enrollment'!$D$12:$K$35,MATCH(L12,'Schedule 1_Enrollment'!$B$10:$B$31,0)+1,MATCH(C10,'Schedule 1_Enrollment'!$D$10:$K$10,0)+IF(M13="Dual Eligible",1,0))</f>
        <v>430</v>
      </c>
      <c r="N14" s="637">
        <f>INDEX('Schedule 1_Enrollment'!$D$12:$K$35,MATCH(N12,'Schedule 1_Enrollment'!$B$10:$B$31,0)+1,MATCH(C10,'Schedule 1_Enrollment'!$D$10:$K$10,0)+IF(N13="Dual Eligible",1,0))</f>
        <v>126</v>
      </c>
      <c r="O14" s="637">
        <f>INDEX('Schedule 1_Enrollment'!$D$12:$K$35,MATCH(N12,'Schedule 1_Enrollment'!$B$10:$B$31,0)+1,MATCH(C10,'Schedule 1_Enrollment'!$D$10:$K$10,0)+IF(O13="Dual Eligible",1,0))</f>
        <v>558</v>
      </c>
      <c r="P14" s="637">
        <f>INDEX('Schedule 1_Enrollment'!$D$12:$K$35,MATCH(P12,'Schedule 1_Enrollment'!$B$10:$B$31,0)+1,MATCH(C10,'Schedule 1_Enrollment'!$D$10:$K$10,0)+IF(P13="Dual Eligible",1,0))</f>
        <v>136</v>
      </c>
      <c r="Q14" s="637">
        <f>INDEX('Schedule 1_Enrollment'!$D$12:$K$35,MATCH(P12,'Schedule 1_Enrollment'!$B$10:$B$31,0)+1,MATCH(C10,'Schedule 1_Enrollment'!$D$10:$K$10,0)+IF(Q13="Dual Eligible",1,0))</f>
        <v>583</v>
      </c>
      <c r="R14" s="637">
        <f>INDEX('Schedule 1_Enrollment'!$D$12:$K$35,MATCH(R12,'Schedule 1_Enrollment'!$B$10:$B$31,0)+1,MATCH(C10,'Schedule 1_Enrollment'!$D$10:$K$10,0)+IF(R13="Dual Eligible",1,0))</f>
        <v>108</v>
      </c>
      <c r="S14" s="637">
        <f>INDEX('Schedule 1_Enrollment'!$D$12:$K$35,MATCH(R12,'Schedule 1_Enrollment'!$B$10:$B$31,0)+1,MATCH(C10,'Schedule 1_Enrollment'!$D$10:$K$10,0)+IF(S13="Dual Eligible",1,0))</f>
        <v>561</v>
      </c>
      <c r="T14" s="640">
        <f>SUM(L14:S14)</f>
        <v>2611</v>
      </c>
      <c r="U14" s="637">
        <f>T14</f>
        <v>2611</v>
      </c>
      <c r="V14" s="140"/>
      <c r="W14" s="637">
        <f>INDEX('Schedule 1_Enrollment'!$D$12:$K$35,MATCH(W12,'Schedule 1_Enrollment'!$B$10:$B$31,0)+1,MATCH(W10,'Schedule 1_Enrollment'!$D$10:$K$10,0)+IF(W13="Dual Eligible",1,0))</f>
        <v>0</v>
      </c>
      <c r="X14" s="637">
        <f>INDEX('Schedule 1_Enrollment'!$D$12:$K$35,MATCH(W12,'Schedule 1_Enrollment'!$B$10:$B$31,0)+1,MATCH(W10,'Schedule 1_Enrollment'!$D$10:$K$10,0)+IF(X13="Dual Eligible",1,0))</f>
        <v>124</v>
      </c>
      <c r="Y14" s="637">
        <f>INDEX('Schedule 1_Enrollment'!$D$12:$K$35,MATCH(Y12,'Schedule 1_Enrollment'!$B$10:$B$31,0)+1,MATCH(W10,'Schedule 1_Enrollment'!$D$10:$K$10,0)+IF(Y13="Dual Eligible",1,0))</f>
        <v>2</v>
      </c>
      <c r="Z14" s="637">
        <f>INDEX('Schedule 1_Enrollment'!$D$12:$K$35,MATCH(Y12,'Schedule 1_Enrollment'!$B$10:$B$31,0)+1,MATCH(W10,'Schedule 1_Enrollment'!$D$10:$K$10,0)+IF(Z13="Dual Eligible",1,0))</f>
        <v>103</v>
      </c>
      <c r="AA14" s="637">
        <f>INDEX('Schedule 1_Enrollment'!$D$12:$K$35,MATCH(AA12,'Schedule 1_Enrollment'!$B$10:$B$31,0)+1,MATCH(W10,'Schedule 1_Enrollment'!$D$10:$K$10,0)+IF(AA13="Dual Eligible",1,0))</f>
        <v>8</v>
      </c>
      <c r="AB14" s="637">
        <f>INDEX('Schedule 1_Enrollment'!$D$12:$K$35,MATCH(AA12,'Schedule 1_Enrollment'!$B$10:$B$31,0)+1,MATCH(W10,'Schedule 1_Enrollment'!$D$10:$K$10,0)+IF(AB13="Dual Eligible",1,0))</f>
        <v>98</v>
      </c>
      <c r="AC14" s="637">
        <f>INDEX('Schedule 1_Enrollment'!$D$12:$K$35,MATCH(AC12,'Schedule 1_Enrollment'!$B$10:$B$31,0)+1,MATCH(W10,'Schedule 1_Enrollment'!$D$10:$K$10,0)+IF(AC13="Dual Eligible",1,0))</f>
        <v>9</v>
      </c>
      <c r="AD14" s="637">
        <f>INDEX('Schedule 1_Enrollment'!$D$12:$K$35,MATCH(AC12,'Schedule 1_Enrollment'!$B$10:$B$31,0)+1,MATCH(W10,'Schedule 1_Enrollment'!$D$10:$K$10,0)+IF(AD13="Dual Eligible",1,0))</f>
        <v>100</v>
      </c>
      <c r="AE14" s="640">
        <f>SUM(W14:AD14)</f>
        <v>444</v>
      </c>
      <c r="AF14" s="639">
        <f>INDEX('Schedule 1_Enrollment'!$D$12:$K$35,MATCH(AF12,'Schedule 1_Enrollment'!$B$10:$B$31,0)+1,MATCH(W10,'Schedule 1_Enrollment'!$D$10:$K$10,0)+IF(AF13="Dual Eligible",1,0))</f>
        <v>0</v>
      </c>
      <c r="AG14" s="637">
        <f>INDEX('Schedule 1_Enrollment'!$D$12:$K$35,MATCH(AF12,'Schedule 1_Enrollment'!$B$10:$B$31,0)+1,MATCH(W10,'Schedule 1_Enrollment'!$D$10:$K$10,0)+IF(AG13="Dual Eligible",1,0))</f>
        <v>124</v>
      </c>
      <c r="AH14" s="637">
        <f>INDEX('Schedule 1_Enrollment'!$D$12:$K$35,MATCH(AH12,'Schedule 1_Enrollment'!$B$10:$B$31,0)+1,MATCH(W10,'Schedule 1_Enrollment'!$D$10:$K$10,0)+IF(AH13="Dual Eligible",1,0))</f>
        <v>2</v>
      </c>
      <c r="AI14" s="637">
        <f>INDEX('Schedule 1_Enrollment'!$D$12:$K$35,MATCH(AH12,'Schedule 1_Enrollment'!$B$10:$B$31,0)+1,MATCH(W10,'Schedule 1_Enrollment'!$D$10:$K$10,0)+IF(AI13="Dual Eligible",1,0))</f>
        <v>103</v>
      </c>
      <c r="AJ14" s="637">
        <f>INDEX('Schedule 1_Enrollment'!$D$12:$K$35,MATCH(AJ12,'Schedule 1_Enrollment'!$B$10:$B$31,0)+1,MATCH(W10,'Schedule 1_Enrollment'!$D$10:$K$10,0)+IF(AJ13="Dual Eligible",1,0))</f>
        <v>8</v>
      </c>
      <c r="AK14" s="637">
        <f>INDEX('Schedule 1_Enrollment'!$D$12:$K$35,MATCH(AJ12,'Schedule 1_Enrollment'!$B$10:$B$31,0)+1,MATCH(W10,'Schedule 1_Enrollment'!$D$10:$K$10,0)+IF(AK13="Dual Eligible",1,0))</f>
        <v>98</v>
      </c>
      <c r="AL14" s="637">
        <f>INDEX('Schedule 1_Enrollment'!$D$12:$K$35,MATCH(AL12,'Schedule 1_Enrollment'!$B$10:$B$31,0)+1,MATCH(W10,'Schedule 1_Enrollment'!$D$10:$K$10,0)+IF(AL13="Dual Eligible",1,0))</f>
        <v>9</v>
      </c>
      <c r="AM14" s="637">
        <f>INDEX('Schedule 1_Enrollment'!$D$12:$K$35,MATCH(AL12,'Schedule 1_Enrollment'!$B$10:$B$31,0)+1,MATCH(W10,'Schedule 1_Enrollment'!$D$10:$K$10,0)+IF(AM13="Dual Eligible",1,0))</f>
        <v>100</v>
      </c>
      <c r="AN14" s="640">
        <f>SUM(AF14:AM14)</f>
        <v>444</v>
      </c>
      <c r="AO14" s="637">
        <f>AN14</f>
        <v>444</v>
      </c>
      <c r="AP14" s="140"/>
      <c r="AQ14" s="637">
        <f>INDEX('Schedule 1_Enrollment'!$D$12:$K$35,MATCH(AQ12,'Schedule 1_Enrollment'!$B$10:$B$31,0)+1,MATCH(AQ10,'Schedule 1_Enrollment'!$D$10:$K$10,0)+IF(AQ13="Dual Eligible",1,0))</f>
        <v>298</v>
      </c>
      <c r="AR14" s="637">
        <f>INDEX('Schedule 1_Enrollment'!$D$12:$K$35,MATCH(AQ12,'Schedule 1_Enrollment'!$B$10:$B$31,0)+1,MATCH(AQ10,'Schedule 1_Enrollment'!$D$10:$K$10,0)+IF(AR13="Dual Eligible",1,0))</f>
        <v>1083.342594773655</v>
      </c>
      <c r="AS14" s="637">
        <f>INDEX('Schedule 1_Enrollment'!$D$12:$K$35,MATCH(AS12,'Schedule 1_Enrollment'!$B$10:$B$31,0)+1,MATCH(AQ10,'Schedule 1_Enrollment'!$D$10:$K$10,0)+IF(AS13="Dual Eligible",1,0))</f>
        <v>304</v>
      </c>
      <c r="AT14" s="637">
        <f>INDEX('Schedule 1_Enrollment'!$D$12:$K$35,MATCH(AS12,'Schedule 1_Enrollment'!$B$10:$B$31,0)+1,MATCH(AQ10,'Schedule 1_Enrollment'!$D$10:$K$10,0)+IF(AT13="Dual Eligible",1,0))</f>
        <v>1081.7356920975371</v>
      </c>
      <c r="AU14" s="637">
        <f>INDEX('Schedule 1_Enrollment'!$D$12:$K$35,MATCH(AU12,'Schedule 1_Enrollment'!$B$10:$B$31,0)+1,MATCH(AQ10,'Schedule 1_Enrollment'!$D$10:$K$10,0)+IF(AU13="Dual Eligible",1,0))</f>
        <v>333.06490137486685</v>
      </c>
      <c r="AV14" s="637">
        <f>INDEX('Schedule 1_Enrollment'!$D$12:$K$35,MATCH(AU12,'Schedule 1_Enrollment'!$B$10:$B$31,0)+1,MATCH(AQ10,'Schedule 1_Enrollment'!$D$10:$K$10,0)+IF(AV13="Dual Eligible",1,0))</f>
        <v>1223.7687490240294</v>
      </c>
      <c r="AW14" s="637">
        <f>INDEX('Schedule 1_Enrollment'!$D$12:$K$35,MATCH(AW12,'Schedule 1_Enrollment'!$B$10:$B$31,0)+1,MATCH(AQ10,'Schedule 1_Enrollment'!$D$10:$K$10,0)+IF(AW13="Dual Eligible",1,0))</f>
        <v>373</v>
      </c>
      <c r="AX14" s="637">
        <f>INDEX('Schedule 1_Enrollment'!$D$12:$K$35,MATCH(AW12,'Schedule 1_Enrollment'!$B$10:$B$31,0)+1,MATCH(AQ10,'Schedule 1_Enrollment'!$D$10:$K$10,0)+IF(AX13="Dual Eligible",1,0))</f>
        <v>1401.5125006427527</v>
      </c>
      <c r="AY14" s="640">
        <f>SUM(AQ14:AX14)</f>
        <v>6098.4244379128413</v>
      </c>
      <c r="AZ14" s="639">
        <f>INDEX('Schedule 1_Enrollment'!$D$12:$K$35,MATCH(AZ12,'Schedule 1_Enrollment'!$B$10:$B$31,0)+1,MATCH(AQ10,'Schedule 1_Enrollment'!$D$10:$K$10,0)+IF(AZ13="Dual Eligible",1,0))</f>
        <v>298</v>
      </c>
      <c r="BA14" s="637">
        <f>INDEX('Schedule 1_Enrollment'!$D$12:$K$35,MATCH(AZ12,'Schedule 1_Enrollment'!$B$10:$B$31,0)+1,MATCH(AQ10,'Schedule 1_Enrollment'!$D$10:$K$10,0)+IF(BA13="Dual Eligible",1,0))</f>
        <v>1083.342594773655</v>
      </c>
      <c r="BB14" s="637">
        <f>INDEX('Schedule 1_Enrollment'!$D$12:$K$35,MATCH(BB12,'Schedule 1_Enrollment'!$B$10:$B$31,0)+1,MATCH(AQ10,'Schedule 1_Enrollment'!$D$10:$K$10,0)+IF(BB13="Dual Eligible",1,0))</f>
        <v>304</v>
      </c>
      <c r="BC14" s="637">
        <f>INDEX('Schedule 1_Enrollment'!$D$12:$K$35,MATCH(BB12,'Schedule 1_Enrollment'!$B$10:$B$31,0)+1,MATCH(AQ10,'Schedule 1_Enrollment'!$D$10:$K$10,0)+IF(BC13="Dual Eligible",1,0))</f>
        <v>1081.7356920975371</v>
      </c>
      <c r="BD14" s="637">
        <f>INDEX('Schedule 1_Enrollment'!$D$12:$K$35,MATCH(BD12,'Schedule 1_Enrollment'!$B$10:$B$31,0)+1,MATCH(AQ10,'Schedule 1_Enrollment'!$D$10:$K$10,0)+IF(BD13="Dual Eligible",1,0))</f>
        <v>333.06490137486685</v>
      </c>
      <c r="BE14" s="637">
        <f>INDEX('Schedule 1_Enrollment'!$D$12:$K$35,MATCH(BD12,'Schedule 1_Enrollment'!$B$10:$B$31,0)+1,MATCH(AQ10,'Schedule 1_Enrollment'!$D$10:$K$10,0)+IF(BE13="Dual Eligible",1,0))</f>
        <v>1223.7687490240294</v>
      </c>
      <c r="BF14" s="637">
        <f>INDEX('Schedule 1_Enrollment'!$D$12:$K$35,MATCH(BF12,'Schedule 1_Enrollment'!$B$10:$B$31,0)+1,MATCH(AQ10,'Schedule 1_Enrollment'!$D$10:$K$10,0)+IF(BF13="Dual Eligible",1,0))</f>
        <v>373</v>
      </c>
      <c r="BG14" s="637">
        <f>INDEX('Schedule 1_Enrollment'!$D$12:$K$35,MATCH(BF12,'Schedule 1_Enrollment'!$B$10:$B$31,0)+1,MATCH(AQ10,'Schedule 1_Enrollment'!$D$10:$K$10,0)+IF(BG13="Dual Eligible",1,0))</f>
        <v>1401.5125006427527</v>
      </c>
      <c r="BH14" s="640">
        <f>SUM(AZ14:BG14)</f>
        <v>6098.4244379128413</v>
      </c>
      <c r="BI14" s="637">
        <f>BH14</f>
        <v>6098.4244379128413</v>
      </c>
      <c r="BJ14" s="140"/>
      <c r="BK14" s="637">
        <f>INDEX('Schedule 1_Enrollment'!$D$12:$K$35,MATCH(BK12,'Schedule 1_Enrollment'!$B$10:$B$31,0)+1,MATCH(IF(BK10="Institutional (All: Tier 1, Tier 2 and Tier 3)","Institutional (All Tiers)",BK10),'Schedule 1_Enrollment'!$D$10:$K$10,0)+IF(BK13="Dual Eligible",1,0))</f>
        <v>3</v>
      </c>
      <c r="BL14" s="637">
        <f>INDEX('Schedule 1_Enrollment'!$D$12:$K$35,MATCH(BK12,'Schedule 1_Enrollment'!$B$10:$B$31,0)+1,MATCH(IF(BK10="Institutional (All: Tier 1, Tier 2 and Tier 3)","Institutional (All Tiers)",BK10),'Schedule 1_Enrollment'!$D$10:$K$10,0)+IF(BL13="Dual Eligible",1,0))</f>
        <v>52.18881248951692</v>
      </c>
      <c r="BM14" s="637">
        <f>INDEX('Schedule 1_Enrollment'!$D$12:$K$35,MATCH(BM12,'Schedule 1_Enrollment'!$B$10:$B$31,0)+1,MATCH(IF(BK10="Institutional (All: Tier 1, Tier 2 and Tier 3)","Institutional (All Tiers)",BK10),'Schedule 1_Enrollment'!$D$10:$K$10,0)+IF(BM13="Dual Eligible",1,0))</f>
        <v>3</v>
      </c>
      <c r="BN14" s="637">
        <f>INDEX('Schedule 1_Enrollment'!$D$12:$K$35,MATCH(BM12,'Schedule 1_Enrollment'!$B$10:$B$31,0)+1,MATCH(IF(BK10="Institutional (All: Tier 1, Tier 2 and Tier 3)","Institutional (All Tiers)",BK10),'Schedule 1_Enrollment'!$D$10:$K$10,0)+IF(BN13="Dual Eligible",1,0))</f>
        <v>43.963657155266901</v>
      </c>
      <c r="BO14" s="637">
        <f>INDEX('Schedule 1_Enrollment'!$D$12:$K$35,MATCH(BO12,'Schedule 1_Enrollment'!$B$10:$B$31,0)+1,MATCH(IF(BK10="Institutional (All: Tier 1, Tier 2 and Tier 3)","Institutional (All Tiers)",BK10),'Schedule 1_Enrollment'!$D$10:$K$10,0)+IF(BO13="Dual Eligible",1,0))</f>
        <v>2.3256022021661988</v>
      </c>
      <c r="BP14" s="637">
        <f>INDEX('Schedule 1_Enrollment'!$D$12:$K$35,MATCH(BO12,'Schedule 1_Enrollment'!$B$10:$B$31,0)+1,MATCH(IF(BK10="Institutional (All: Tier 1, Tier 2 and Tier 3)","Institutional (All Tiers)",BK10),'Schedule 1_Enrollment'!$D$10:$K$10,0)+IF(BP13="Dual Eligible",1,0))</f>
        <v>48.289423696840352</v>
      </c>
      <c r="BQ14" s="637">
        <f>INDEX('Schedule 1_Enrollment'!$D$12:$K$35,MATCH(BQ12,'Schedule 1_Enrollment'!$B$10:$B$31,0)+1,MATCH(IF(BK10="Institutional (All: Tier 1, Tier 2 and Tier 3)","Institutional (All Tiers)",BK10),'Schedule 1_Enrollment'!$D$10:$K$10,0)+IF(BQ13="Dual Eligible",1,0))</f>
        <v>0</v>
      </c>
      <c r="BR14" s="637">
        <f>INDEX('Schedule 1_Enrollment'!$D$12:$K$35,MATCH(BQ12,'Schedule 1_Enrollment'!$B$10:$B$31,0)+1,MATCH(IF(BK10="Institutional (All: Tier 1, Tier 2 and Tier 3)","Institutional (All Tiers)",BK10),'Schedule 1_Enrollment'!$D$10:$K$10,0)+IF(BR13="Dual Eligible",1,0))</f>
        <v>45.549106445735276</v>
      </c>
      <c r="BS14" s="640">
        <f>SUM(BK14:BR14)</f>
        <v>198.31660198952565</v>
      </c>
      <c r="BT14" s="639">
        <f>INDEX('Schedule 1_Enrollment'!$D$12:$K$35,MATCH(BT12,'Schedule 1_Enrollment'!$B$10:$B$31,0)+1,MATCH(IF(BK10="Institutional (All: Tier 1, Tier 2 and Tier 3)","Institutional (All Tiers)",BK10),'Schedule 1_Enrollment'!$D$10:$K$10,0)+IF(BT13="Dual Eligible",1,0))</f>
        <v>3</v>
      </c>
      <c r="BU14" s="637">
        <f>INDEX('Schedule 1_Enrollment'!$D$12:$K$35,MATCH(BT12,'Schedule 1_Enrollment'!$B$10:$B$31,0)+1,MATCH(IF(BK10="Institutional (All: Tier 1, Tier 2 and Tier 3)","Institutional (All Tiers)",BK10),'Schedule 1_Enrollment'!$D$10:$K$10,0)+IF(BU13="Dual Eligible",1,0))</f>
        <v>52.18881248951692</v>
      </c>
      <c r="BV14" s="637">
        <f>INDEX('Schedule 1_Enrollment'!$D$12:$K$35,MATCH(BV12,'Schedule 1_Enrollment'!$B$10:$B$31,0)+1,MATCH(IF(BK10="Institutional (All: Tier 1, Tier 2 and Tier 3)","Institutional (All Tiers)",BK10),'Schedule 1_Enrollment'!$D$10:$K$10,0)+IF(BV13="Dual Eligible",1,0))</f>
        <v>3</v>
      </c>
      <c r="BW14" s="637">
        <f>INDEX('Schedule 1_Enrollment'!$D$12:$K$35,MATCH(BV12,'Schedule 1_Enrollment'!$B$10:$B$31,0)+1,MATCH(IF(BK10="Institutional (All: Tier 1, Tier 2 and Tier 3)","Institutional (All Tiers)",BK10),'Schedule 1_Enrollment'!$D$10:$K$10,0)+IF(BW13="Dual Eligible",1,0))</f>
        <v>43.963657155266901</v>
      </c>
      <c r="BX14" s="637">
        <f>INDEX('Schedule 1_Enrollment'!$D$12:$K$35,MATCH(BX12,'Schedule 1_Enrollment'!$B$10:$B$31,0)+1,MATCH(IF(BK10="Institutional (All: Tier 1, Tier 2 and Tier 3)","Institutional (All Tiers)",BK10),'Schedule 1_Enrollment'!$D$10:$K$10,0)+IF(BX13="Dual Eligible",1,0))</f>
        <v>2.3256022021661988</v>
      </c>
      <c r="BY14" s="637">
        <f>INDEX('Schedule 1_Enrollment'!$D$12:$K$35,MATCH(BX12,'Schedule 1_Enrollment'!$B$10:$B$31,0)+1,MATCH(IF(BK10="Institutional (All: Tier 1, Tier 2 and Tier 3)","Institutional (All Tiers)",BK10),'Schedule 1_Enrollment'!$D$10:$K$10,0)+IF(BY13="Dual Eligible",1,0))</f>
        <v>48.289423696840352</v>
      </c>
      <c r="BZ14" s="637">
        <f>INDEX('Schedule 1_Enrollment'!$D$12:$K$35,MATCH(BZ12,'Schedule 1_Enrollment'!$B$10:$B$31,0)+1,MATCH(IF(BK10="Institutional (All: Tier 1, Tier 2 and Tier 3)","Institutional (All Tiers)",BK10),'Schedule 1_Enrollment'!$D$10:$K$10,0)+IF(BZ13="Dual Eligible",1,0))</f>
        <v>0</v>
      </c>
      <c r="CA14" s="637">
        <f>INDEX('Schedule 1_Enrollment'!$D$12:$K$35,MATCH(BZ12,'Schedule 1_Enrollment'!$B$10:$B$31,0)+1,MATCH(IF(BK10="Institutional (All: Tier 1, Tier 2 and Tier 3)","Institutional (All Tiers)",BK10),'Schedule 1_Enrollment'!$D$10:$K$10,0)+IF(CA13="Dual Eligible",1,0))</f>
        <v>45.549106445735276</v>
      </c>
      <c r="CB14" s="640">
        <f>SUM(BT14:CA14)</f>
        <v>198.31660198952565</v>
      </c>
      <c r="CC14" s="637">
        <f>CB14</f>
        <v>198.31660198952565</v>
      </c>
      <c r="CD14" s="140"/>
      <c r="CE14" s="637">
        <f>+C14+D14+W14+X14+AQ14+AR14+BK14+BL14</f>
        <v>2099.5314072631718</v>
      </c>
      <c r="CF14" s="637">
        <f>+E14+F14+Y14+Z14+AS14+AT14+BM14+BN14</f>
        <v>2221.699349252804</v>
      </c>
      <c r="CG14" s="637">
        <f>+G14+H14+AA14+AB14+AU14+AV14+BO14+BP14</f>
        <v>2432.4486762979027</v>
      </c>
      <c r="CH14" s="637">
        <f>+I14+J14+AC14+AD14+AW14+AX14+BQ14+BR14</f>
        <v>2598.0616070884876</v>
      </c>
      <c r="CI14" s="638">
        <f>SUM(K14,AE14,AY14,BS14)</f>
        <v>9351.7410399023665</v>
      </c>
      <c r="CJ14" s="637">
        <f>L14+M14+AF14+AG14+AZ14+BA14+BT14+BU14</f>
        <v>2099.5314072631718</v>
      </c>
      <c r="CK14" s="637">
        <f>N14+O14+AH14+AI14+BB14+BC14+BV14+BW14</f>
        <v>2221.699349252804</v>
      </c>
      <c r="CL14" s="637">
        <f>P14+Q14+AJ14+AK14+BD14+BE14+BX14+BY14</f>
        <v>2432.4486762979027</v>
      </c>
      <c r="CM14" s="637">
        <f>+R14+S14+AL14+AM14+BF14+BG14+BZ14+CA14</f>
        <v>2598.0616070884876</v>
      </c>
      <c r="CN14" s="638">
        <f>SUM(T14,AN14,BH14,CB14)</f>
        <v>9351.7410399023665</v>
      </c>
      <c r="CO14" s="637">
        <f>+C14+D14+W14+X14+AQ14+AR14+BK14+BL14</f>
        <v>2099.5314072631718</v>
      </c>
      <c r="CP14" s="637">
        <f>+E14+F14+Y14+Z14+AS14+AT14+BM14+BN14</f>
        <v>2221.699349252804</v>
      </c>
      <c r="CQ14" s="637">
        <f>+G14+H14+AA14+AB14+AU14+AV14+BO14+BP14</f>
        <v>2432.4486762979027</v>
      </c>
      <c r="CR14" s="637">
        <f>+I14+J14+AC14+AD14+AW14+AX14+BQ14+BR14</f>
        <v>2598.0616070884876</v>
      </c>
      <c r="CS14" s="638">
        <f t="shared" ref="CS14" si="0">SUM(CC14,BI14,AO14,U14)</f>
        <v>9351.7410399023665</v>
      </c>
    </row>
    <row r="15" spans="1:131" ht="15.75" customHeight="1">
      <c r="A15" s="16" t="s">
        <v>169</v>
      </c>
      <c r="B15" s="193"/>
      <c r="C15" s="104"/>
      <c r="D15" s="104"/>
      <c r="E15" s="104"/>
      <c r="F15" s="104"/>
      <c r="G15" s="104"/>
      <c r="H15" s="104"/>
      <c r="I15" s="104"/>
      <c r="J15" s="104"/>
      <c r="K15" s="375"/>
      <c r="L15" s="376"/>
      <c r="M15" s="104"/>
      <c r="N15" s="104"/>
      <c r="O15" s="104"/>
      <c r="P15" s="104"/>
      <c r="Q15" s="104"/>
      <c r="R15" s="104"/>
      <c r="S15" s="104"/>
      <c r="T15" s="104"/>
      <c r="U15" s="376"/>
      <c r="V15" s="193"/>
      <c r="W15" s="104"/>
      <c r="X15" s="104"/>
      <c r="Y15" s="104"/>
      <c r="Z15" s="104"/>
      <c r="AA15" s="104"/>
      <c r="AB15" s="104"/>
      <c r="AC15" s="104"/>
      <c r="AD15" s="104"/>
      <c r="AE15" s="375"/>
      <c r="AF15" s="376"/>
      <c r="AG15" s="104"/>
      <c r="AH15" s="104"/>
      <c r="AI15" s="104"/>
      <c r="AJ15" s="104"/>
      <c r="AK15" s="104"/>
      <c r="AL15" s="104"/>
      <c r="AM15" s="104"/>
      <c r="AN15" s="104"/>
      <c r="AO15" s="376"/>
      <c r="AP15" s="193"/>
      <c r="AQ15" s="104"/>
      <c r="AR15" s="104"/>
      <c r="AS15" s="104"/>
      <c r="AT15" s="104"/>
      <c r="AU15" s="104"/>
      <c r="AV15" s="104"/>
      <c r="AW15" s="104"/>
      <c r="AX15" s="104"/>
      <c r="AY15" s="375"/>
      <c r="AZ15" s="376"/>
      <c r="BA15" s="104"/>
      <c r="BB15" s="104"/>
      <c r="BC15" s="104"/>
      <c r="BD15" s="104"/>
      <c r="BE15" s="104"/>
      <c r="BF15" s="104"/>
      <c r="BG15" s="104"/>
      <c r="BH15" s="104"/>
      <c r="BI15" s="376"/>
      <c r="BJ15" s="193"/>
      <c r="BK15" s="104"/>
      <c r="BL15" s="104"/>
      <c r="BM15" s="104"/>
      <c r="BN15" s="104"/>
      <c r="BO15" s="104"/>
      <c r="BP15" s="104"/>
      <c r="BQ15" s="104"/>
      <c r="BR15" s="104"/>
      <c r="BS15" s="375"/>
      <c r="BT15" s="376"/>
      <c r="BU15" s="104"/>
      <c r="BV15" s="104"/>
      <c r="BW15" s="104"/>
      <c r="BX15" s="104"/>
      <c r="BY15" s="104"/>
      <c r="BZ15" s="104"/>
      <c r="CA15" s="104"/>
      <c r="CB15" s="104"/>
      <c r="CC15" s="376"/>
      <c r="CD15" s="193"/>
      <c r="CE15" s="199"/>
      <c r="CF15" s="199"/>
      <c r="CG15" s="199"/>
      <c r="CH15" s="199"/>
      <c r="CI15" s="193"/>
      <c r="CJ15" s="199"/>
      <c r="CK15" s="199"/>
      <c r="CL15" s="199"/>
      <c r="CM15" s="199"/>
      <c r="CN15" s="193"/>
      <c r="CO15" s="199"/>
      <c r="CP15" s="199"/>
      <c r="CQ15" s="199"/>
      <c r="CR15" s="199"/>
      <c r="CS15" s="193"/>
    </row>
    <row r="16" spans="1:131" ht="15.75" customHeight="1">
      <c r="A16" s="135" t="s">
        <v>171</v>
      </c>
      <c r="B16" s="300">
        <v>1</v>
      </c>
      <c r="C16" s="233">
        <v>110915.5</v>
      </c>
      <c r="D16" s="233">
        <v>393997.59000000102</v>
      </c>
      <c r="E16" s="233">
        <v>128790.6</v>
      </c>
      <c r="F16" s="233">
        <v>393620.140000001</v>
      </c>
      <c r="G16" s="233">
        <v>157437.91</v>
      </c>
      <c r="H16" s="233">
        <v>400907.93000000197</v>
      </c>
      <c r="I16" s="233">
        <v>160090.99</v>
      </c>
      <c r="J16" s="233">
        <v>410527.67000000202</v>
      </c>
      <c r="K16" s="412">
        <f t="shared" ref="K16:K23" si="1">SUM(C16:J16)</f>
        <v>2156288.3300000057</v>
      </c>
      <c r="L16" s="413">
        <v>0</v>
      </c>
      <c r="M16" s="233">
        <v>0</v>
      </c>
      <c r="N16" s="233">
        <v>0</v>
      </c>
      <c r="O16" s="233">
        <v>0</v>
      </c>
      <c r="P16" s="233">
        <v>0</v>
      </c>
      <c r="Q16" s="233">
        <v>0</v>
      </c>
      <c r="R16" s="233">
        <v>0</v>
      </c>
      <c r="S16" s="233">
        <v>0</v>
      </c>
      <c r="T16" s="414">
        <f t="shared" ref="T16:T23" si="2">SUM(L16:S16)</f>
        <v>0</v>
      </c>
      <c r="U16" s="415">
        <f t="shared" ref="U16:U23" si="3">SUM(K16,T16)</f>
        <v>2156288.3300000057</v>
      </c>
      <c r="V16" s="300">
        <v>1</v>
      </c>
      <c r="W16" s="233">
        <v>22973.040000000001</v>
      </c>
      <c r="X16" s="233">
        <v>309334.93</v>
      </c>
      <c r="Y16" s="233">
        <v>16913.28</v>
      </c>
      <c r="Z16" s="233">
        <v>303526.65000000002</v>
      </c>
      <c r="AA16" s="233">
        <v>13883.4</v>
      </c>
      <c r="AB16" s="233">
        <v>307483.95</v>
      </c>
      <c r="AC16" s="233">
        <v>28482.78</v>
      </c>
      <c r="AD16" s="233">
        <v>333286.80000000098</v>
      </c>
      <c r="AE16" s="412">
        <f t="shared" ref="AE16:AE23" si="4">SUM(W16:AD16)</f>
        <v>1335884.830000001</v>
      </c>
      <c r="AF16" s="413">
        <v>0</v>
      </c>
      <c r="AG16" s="233">
        <v>0</v>
      </c>
      <c r="AH16" s="233">
        <v>0</v>
      </c>
      <c r="AI16" s="233">
        <v>0</v>
      </c>
      <c r="AJ16" s="233">
        <v>0</v>
      </c>
      <c r="AK16" s="233">
        <v>0</v>
      </c>
      <c r="AL16" s="233">
        <v>0</v>
      </c>
      <c r="AM16" s="233">
        <v>0</v>
      </c>
      <c r="AN16" s="414">
        <f t="shared" ref="AN16:AN23" si="5">SUM(AF16:AM16)</f>
        <v>0</v>
      </c>
      <c r="AO16" s="415">
        <f t="shared" ref="AO16:AO23" si="6">SUM(AE16,AN16)</f>
        <v>1335884.830000001</v>
      </c>
      <c r="AP16" s="300">
        <v>1</v>
      </c>
      <c r="AQ16" s="233">
        <v>2836131.77999999</v>
      </c>
      <c r="AR16" s="233">
        <v>9005904.50999978</v>
      </c>
      <c r="AS16" s="233">
        <v>3022979.3299999996</v>
      </c>
      <c r="AT16" s="233">
        <v>9220674.6299997792</v>
      </c>
      <c r="AU16" s="233">
        <v>3149637.59</v>
      </c>
      <c r="AV16" s="233">
        <v>9706710.9699996095</v>
      </c>
      <c r="AW16" s="233">
        <v>3347156.39</v>
      </c>
      <c r="AX16" s="233">
        <v>9955963.6799996011</v>
      </c>
      <c r="AY16" s="412">
        <f t="shared" ref="AY16:AY23" si="7">SUM(AQ16:AX16)</f>
        <v>50245158.879998758</v>
      </c>
      <c r="AZ16" s="413">
        <v>0</v>
      </c>
      <c r="BA16" s="233">
        <v>0</v>
      </c>
      <c r="BB16" s="233">
        <v>0</v>
      </c>
      <c r="BC16" s="233">
        <v>0</v>
      </c>
      <c r="BD16" s="233">
        <v>0</v>
      </c>
      <c r="BE16" s="233">
        <v>0</v>
      </c>
      <c r="BF16" s="233">
        <v>0</v>
      </c>
      <c r="BG16" s="233">
        <v>0</v>
      </c>
      <c r="BH16" s="414">
        <f t="shared" ref="BH16:BH23" si="8">SUM(AZ16:BG16)</f>
        <v>0</v>
      </c>
      <c r="BI16" s="415">
        <f t="shared" ref="BI16:BI23" si="9">SUM(AY16,BH16)</f>
        <v>50245158.879998758</v>
      </c>
      <c r="BJ16" s="300">
        <v>1</v>
      </c>
      <c r="BK16" s="233">
        <v>39436.44</v>
      </c>
      <c r="BL16" s="233">
        <v>1154517.1300000001</v>
      </c>
      <c r="BM16" s="233">
        <v>25552.98</v>
      </c>
      <c r="BN16" s="233">
        <v>1155368.1600000001</v>
      </c>
      <c r="BO16" s="233">
        <v>58345.49</v>
      </c>
      <c r="BP16" s="233">
        <v>1160309.9600000002</v>
      </c>
      <c r="BQ16" s="233">
        <v>88113.18</v>
      </c>
      <c r="BR16" s="233">
        <v>1229369.99</v>
      </c>
      <c r="BS16" s="412">
        <f t="shared" ref="BS16:BS23" si="10">SUM(BK16:BR16)</f>
        <v>4911013.33</v>
      </c>
      <c r="BT16" s="413">
        <v>0</v>
      </c>
      <c r="BU16" s="233">
        <v>0</v>
      </c>
      <c r="BV16" s="233">
        <v>0</v>
      </c>
      <c r="BW16" s="233">
        <v>0</v>
      </c>
      <c r="BX16" s="233">
        <v>0</v>
      </c>
      <c r="BY16" s="233">
        <v>0</v>
      </c>
      <c r="BZ16" s="233">
        <v>0</v>
      </c>
      <c r="CA16" s="233">
        <v>0</v>
      </c>
      <c r="CB16" s="414">
        <f t="shared" ref="CB16:CB23" si="11">SUM(BT16:CA16)</f>
        <v>0</v>
      </c>
      <c r="CC16" s="415">
        <f t="shared" ref="CC16:CC23" si="12">SUM(BS16,CB16)</f>
        <v>4911013.33</v>
      </c>
      <c r="CD16" s="300">
        <v>1</v>
      </c>
      <c r="CE16" s="414">
        <f>+C16+D16+W16+X16+AQ16+AR16+BK16+BL16</f>
        <v>13873210.919999771</v>
      </c>
      <c r="CF16" s="414">
        <f>+E16+F16+Y16+Z16+AS16+AT16+BM16+BN16</f>
        <v>14267425.76999978</v>
      </c>
      <c r="CG16" s="414">
        <f>+G16+H16+AA16+AB16+AU16+AV16+BO16+BP16</f>
        <v>14954717.199999614</v>
      </c>
      <c r="CH16" s="414">
        <f>+I16+J16+AC16+AD16+AW16+AX16+BQ16+BR16</f>
        <v>15552991.479999604</v>
      </c>
      <c r="CI16" s="416">
        <f>SUM(K16,AE16,AY16,BS16)</f>
        <v>58648345.369998761</v>
      </c>
      <c r="CJ16" s="414">
        <f>L16+M16+AF16+AG16+AZ16+BA16+BT16+BU16</f>
        <v>0</v>
      </c>
      <c r="CK16" s="414">
        <f>N16+O16+AH16+AI16+BB16+BC16+BV16+BW16</f>
        <v>0</v>
      </c>
      <c r="CL16" s="414">
        <f>P16+Q16+AJ16+AK16+BD16+BE16+BX16+BY16</f>
        <v>0</v>
      </c>
      <c r="CM16" s="414">
        <f>+R16+S16+AL16+AM16+BF16+BG16+BZ16+CA16</f>
        <v>0</v>
      </c>
      <c r="CN16" s="416">
        <f>SUM(T16,AN16,BH16,CB16)</f>
        <v>0</v>
      </c>
      <c r="CO16" s="414">
        <f>+C16+D16+L16+M16+W16+X16+AF16+AG16+AQ16+AR16+AZ16+BA16+BK16+BL16+BT16+BU16</f>
        <v>13873210.919999771</v>
      </c>
      <c r="CP16" s="414">
        <f>+E16+F16+N16+O16+Y16+Z16+AH16+AI16+AS16+AT16+BB16+BC16+BM16+BN16+BV16+BW16</f>
        <v>14267425.76999978</v>
      </c>
      <c r="CQ16" s="414">
        <f>+G16+H16+P16+Q16+AA16+AB16+AJ16+AK16+AU16+AV16+BD16+BE16+BO16+BP16+BX16+BY16</f>
        <v>14954717.199999614</v>
      </c>
      <c r="CR16" s="414">
        <f>+I16+J16+R16+S16+AC16+AD16+AL16+AM16+AW16+AX16+BF16+BG16+BQ16+BR16+BZ16+CA16</f>
        <v>15552991.479999604</v>
      </c>
      <c r="CS16" s="416">
        <f t="shared" ref="CS16:CS23" si="13">SUM(CC16,BI16,AO16,U16)</f>
        <v>58648345.369998761</v>
      </c>
      <c r="CT16" s="319"/>
      <c r="CU16" s="319"/>
      <c r="CV16" s="319"/>
      <c r="CW16" s="319"/>
      <c r="CX16" s="319"/>
    </row>
    <row r="17" spans="1:131" ht="15.75" customHeight="1">
      <c r="A17" s="88" t="s">
        <v>1337</v>
      </c>
      <c r="B17" s="300"/>
      <c r="C17" s="233"/>
      <c r="D17" s="233"/>
      <c r="E17" s="233"/>
      <c r="F17" s="233"/>
      <c r="G17" s="233"/>
      <c r="H17" s="233"/>
      <c r="I17" s="233"/>
      <c r="J17" s="233"/>
      <c r="K17" s="412">
        <f t="shared" si="1"/>
        <v>0</v>
      </c>
      <c r="L17" s="417">
        <v>0</v>
      </c>
      <c r="M17" s="231">
        <v>1028680.7748</v>
      </c>
      <c r="N17" s="231">
        <v>0</v>
      </c>
      <c r="O17" s="231">
        <v>905927.62120000005</v>
      </c>
      <c r="P17" s="231">
        <v>0</v>
      </c>
      <c r="Q17" s="231">
        <v>955317.680800003</v>
      </c>
      <c r="R17" s="231">
        <v>0</v>
      </c>
      <c r="S17" s="231">
        <v>952390.17580000195</v>
      </c>
      <c r="T17" s="414">
        <f t="shared" si="2"/>
        <v>3842316.2526000049</v>
      </c>
      <c r="U17" s="415">
        <f t="shared" si="3"/>
        <v>3842316.2526000049</v>
      </c>
      <c r="V17" s="300"/>
      <c r="W17" s="233">
        <v>0</v>
      </c>
      <c r="X17" s="233">
        <v>0</v>
      </c>
      <c r="Y17" s="233">
        <v>0</v>
      </c>
      <c r="Z17" s="233">
        <v>0</v>
      </c>
      <c r="AA17" s="233">
        <v>0</v>
      </c>
      <c r="AB17" s="233">
        <v>0</v>
      </c>
      <c r="AC17" s="233">
        <v>0</v>
      </c>
      <c r="AD17" s="233">
        <v>0</v>
      </c>
      <c r="AE17" s="412">
        <f t="shared" si="4"/>
        <v>0</v>
      </c>
      <c r="AF17" s="417">
        <v>0</v>
      </c>
      <c r="AG17" s="231">
        <v>433212.81219999999</v>
      </c>
      <c r="AH17" s="231">
        <v>0</v>
      </c>
      <c r="AI17" s="231">
        <v>398397.29300000001</v>
      </c>
      <c r="AJ17" s="231">
        <v>0</v>
      </c>
      <c r="AK17" s="231">
        <v>436601.07400000002</v>
      </c>
      <c r="AL17" s="231">
        <v>0</v>
      </c>
      <c r="AM17" s="231">
        <v>470639.34539999999</v>
      </c>
      <c r="AN17" s="414">
        <f t="shared" si="5"/>
        <v>1738850.5246000001</v>
      </c>
      <c r="AO17" s="415">
        <f t="shared" si="6"/>
        <v>1738850.5246000001</v>
      </c>
      <c r="AP17" s="300"/>
      <c r="AQ17" s="233">
        <v>0</v>
      </c>
      <c r="AR17" s="233">
        <v>0</v>
      </c>
      <c r="AS17" s="233">
        <v>0</v>
      </c>
      <c r="AT17" s="233">
        <v>0</v>
      </c>
      <c r="AU17" s="233">
        <v>0</v>
      </c>
      <c r="AV17" s="233">
        <v>0</v>
      </c>
      <c r="AW17" s="233">
        <v>0</v>
      </c>
      <c r="AX17" s="233">
        <v>0</v>
      </c>
      <c r="AY17" s="412">
        <f t="shared" si="7"/>
        <v>0</v>
      </c>
      <c r="AZ17" s="417">
        <v>0</v>
      </c>
      <c r="BA17" s="231">
        <v>9215553.2349999901</v>
      </c>
      <c r="BB17" s="231">
        <v>0</v>
      </c>
      <c r="BC17" s="231">
        <v>7380092.00740002</v>
      </c>
      <c r="BD17" s="231">
        <v>0</v>
      </c>
      <c r="BE17" s="231">
        <v>8355700.6372000398</v>
      </c>
      <c r="BF17" s="231">
        <v>0</v>
      </c>
      <c r="BG17" s="231">
        <v>8328274.8178000394</v>
      </c>
      <c r="BH17" s="414">
        <f t="shared" si="8"/>
        <v>33279620.697400086</v>
      </c>
      <c r="BI17" s="415">
        <f t="shared" si="9"/>
        <v>33279620.697400086</v>
      </c>
      <c r="BJ17" s="300"/>
      <c r="BK17" s="233">
        <v>0</v>
      </c>
      <c r="BL17" s="233">
        <v>0</v>
      </c>
      <c r="BM17" s="233">
        <v>0</v>
      </c>
      <c r="BN17" s="233">
        <v>0</v>
      </c>
      <c r="BO17" s="233">
        <v>0</v>
      </c>
      <c r="BP17" s="233">
        <v>0</v>
      </c>
      <c r="BQ17" s="233">
        <v>0</v>
      </c>
      <c r="BR17" s="233">
        <v>0</v>
      </c>
      <c r="BS17" s="412">
        <f t="shared" si="10"/>
        <v>0</v>
      </c>
      <c r="BT17" s="417">
        <v>0</v>
      </c>
      <c r="BU17" s="231">
        <v>343871.62180000002</v>
      </c>
      <c r="BV17" s="231">
        <v>0</v>
      </c>
      <c r="BW17" s="231">
        <v>342289.5392</v>
      </c>
      <c r="BX17" s="231">
        <v>0</v>
      </c>
      <c r="BY17" s="231">
        <v>358590.75139999995</v>
      </c>
      <c r="BZ17" s="231">
        <v>0</v>
      </c>
      <c r="CA17" s="231">
        <v>443336.35919999995</v>
      </c>
      <c r="CB17" s="414">
        <f t="shared" si="11"/>
        <v>1488088.2716000001</v>
      </c>
      <c r="CC17" s="415">
        <f t="shared" si="12"/>
        <v>1488088.2716000001</v>
      </c>
      <c r="CD17" s="300"/>
      <c r="CE17" s="414">
        <f t="shared" ref="CE17:CE23" si="14">+C17+D17+W17+X17+AQ17+AR17+BK17+BL17</f>
        <v>0</v>
      </c>
      <c r="CF17" s="414">
        <f t="shared" ref="CF17:CF23" si="15">+E17+F17+Y17+Z17+AS17+AT17+BM17+BN17</f>
        <v>0</v>
      </c>
      <c r="CG17" s="414">
        <f t="shared" ref="CG17:CG23" si="16">+G17+H17+AA17+AB17+AU17+AV17+BO17+BP17</f>
        <v>0</v>
      </c>
      <c r="CH17" s="414">
        <f t="shared" ref="CH17:CH23" si="17">+I17+J17+AC17+AD17+AW17+AX17+BQ17+BR17</f>
        <v>0</v>
      </c>
      <c r="CI17" s="416">
        <f t="shared" ref="CI17:CI23" si="18">SUM(K17,AE17,AY17,BS17)</f>
        <v>0</v>
      </c>
      <c r="CJ17" s="414">
        <f t="shared" ref="CJ17:CJ23" si="19">L17+M17+AF17+AG17+AZ17+BA17+BT17+BU17</f>
        <v>11021318.443799989</v>
      </c>
      <c r="CK17" s="414">
        <f t="shared" ref="CK17:CK23" si="20">N17+O17+AH17+AI17+BB17+BC17+BV17+BW17</f>
        <v>9026706.46080002</v>
      </c>
      <c r="CL17" s="414">
        <f t="shared" ref="CL17:CL23" si="21">P17+Q17+AJ17+AK17+BD17+BE17+BX17+BY17</f>
        <v>10106210.143400041</v>
      </c>
      <c r="CM17" s="414">
        <f t="shared" ref="CM17:CM23" si="22">+R17+S17+AL17+AM17+BF17+BG17+BZ17+CA17</f>
        <v>10194640.698200041</v>
      </c>
      <c r="CN17" s="416">
        <f t="shared" ref="CN17:CN23" si="23">SUM(T17,AN17,BH17,CB17)</f>
        <v>40348875.746200092</v>
      </c>
      <c r="CO17" s="414">
        <f t="shared" ref="CO17:CO23" si="24">+C17+D17+L17+M17+W17+X17+AF17+AG17+AQ17+AR17+AZ17+BA17+BK17+BL17+BT17+BU17</f>
        <v>11021318.443799989</v>
      </c>
      <c r="CP17" s="414">
        <f t="shared" ref="CP17:CP23" si="25">+E17+F17+N17+O17+Y17+Z17+AH17+AI17+AS17+AT17+BB17+BC17+BM17+BN17+BV17+BW17</f>
        <v>9026706.46080002</v>
      </c>
      <c r="CQ17" s="414">
        <f t="shared" ref="CQ17:CQ23" si="26">+G17+H17+P17+Q17+AA17+AB17+AJ17+AK17+AU17+AV17+BD17+BE17+BO17+BP17+BX17+BY17</f>
        <v>10106210.143400041</v>
      </c>
      <c r="CR17" s="414">
        <f t="shared" ref="CR17:CR23" si="27">+I17+J17+R17+S17+AC17+AD17+AL17+AM17+AW17+AX17+BF17+BG17+BQ17+BR17+BZ17+CA17</f>
        <v>10194640.698200041</v>
      </c>
      <c r="CS17" s="416">
        <f t="shared" si="13"/>
        <v>40348875.746200092</v>
      </c>
      <c r="CT17" s="319"/>
      <c r="CV17" s="319"/>
      <c r="CX17" s="319"/>
    </row>
    <row r="18" spans="1:131" ht="15.75" customHeight="1">
      <c r="A18" s="88" t="s">
        <v>1338</v>
      </c>
      <c r="B18" s="300"/>
      <c r="C18" s="231"/>
      <c r="D18" s="231"/>
      <c r="E18" s="231"/>
      <c r="F18" s="231"/>
      <c r="G18" s="231"/>
      <c r="H18" s="231"/>
      <c r="I18" s="231"/>
      <c r="J18" s="231"/>
      <c r="K18" s="412">
        <f t="shared" si="1"/>
        <v>0</v>
      </c>
      <c r="L18" s="417">
        <v>0</v>
      </c>
      <c r="M18" s="231">
        <v>25124.867600000001</v>
      </c>
      <c r="N18" s="231">
        <v>0</v>
      </c>
      <c r="O18" s="231">
        <v>25439.4084</v>
      </c>
      <c r="P18" s="231">
        <v>0</v>
      </c>
      <c r="Q18" s="231">
        <v>27247.626</v>
      </c>
      <c r="R18" s="231">
        <v>0</v>
      </c>
      <c r="S18" s="231">
        <v>26111.286599999999</v>
      </c>
      <c r="T18" s="414">
        <f t="shared" si="2"/>
        <v>103923.18859999999</v>
      </c>
      <c r="U18" s="415">
        <f t="shared" si="3"/>
        <v>103923.18859999999</v>
      </c>
      <c r="V18" s="300"/>
      <c r="W18" s="231">
        <v>0</v>
      </c>
      <c r="X18" s="231">
        <v>0</v>
      </c>
      <c r="Y18" s="231">
        <v>0</v>
      </c>
      <c r="Z18" s="231">
        <v>0</v>
      </c>
      <c r="AA18" s="231">
        <v>0</v>
      </c>
      <c r="AB18" s="231">
        <v>0</v>
      </c>
      <c r="AC18" s="231">
        <v>0</v>
      </c>
      <c r="AD18" s="231">
        <v>0</v>
      </c>
      <c r="AE18" s="412">
        <f t="shared" si="4"/>
        <v>0</v>
      </c>
      <c r="AF18" s="417">
        <v>0</v>
      </c>
      <c r="AG18" s="231">
        <v>15367.281999999999</v>
      </c>
      <c r="AH18" s="231">
        <v>0</v>
      </c>
      <c r="AI18" s="231">
        <v>13517.0322</v>
      </c>
      <c r="AJ18" s="231">
        <v>0</v>
      </c>
      <c r="AK18" s="231">
        <v>14762.132</v>
      </c>
      <c r="AL18" s="231">
        <v>0</v>
      </c>
      <c r="AM18" s="231">
        <v>15053.936799999999</v>
      </c>
      <c r="AN18" s="414">
        <f t="shared" si="5"/>
        <v>58700.383000000002</v>
      </c>
      <c r="AO18" s="415">
        <f t="shared" si="6"/>
        <v>58700.383000000002</v>
      </c>
      <c r="AP18" s="300"/>
      <c r="AQ18" s="231">
        <v>0</v>
      </c>
      <c r="AR18" s="231">
        <v>0</v>
      </c>
      <c r="AS18" s="231">
        <v>0</v>
      </c>
      <c r="AT18" s="231">
        <v>0</v>
      </c>
      <c r="AU18" s="231">
        <v>0</v>
      </c>
      <c r="AV18" s="231">
        <v>0</v>
      </c>
      <c r="AW18" s="231">
        <v>0</v>
      </c>
      <c r="AX18" s="231">
        <v>0</v>
      </c>
      <c r="AY18" s="412">
        <f t="shared" si="7"/>
        <v>0</v>
      </c>
      <c r="AZ18" s="417">
        <v>0</v>
      </c>
      <c r="BA18" s="231">
        <v>257735.3842</v>
      </c>
      <c r="BB18" s="231">
        <v>0</v>
      </c>
      <c r="BC18" s="231">
        <v>215061.97019999899</v>
      </c>
      <c r="BD18" s="231">
        <v>0</v>
      </c>
      <c r="BE18" s="231">
        <v>235413.620399999</v>
      </c>
      <c r="BF18" s="231">
        <v>0</v>
      </c>
      <c r="BG18" s="231">
        <v>236456.91859999901</v>
      </c>
      <c r="BH18" s="414">
        <f t="shared" si="8"/>
        <v>944667.89339999703</v>
      </c>
      <c r="BI18" s="415">
        <f t="shared" si="9"/>
        <v>944667.89339999703</v>
      </c>
      <c r="BJ18" s="300"/>
      <c r="BK18" s="231">
        <v>0</v>
      </c>
      <c r="BL18" s="231">
        <v>0</v>
      </c>
      <c r="BM18" s="231">
        <v>0</v>
      </c>
      <c r="BN18" s="231">
        <v>0</v>
      </c>
      <c r="BO18" s="231">
        <v>0</v>
      </c>
      <c r="BP18" s="231">
        <v>0</v>
      </c>
      <c r="BQ18" s="231">
        <v>0</v>
      </c>
      <c r="BR18" s="231">
        <v>0</v>
      </c>
      <c r="BS18" s="412">
        <f t="shared" si="10"/>
        <v>0</v>
      </c>
      <c r="BT18" s="417">
        <v>0</v>
      </c>
      <c r="BU18" s="231">
        <v>12393.609199999999</v>
      </c>
      <c r="BV18" s="231">
        <v>0</v>
      </c>
      <c r="BW18" s="231">
        <v>11318.460999999999</v>
      </c>
      <c r="BX18" s="231">
        <v>0</v>
      </c>
      <c r="BY18" s="231">
        <v>11671.6628</v>
      </c>
      <c r="BZ18" s="231">
        <v>0</v>
      </c>
      <c r="CA18" s="231">
        <v>11609.1682</v>
      </c>
      <c r="CB18" s="414">
        <f t="shared" si="11"/>
        <v>46992.9012</v>
      </c>
      <c r="CC18" s="415">
        <f t="shared" si="12"/>
        <v>46992.9012</v>
      </c>
      <c r="CD18" s="300"/>
      <c r="CE18" s="414">
        <f t="shared" si="14"/>
        <v>0</v>
      </c>
      <c r="CF18" s="414">
        <f t="shared" si="15"/>
        <v>0</v>
      </c>
      <c r="CG18" s="414">
        <f t="shared" si="16"/>
        <v>0</v>
      </c>
      <c r="CH18" s="414">
        <f t="shared" si="17"/>
        <v>0</v>
      </c>
      <c r="CI18" s="416">
        <f t="shared" si="18"/>
        <v>0</v>
      </c>
      <c r="CJ18" s="414">
        <f t="shared" si="19"/>
        <v>310621.14299999998</v>
      </c>
      <c r="CK18" s="414">
        <f t="shared" si="20"/>
        <v>265336.87179999897</v>
      </c>
      <c r="CL18" s="414">
        <f t="shared" si="21"/>
        <v>289095.04119999899</v>
      </c>
      <c r="CM18" s="414">
        <f t="shared" si="22"/>
        <v>289231.31019999902</v>
      </c>
      <c r="CN18" s="416">
        <f t="shared" si="23"/>
        <v>1154284.366199997</v>
      </c>
      <c r="CO18" s="414">
        <f t="shared" si="24"/>
        <v>310621.14299999998</v>
      </c>
      <c r="CP18" s="414">
        <f t="shared" si="25"/>
        <v>265336.87179999897</v>
      </c>
      <c r="CQ18" s="414">
        <f t="shared" si="26"/>
        <v>289095.04119999899</v>
      </c>
      <c r="CR18" s="414">
        <f t="shared" si="27"/>
        <v>289231.31019999902</v>
      </c>
      <c r="CS18" s="416">
        <f t="shared" si="13"/>
        <v>1154284.366199997</v>
      </c>
      <c r="CV18" s="319"/>
      <c r="CX18" s="319"/>
    </row>
    <row r="19" spans="1:131" ht="15.75" customHeight="1">
      <c r="A19" s="88" t="s">
        <v>1339</v>
      </c>
      <c r="B19" s="300"/>
      <c r="C19" s="231"/>
      <c r="D19" s="231"/>
      <c r="E19" s="231"/>
      <c r="F19" s="231"/>
      <c r="G19" s="231"/>
      <c r="H19" s="231"/>
      <c r="I19" s="231"/>
      <c r="J19" s="231"/>
      <c r="K19" s="412">
        <f t="shared" si="1"/>
        <v>0</v>
      </c>
      <c r="L19" s="417">
        <v>0</v>
      </c>
      <c r="M19" s="231">
        <v>243084</v>
      </c>
      <c r="N19" s="231">
        <v>0</v>
      </c>
      <c r="O19" s="231">
        <v>182422</v>
      </c>
      <c r="P19" s="231">
        <v>0</v>
      </c>
      <c r="Q19" s="231">
        <v>294700</v>
      </c>
      <c r="R19" s="231">
        <v>0</v>
      </c>
      <c r="S19" s="231">
        <v>289793</v>
      </c>
      <c r="T19" s="414">
        <f t="shared" si="2"/>
        <v>1009999</v>
      </c>
      <c r="U19" s="415">
        <f t="shared" si="3"/>
        <v>1009999</v>
      </c>
      <c r="V19" s="300"/>
      <c r="W19" s="231">
        <v>0</v>
      </c>
      <c r="X19" s="231">
        <v>0</v>
      </c>
      <c r="Y19" s="231">
        <v>0</v>
      </c>
      <c r="Z19" s="231">
        <v>0</v>
      </c>
      <c r="AA19" s="231">
        <v>0</v>
      </c>
      <c r="AB19" s="231">
        <v>0</v>
      </c>
      <c r="AC19" s="231">
        <v>0</v>
      </c>
      <c r="AD19" s="231">
        <v>0</v>
      </c>
      <c r="AE19" s="412">
        <f t="shared" si="4"/>
        <v>0</v>
      </c>
      <c r="AF19" s="417">
        <v>0</v>
      </c>
      <c r="AG19" s="231">
        <v>87341</v>
      </c>
      <c r="AH19" s="231">
        <v>0</v>
      </c>
      <c r="AI19" s="231">
        <v>80753</v>
      </c>
      <c r="AJ19" s="231">
        <v>0</v>
      </c>
      <c r="AK19" s="231">
        <v>76522</v>
      </c>
      <c r="AL19" s="231">
        <v>0</v>
      </c>
      <c r="AM19" s="231">
        <v>90725</v>
      </c>
      <c r="AN19" s="414">
        <f t="shared" si="5"/>
        <v>335341</v>
      </c>
      <c r="AO19" s="415">
        <f t="shared" si="6"/>
        <v>335341</v>
      </c>
      <c r="AP19" s="300"/>
      <c r="AQ19" s="231">
        <v>0</v>
      </c>
      <c r="AR19" s="231">
        <v>0</v>
      </c>
      <c r="AS19" s="231">
        <v>0</v>
      </c>
      <c r="AT19" s="231">
        <v>0</v>
      </c>
      <c r="AU19" s="231">
        <v>0</v>
      </c>
      <c r="AV19" s="231">
        <v>0</v>
      </c>
      <c r="AW19" s="231">
        <v>0</v>
      </c>
      <c r="AX19" s="231">
        <v>0</v>
      </c>
      <c r="AY19" s="412">
        <f t="shared" si="7"/>
        <v>0</v>
      </c>
      <c r="AZ19" s="417">
        <v>0</v>
      </c>
      <c r="BA19" s="231">
        <v>2147640</v>
      </c>
      <c r="BB19" s="231">
        <v>0</v>
      </c>
      <c r="BC19" s="231">
        <v>2242916</v>
      </c>
      <c r="BD19" s="231">
        <v>0</v>
      </c>
      <c r="BE19" s="231">
        <v>2226617</v>
      </c>
      <c r="BF19" s="231">
        <v>0</v>
      </c>
      <c r="BG19" s="231">
        <v>1854469</v>
      </c>
      <c r="BH19" s="414">
        <f t="shared" si="8"/>
        <v>8471642</v>
      </c>
      <c r="BI19" s="415">
        <f t="shared" si="9"/>
        <v>8471642</v>
      </c>
      <c r="BJ19" s="300"/>
      <c r="BK19" s="231">
        <v>0</v>
      </c>
      <c r="BL19" s="231">
        <v>0</v>
      </c>
      <c r="BM19" s="231">
        <v>0</v>
      </c>
      <c r="BN19" s="231">
        <v>0</v>
      </c>
      <c r="BO19" s="231">
        <v>0</v>
      </c>
      <c r="BP19" s="231">
        <v>0</v>
      </c>
      <c r="BQ19" s="231">
        <v>0</v>
      </c>
      <c r="BR19" s="231">
        <v>0</v>
      </c>
      <c r="BS19" s="412">
        <f t="shared" si="10"/>
        <v>0</v>
      </c>
      <c r="BT19" s="417">
        <v>0</v>
      </c>
      <c r="BU19" s="231">
        <v>196433</v>
      </c>
      <c r="BV19" s="231">
        <v>0</v>
      </c>
      <c r="BW19" s="231">
        <v>342933</v>
      </c>
      <c r="BX19" s="231">
        <v>0</v>
      </c>
      <c r="BY19" s="231">
        <v>195645</v>
      </c>
      <c r="BZ19" s="231">
        <v>0</v>
      </c>
      <c r="CA19" s="231">
        <v>109127</v>
      </c>
      <c r="CB19" s="414">
        <f t="shared" si="11"/>
        <v>844138</v>
      </c>
      <c r="CC19" s="415">
        <f t="shared" si="12"/>
        <v>844138</v>
      </c>
      <c r="CD19" s="300"/>
      <c r="CE19" s="414">
        <f t="shared" si="14"/>
        <v>0</v>
      </c>
      <c r="CF19" s="414">
        <f t="shared" si="15"/>
        <v>0</v>
      </c>
      <c r="CG19" s="414">
        <f t="shared" si="16"/>
        <v>0</v>
      </c>
      <c r="CH19" s="414">
        <f t="shared" si="17"/>
        <v>0</v>
      </c>
      <c r="CI19" s="416">
        <f t="shared" si="18"/>
        <v>0</v>
      </c>
      <c r="CJ19" s="414">
        <f t="shared" si="19"/>
        <v>2674498</v>
      </c>
      <c r="CK19" s="414">
        <f t="shared" si="20"/>
        <v>2849024</v>
      </c>
      <c r="CL19" s="414">
        <f t="shared" si="21"/>
        <v>2793484</v>
      </c>
      <c r="CM19" s="414">
        <f t="shared" si="22"/>
        <v>2344114</v>
      </c>
      <c r="CN19" s="416">
        <f t="shared" si="23"/>
        <v>10661120</v>
      </c>
      <c r="CO19" s="414">
        <f t="shared" si="24"/>
        <v>2674498</v>
      </c>
      <c r="CP19" s="414">
        <f t="shared" si="25"/>
        <v>2849024</v>
      </c>
      <c r="CQ19" s="414">
        <f t="shared" si="26"/>
        <v>2793484</v>
      </c>
      <c r="CR19" s="414">
        <f t="shared" si="27"/>
        <v>2344114</v>
      </c>
      <c r="CS19" s="416">
        <f t="shared" si="13"/>
        <v>10661120</v>
      </c>
    </row>
    <row r="20" spans="1:131" ht="15.75" customHeight="1">
      <c r="A20" s="135" t="s">
        <v>173</v>
      </c>
      <c r="B20" s="300">
        <v>2</v>
      </c>
      <c r="C20" s="232">
        <f t="shared" ref="C20:J20" si="28">SUM(C17:C19)</f>
        <v>0</v>
      </c>
      <c r="D20" s="232">
        <f t="shared" si="28"/>
        <v>0</v>
      </c>
      <c r="E20" s="232">
        <f t="shared" si="28"/>
        <v>0</v>
      </c>
      <c r="F20" s="232">
        <f t="shared" si="28"/>
        <v>0</v>
      </c>
      <c r="G20" s="232">
        <f t="shared" si="28"/>
        <v>0</v>
      </c>
      <c r="H20" s="232">
        <f t="shared" si="28"/>
        <v>0</v>
      </c>
      <c r="I20" s="232">
        <f t="shared" si="28"/>
        <v>0</v>
      </c>
      <c r="J20" s="232">
        <f t="shared" si="28"/>
        <v>0</v>
      </c>
      <c r="K20" s="412">
        <f t="shared" si="1"/>
        <v>0</v>
      </c>
      <c r="L20" s="418">
        <f t="shared" ref="L20:S20" si="29">SUM(L17:L19)</f>
        <v>0</v>
      </c>
      <c r="M20" s="232">
        <f t="shared" si="29"/>
        <v>1296889.6424</v>
      </c>
      <c r="N20" s="232">
        <f t="shared" si="29"/>
        <v>0</v>
      </c>
      <c r="O20" s="232">
        <f t="shared" si="29"/>
        <v>1113789.0296</v>
      </c>
      <c r="P20" s="232">
        <f t="shared" si="29"/>
        <v>0</v>
      </c>
      <c r="Q20" s="232">
        <f t="shared" si="29"/>
        <v>1277265.3068000032</v>
      </c>
      <c r="R20" s="232">
        <f t="shared" si="29"/>
        <v>0</v>
      </c>
      <c r="S20" s="232">
        <f t="shared" si="29"/>
        <v>1268294.4624000019</v>
      </c>
      <c r="T20" s="414">
        <f t="shared" si="2"/>
        <v>4956238.4412000049</v>
      </c>
      <c r="U20" s="415">
        <f t="shared" si="3"/>
        <v>4956238.4412000049</v>
      </c>
      <c r="V20" s="300">
        <v>2</v>
      </c>
      <c r="W20" s="232">
        <f t="shared" ref="W20:AD20" si="30">SUM(W17:W19)</f>
        <v>0</v>
      </c>
      <c r="X20" s="232">
        <f t="shared" si="30"/>
        <v>0</v>
      </c>
      <c r="Y20" s="232">
        <f t="shared" si="30"/>
        <v>0</v>
      </c>
      <c r="Z20" s="232">
        <f t="shared" si="30"/>
        <v>0</v>
      </c>
      <c r="AA20" s="232">
        <f t="shared" si="30"/>
        <v>0</v>
      </c>
      <c r="AB20" s="232">
        <f t="shared" si="30"/>
        <v>0</v>
      </c>
      <c r="AC20" s="232">
        <f t="shared" si="30"/>
        <v>0</v>
      </c>
      <c r="AD20" s="232">
        <f t="shared" si="30"/>
        <v>0</v>
      </c>
      <c r="AE20" s="412">
        <f t="shared" si="4"/>
        <v>0</v>
      </c>
      <c r="AF20" s="418">
        <f t="shared" ref="AF20:AM20" si="31">SUM(AF17:AF19)</f>
        <v>0</v>
      </c>
      <c r="AG20" s="232">
        <f t="shared" si="31"/>
        <v>535921.09419999993</v>
      </c>
      <c r="AH20" s="232">
        <f t="shared" si="31"/>
        <v>0</v>
      </c>
      <c r="AI20" s="232">
        <f t="shared" si="31"/>
        <v>492667.32520000002</v>
      </c>
      <c r="AJ20" s="232">
        <f t="shared" si="31"/>
        <v>0</v>
      </c>
      <c r="AK20" s="232">
        <f t="shared" si="31"/>
        <v>527885.20600000001</v>
      </c>
      <c r="AL20" s="232">
        <f t="shared" si="31"/>
        <v>0</v>
      </c>
      <c r="AM20" s="232">
        <f t="shared" si="31"/>
        <v>576418.28220000002</v>
      </c>
      <c r="AN20" s="414">
        <f t="shared" si="5"/>
        <v>2132891.9076</v>
      </c>
      <c r="AO20" s="415">
        <f t="shared" si="6"/>
        <v>2132891.9076</v>
      </c>
      <c r="AP20" s="300">
        <v>2</v>
      </c>
      <c r="AQ20" s="232">
        <f t="shared" ref="AQ20:AX20" si="32">SUM(AQ17:AQ19)</f>
        <v>0</v>
      </c>
      <c r="AR20" s="232">
        <f t="shared" si="32"/>
        <v>0</v>
      </c>
      <c r="AS20" s="232">
        <f t="shared" si="32"/>
        <v>0</v>
      </c>
      <c r="AT20" s="232">
        <f t="shared" si="32"/>
        <v>0</v>
      </c>
      <c r="AU20" s="232">
        <f t="shared" si="32"/>
        <v>0</v>
      </c>
      <c r="AV20" s="232">
        <f t="shared" si="32"/>
        <v>0</v>
      </c>
      <c r="AW20" s="232">
        <f t="shared" si="32"/>
        <v>0</v>
      </c>
      <c r="AX20" s="232">
        <f t="shared" si="32"/>
        <v>0</v>
      </c>
      <c r="AY20" s="412">
        <f t="shared" si="7"/>
        <v>0</v>
      </c>
      <c r="AZ20" s="418">
        <f t="shared" ref="AZ20:BG20" si="33">SUM(AZ17:AZ19)</f>
        <v>0</v>
      </c>
      <c r="BA20" s="232">
        <f t="shared" si="33"/>
        <v>11620928.619199989</v>
      </c>
      <c r="BB20" s="232">
        <f t="shared" si="33"/>
        <v>0</v>
      </c>
      <c r="BC20" s="232">
        <f t="shared" si="33"/>
        <v>9838069.9776000194</v>
      </c>
      <c r="BD20" s="232">
        <f t="shared" si="33"/>
        <v>0</v>
      </c>
      <c r="BE20" s="232">
        <f t="shared" si="33"/>
        <v>10817731.257600039</v>
      </c>
      <c r="BF20" s="232">
        <f t="shared" si="33"/>
        <v>0</v>
      </c>
      <c r="BG20" s="232">
        <f t="shared" si="33"/>
        <v>10419200.736400038</v>
      </c>
      <c r="BH20" s="414">
        <f t="shared" si="8"/>
        <v>42695930.590800084</v>
      </c>
      <c r="BI20" s="415">
        <f t="shared" si="9"/>
        <v>42695930.590800084</v>
      </c>
      <c r="BJ20" s="300">
        <v>2</v>
      </c>
      <c r="BK20" s="232">
        <f t="shared" ref="BK20:BR20" si="34">SUM(BK17:BK19)</f>
        <v>0</v>
      </c>
      <c r="BL20" s="232">
        <f t="shared" si="34"/>
        <v>0</v>
      </c>
      <c r="BM20" s="232">
        <f t="shared" si="34"/>
        <v>0</v>
      </c>
      <c r="BN20" s="232">
        <f t="shared" si="34"/>
        <v>0</v>
      </c>
      <c r="BO20" s="232">
        <f t="shared" si="34"/>
        <v>0</v>
      </c>
      <c r="BP20" s="232">
        <f t="shared" si="34"/>
        <v>0</v>
      </c>
      <c r="BQ20" s="232">
        <f t="shared" si="34"/>
        <v>0</v>
      </c>
      <c r="BR20" s="232">
        <f t="shared" si="34"/>
        <v>0</v>
      </c>
      <c r="BS20" s="412">
        <f t="shared" si="10"/>
        <v>0</v>
      </c>
      <c r="BT20" s="418">
        <f t="shared" ref="BT20:CA20" si="35">SUM(BT17:BT19)</f>
        <v>0</v>
      </c>
      <c r="BU20" s="232">
        <f t="shared" si="35"/>
        <v>552698.23100000003</v>
      </c>
      <c r="BV20" s="232">
        <f t="shared" si="35"/>
        <v>0</v>
      </c>
      <c r="BW20" s="232">
        <f t="shared" si="35"/>
        <v>696541.00020000001</v>
      </c>
      <c r="BX20" s="232">
        <f t="shared" si="35"/>
        <v>0</v>
      </c>
      <c r="BY20" s="232">
        <f t="shared" si="35"/>
        <v>565907.4142</v>
      </c>
      <c r="BZ20" s="232">
        <f t="shared" si="35"/>
        <v>0</v>
      </c>
      <c r="CA20" s="232">
        <f t="shared" si="35"/>
        <v>564072.52740000002</v>
      </c>
      <c r="CB20" s="414">
        <f t="shared" si="11"/>
        <v>2379219.1727999998</v>
      </c>
      <c r="CC20" s="415">
        <f t="shared" si="12"/>
        <v>2379219.1727999998</v>
      </c>
      <c r="CD20" s="300">
        <v>2</v>
      </c>
      <c r="CE20" s="414">
        <f t="shared" si="14"/>
        <v>0</v>
      </c>
      <c r="CF20" s="414">
        <f t="shared" si="15"/>
        <v>0</v>
      </c>
      <c r="CG20" s="414">
        <f t="shared" si="16"/>
        <v>0</v>
      </c>
      <c r="CH20" s="414">
        <f t="shared" si="17"/>
        <v>0</v>
      </c>
      <c r="CI20" s="416">
        <f t="shared" si="18"/>
        <v>0</v>
      </c>
      <c r="CJ20" s="414">
        <f t="shared" si="19"/>
        <v>14006437.58679999</v>
      </c>
      <c r="CK20" s="414">
        <f t="shared" si="20"/>
        <v>12141067.33260002</v>
      </c>
      <c r="CL20" s="414">
        <f t="shared" si="21"/>
        <v>13188789.184600042</v>
      </c>
      <c r="CM20" s="414">
        <f t="shared" si="22"/>
        <v>12827986.00840004</v>
      </c>
      <c r="CN20" s="416">
        <f t="shared" si="23"/>
        <v>52164280.112400085</v>
      </c>
      <c r="CO20" s="414">
        <f t="shared" si="24"/>
        <v>14006437.58679999</v>
      </c>
      <c r="CP20" s="414">
        <f t="shared" si="25"/>
        <v>12141067.33260002</v>
      </c>
      <c r="CQ20" s="414">
        <f t="shared" si="26"/>
        <v>13188789.184600042</v>
      </c>
      <c r="CR20" s="414">
        <f t="shared" si="27"/>
        <v>12827986.00840004</v>
      </c>
      <c r="CS20" s="416">
        <f t="shared" si="13"/>
        <v>52164280.112400085</v>
      </c>
      <c r="CT20" s="319"/>
      <c r="CU20" s="319"/>
      <c r="CV20" s="319"/>
      <c r="CW20" s="319"/>
      <c r="CX20" s="319"/>
    </row>
    <row r="21" spans="1:131" ht="15.75" customHeight="1">
      <c r="A21" s="88" t="s">
        <v>175</v>
      </c>
      <c r="B21" s="300">
        <v>3</v>
      </c>
      <c r="C21" s="231"/>
      <c r="D21" s="231"/>
      <c r="E21" s="231"/>
      <c r="F21" s="231"/>
      <c r="G21" s="231"/>
      <c r="H21" s="231"/>
      <c r="I21" s="231"/>
      <c r="J21" s="231"/>
      <c r="K21" s="412">
        <f t="shared" si="1"/>
        <v>0</v>
      </c>
      <c r="L21" s="417"/>
      <c r="M21" s="231"/>
      <c r="N21" s="231"/>
      <c r="O21" s="231"/>
      <c r="P21" s="231"/>
      <c r="Q21" s="231"/>
      <c r="R21" s="231"/>
      <c r="S21" s="231"/>
      <c r="T21" s="414">
        <f t="shared" si="2"/>
        <v>0</v>
      </c>
      <c r="U21" s="415">
        <f t="shared" si="3"/>
        <v>0</v>
      </c>
      <c r="V21" s="300">
        <v>3</v>
      </c>
      <c r="W21" s="231"/>
      <c r="X21" s="231"/>
      <c r="Y21" s="231"/>
      <c r="Z21" s="231"/>
      <c r="AA21" s="231"/>
      <c r="AB21" s="231"/>
      <c r="AC21" s="231"/>
      <c r="AD21" s="231"/>
      <c r="AE21" s="412">
        <f t="shared" si="4"/>
        <v>0</v>
      </c>
      <c r="AF21" s="417"/>
      <c r="AG21" s="231"/>
      <c r="AH21" s="231"/>
      <c r="AI21" s="231"/>
      <c r="AJ21" s="231"/>
      <c r="AK21" s="231"/>
      <c r="AL21" s="231"/>
      <c r="AM21" s="231"/>
      <c r="AN21" s="414">
        <f t="shared" si="5"/>
        <v>0</v>
      </c>
      <c r="AO21" s="415">
        <f t="shared" si="6"/>
        <v>0</v>
      </c>
      <c r="AP21" s="300">
        <v>3</v>
      </c>
      <c r="AQ21" s="231"/>
      <c r="AR21" s="231"/>
      <c r="AS21" s="231"/>
      <c r="AT21" s="231"/>
      <c r="AU21" s="231"/>
      <c r="AV21" s="231"/>
      <c r="AW21" s="231"/>
      <c r="AX21" s="231"/>
      <c r="AY21" s="412">
        <f t="shared" si="7"/>
        <v>0</v>
      </c>
      <c r="AZ21" s="417"/>
      <c r="BA21" s="231"/>
      <c r="BB21" s="231"/>
      <c r="BC21" s="231"/>
      <c r="BD21" s="231"/>
      <c r="BE21" s="231"/>
      <c r="BF21" s="231"/>
      <c r="BG21" s="231"/>
      <c r="BH21" s="414">
        <f t="shared" si="8"/>
        <v>0</v>
      </c>
      <c r="BI21" s="415">
        <f t="shared" si="9"/>
        <v>0</v>
      </c>
      <c r="BJ21" s="300">
        <v>3</v>
      </c>
      <c r="BK21" s="231"/>
      <c r="BL21" s="231"/>
      <c r="BM21" s="231"/>
      <c r="BN21" s="231"/>
      <c r="BO21" s="231"/>
      <c r="BP21" s="231"/>
      <c r="BQ21" s="231"/>
      <c r="BR21" s="231"/>
      <c r="BS21" s="412">
        <f t="shared" si="10"/>
        <v>0</v>
      </c>
      <c r="BT21" s="417"/>
      <c r="BU21" s="231"/>
      <c r="BV21" s="231"/>
      <c r="BW21" s="231"/>
      <c r="BX21" s="231"/>
      <c r="BY21" s="231"/>
      <c r="BZ21" s="231"/>
      <c r="CA21" s="231"/>
      <c r="CB21" s="414">
        <f t="shared" si="11"/>
        <v>0</v>
      </c>
      <c r="CC21" s="415">
        <f t="shared" si="12"/>
        <v>0</v>
      </c>
      <c r="CD21" s="300">
        <v>3</v>
      </c>
      <c r="CE21" s="414">
        <f t="shared" si="14"/>
        <v>0</v>
      </c>
      <c r="CF21" s="414">
        <f t="shared" si="15"/>
        <v>0</v>
      </c>
      <c r="CG21" s="414">
        <f t="shared" si="16"/>
        <v>0</v>
      </c>
      <c r="CH21" s="414">
        <f t="shared" si="17"/>
        <v>0</v>
      </c>
      <c r="CI21" s="416">
        <f t="shared" si="18"/>
        <v>0</v>
      </c>
      <c r="CJ21" s="414">
        <f t="shared" si="19"/>
        <v>0</v>
      </c>
      <c r="CK21" s="414">
        <f t="shared" si="20"/>
        <v>0</v>
      </c>
      <c r="CL21" s="414">
        <f t="shared" si="21"/>
        <v>0</v>
      </c>
      <c r="CM21" s="414">
        <f t="shared" si="22"/>
        <v>0</v>
      </c>
      <c r="CN21" s="416">
        <f t="shared" si="23"/>
        <v>0</v>
      </c>
      <c r="CO21" s="414">
        <f t="shared" si="24"/>
        <v>0</v>
      </c>
      <c r="CP21" s="414">
        <f t="shared" si="25"/>
        <v>0</v>
      </c>
      <c r="CQ21" s="414">
        <f t="shared" si="26"/>
        <v>0</v>
      </c>
      <c r="CR21" s="414">
        <f t="shared" si="27"/>
        <v>0</v>
      </c>
      <c r="CS21" s="416">
        <f t="shared" si="13"/>
        <v>0</v>
      </c>
      <c r="CT21" s="319"/>
      <c r="CV21" s="319"/>
      <c r="CX21" s="319"/>
    </row>
    <row r="22" spans="1:131" ht="15.75" customHeight="1">
      <c r="A22" s="88" t="s">
        <v>177</v>
      </c>
      <c r="B22" s="300">
        <v>4</v>
      </c>
      <c r="C22" s="231">
        <v>0</v>
      </c>
      <c r="D22" s="231">
        <v>0</v>
      </c>
      <c r="E22" s="231">
        <v>0</v>
      </c>
      <c r="F22" s="231">
        <v>0</v>
      </c>
      <c r="G22" s="231">
        <v>0</v>
      </c>
      <c r="H22" s="231">
        <v>0</v>
      </c>
      <c r="I22" s="231">
        <v>0</v>
      </c>
      <c r="J22" s="231">
        <v>0</v>
      </c>
      <c r="K22" s="412">
        <f t="shared" si="1"/>
        <v>0</v>
      </c>
      <c r="L22" s="417">
        <v>0</v>
      </c>
      <c r="M22" s="231">
        <v>16590.572884058234</v>
      </c>
      <c r="N22" s="231">
        <v>0</v>
      </c>
      <c r="O22" s="231">
        <v>16821.335742667834</v>
      </c>
      <c r="P22" s="231">
        <v>0</v>
      </c>
      <c r="Q22" s="231">
        <v>18019.537181700274</v>
      </c>
      <c r="R22" s="231">
        <v>0</v>
      </c>
      <c r="S22" s="231">
        <v>17261.770487801146</v>
      </c>
      <c r="T22" s="414">
        <f t="shared" si="2"/>
        <v>68693.216296227489</v>
      </c>
      <c r="U22" s="415">
        <f t="shared" si="3"/>
        <v>68693.216296227489</v>
      </c>
      <c r="V22" s="300">
        <v>4</v>
      </c>
      <c r="W22" s="231">
        <v>0</v>
      </c>
      <c r="X22" s="231">
        <v>0</v>
      </c>
      <c r="Y22" s="231">
        <v>0</v>
      </c>
      <c r="Z22" s="231">
        <v>0</v>
      </c>
      <c r="AA22" s="231">
        <v>0</v>
      </c>
      <c r="AB22" s="231">
        <v>0</v>
      </c>
      <c r="AC22" s="231">
        <v>0</v>
      </c>
      <c r="AD22" s="231">
        <v>0</v>
      </c>
      <c r="AE22" s="412">
        <f t="shared" si="4"/>
        <v>0</v>
      </c>
      <c r="AF22" s="417">
        <v>0</v>
      </c>
      <c r="AG22" s="231">
        <v>10180.720726806387</v>
      </c>
      <c r="AH22" s="231">
        <v>0</v>
      </c>
      <c r="AI22" s="231">
        <v>8951.9933823916981</v>
      </c>
      <c r="AJ22" s="231">
        <v>0</v>
      </c>
      <c r="AK22" s="231">
        <v>9776.335833320958</v>
      </c>
      <c r="AL22" s="231">
        <v>0</v>
      </c>
      <c r="AM22" s="231">
        <v>9965.2652584858406</v>
      </c>
      <c r="AN22" s="414">
        <f t="shared" si="5"/>
        <v>38874.31520100488</v>
      </c>
      <c r="AO22" s="415">
        <f t="shared" si="6"/>
        <v>38874.31520100488</v>
      </c>
      <c r="AP22" s="300">
        <v>4</v>
      </c>
      <c r="AQ22" s="231">
        <v>0</v>
      </c>
      <c r="AR22" s="231">
        <v>0</v>
      </c>
      <c r="AS22" s="231">
        <v>0</v>
      </c>
      <c r="AT22" s="231">
        <v>0</v>
      </c>
      <c r="AU22" s="231">
        <v>0</v>
      </c>
      <c r="AV22" s="231">
        <v>0</v>
      </c>
      <c r="AW22" s="231">
        <v>0</v>
      </c>
      <c r="AX22" s="231">
        <v>0</v>
      </c>
      <c r="AY22" s="412">
        <f t="shared" si="7"/>
        <v>0</v>
      </c>
      <c r="AZ22" s="417">
        <v>0</v>
      </c>
      <c r="BA22" s="231">
        <v>170416.38908897978</v>
      </c>
      <c r="BB22" s="231">
        <v>0</v>
      </c>
      <c r="BC22" s="231">
        <v>142253.09035953073</v>
      </c>
      <c r="BD22" s="231">
        <v>0</v>
      </c>
      <c r="BE22" s="231">
        <v>155667.58211331948</v>
      </c>
      <c r="BF22" s="231">
        <v>0</v>
      </c>
      <c r="BG22" s="231">
        <v>156368.42513218254</v>
      </c>
      <c r="BH22" s="414">
        <f t="shared" si="8"/>
        <v>624705.48669401254</v>
      </c>
      <c r="BI22" s="415">
        <f t="shared" si="9"/>
        <v>624705.48669401254</v>
      </c>
      <c r="BJ22" s="300">
        <v>4</v>
      </c>
      <c r="BK22" s="231">
        <v>0</v>
      </c>
      <c r="BL22" s="231">
        <v>0</v>
      </c>
      <c r="BM22" s="231">
        <v>0</v>
      </c>
      <c r="BN22" s="231">
        <v>0</v>
      </c>
      <c r="BO22" s="231">
        <v>0</v>
      </c>
      <c r="BP22" s="231">
        <v>0</v>
      </c>
      <c r="BQ22" s="231">
        <v>0</v>
      </c>
      <c r="BR22" s="231">
        <v>0</v>
      </c>
      <c r="BS22" s="412">
        <f t="shared" si="10"/>
        <v>0</v>
      </c>
      <c r="BT22" s="417">
        <v>0</v>
      </c>
      <c r="BU22" s="231">
        <v>8211.6197755612084</v>
      </c>
      <c r="BV22" s="231">
        <v>0</v>
      </c>
      <c r="BW22" s="231">
        <v>7494.4563881509612</v>
      </c>
      <c r="BX22" s="231">
        <v>0</v>
      </c>
      <c r="BY22" s="231">
        <v>7727.3713765351104</v>
      </c>
      <c r="BZ22" s="231">
        <v>0</v>
      </c>
      <c r="CA22" s="231">
        <v>7671.2587602120575</v>
      </c>
      <c r="CB22" s="414">
        <f t="shared" si="11"/>
        <v>31104.706300459336</v>
      </c>
      <c r="CC22" s="415">
        <f t="shared" si="12"/>
        <v>31104.706300459336</v>
      </c>
      <c r="CD22" s="300">
        <v>4</v>
      </c>
      <c r="CE22" s="414">
        <f t="shared" si="14"/>
        <v>0</v>
      </c>
      <c r="CF22" s="414">
        <f t="shared" si="15"/>
        <v>0</v>
      </c>
      <c r="CG22" s="414">
        <f t="shared" si="16"/>
        <v>0</v>
      </c>
      <c r="CH22" s="414">
        <f t="shared" si="17"/>
        <v>0</v>
      </c>
      <c r="CI22" s="416">
        <f t="shared" si="18"/>
        <v>0</v>
      </c>
      <c r="CJ22" s="414">
        <f t="shared" si="19"/>
        <v>205399.3024754056</v>
      </c>
      <c r="CK22" s="414">
        <f t="shared" si="20"/>
        <v>175520.87587274122</v>
      </c>
      <c r="CL22" s="414">
        <f t="shared" si="21"/>
        <v>191190.82650487582</v>
      </c>
      <c r="CM22" s="414">
        <f t="shared" si="22"/>
        <v>191266.71963868156</v>
      </c>
      <c r="CN22" s="416">
        <f t="shared" si="23"/>
        <v>763377.72449170426</v>
      </c>
      <c r="CO22" s="414">
        <f t="shared" si="24"/>
        <v>205399.3024754056</v>
      </c>
      <c r="CP22" s="414">
        <f t="shared" si="25"/>
        <v>175520.87587274122</v>
      </c>
      <c r="CQ22" s="414">
        <f t="shared" si="26"/>
        <v>191190.82650487582</v>
      </c>
      <c r="CR22" s="414">
        <f t="shared" si="27"/>
        <v>191266.71963868156</v>
      </c>
      <c r="CS22" s="416">
        <f t="shared" si="13"/>
        <v>763377.72449170426</v>
      </c>
      <c r="CT22" s="319"/>
      <c r="CV22" s="319"/>
      <c r="CX22" s="319"/>
    </row>
    <row r="23" spans="1:131" ht="15.75" customHeight="1">
      <c r="A23" s="135" t="s">
        <v>179</v>
      </c>
      <c r="B23" s="300">
        <v>5</v>
      </c>
      <c r="C23" s="137">
        <f t="shared" ref="C23:J23" si="36">C16+C20+C21+C22</f>
        <v>110915.5</v>
      </c>
      <c r="D23" s="137">
        <f t="shared" si="36"/>
        <v>393997.59000000102</v>
      </c>
      <c r="E23" s="137">
        <f t="shared" si="36"/>
        <v>128790.6</v>
      </c>
      <c r="F23" s="137">
        <f t="shared" si="36"/>
        <v>393620.140000001</v>
      </c>
      <c r="G23" s="137">
        <f t="shared" si="36"/>
        <v>157437.91</v>
      </c>
      <c r="H23" s="137">
        <f t="shared" si="36"/>
        <v>400907.93000000197</v>
      </c>
      <c r="I23" s="137">
        <f t="shared" si="36"/>
        <v>160090.99</v>
      </c>
      <c r="J23" s="137">
        <f t="shared" si="36"/>
        <v>410527.67000000202</v>
      </c>
      <c r="K23" s="412">
        <f t="shared" si="1"/>
        <v>2156288.3300000057</v>
      </c>
      <c r="L23" s="217">
        <f t="shared" ref="L23:S23" si="37">L16+L20+L21+L22</f>
        <v>0</v>
      </c>
      <c r="M23" s="137">
        <f t="shared" si="37"/>
        <v>1313480.2152840584</v>
      </c>
      <c r="N23" s="137">
        <f t="shared" si="37"/>
        <v>0</v>
      </c>
      <c r="O23" s="137">
        <f t="shared" si="37"/>
        <v>1130610.3653426678</v>
      </c>
      <c r="P23" s="137">
        <f t="shared" si="37"/>
        <v>0</v>
      </c>
      <c r="Q23" s="137">
        <f t="shared" si="37"/>
        <v>1295284.8439817035</v>
      </c>
      <c r="R23" s="137">
        <f t="shared" si="37"/>
        <v>0</v>
      </c>
      <c r="S23" s="137">
        <f t="shared" si="37"/>
        <v>1285556.2328878031</v>
      </c>
      <c r="T23" s="414">
        <f t="shared" si="2"/>
        <v>5024931.6574962325</v>
      </c>
      <c r="U23" s="217">
        <f t="shared" si="3"/>
        <v>7181219.9874962382</v>
      </c>
      <c r="V23" s="300">
        <v>5</v>
      </c>
      <c r="W23" s="137">
        <f t="shared" ref="W23:AD23" si="38">W16+W20+W21+W22</f>
        <v>22973.040000000001</v>
      </c>
      <c r="X23" s="137">
        <f t="shared" si="38"/>
        <v>309334.93</v>
      </c>
      <c r="Y23" s="137">
        <f t="shared" si="38"/>
        <v>16913.28</v>
      </c>
      <c r="Z23" s="137">
        <f t="shared" si="38"/>
        <v>303526.65000000002</v>
      </c>
      <c r="AA23" s="137">
        <f t="shared" si="38"/>
        <v>13883.4</v>
      </c>
      <c r="AB23" s="137">
        <f t="shared" si="38"/>
        <v>307483.95</v>
      </c>
      <c r="AC23" s="137">
        <f t="shared" si="38"/>
        <v>28482.78</v>
      </c>
      <c r="AD23" s="137">
        <f t="shared" si="38"/>
        <v>333286.80000000098</v>
      </c>
      <c r="AE23" s="412">
        <f t="shared" si="4"/>
        <v>1335884.830000001</v>
      </c>
      <c r="AF23" s="217">
        <f t="shared" ref="AF23:AM23" si="39">AF16+AF20+AF21+AF22</f>
        <v>0</v>
      </c>
      <c r="AG23" s="137">
        <f t="shared" si="39"/>
        <v>546101.81492680637</v>
      </c>
      <c r="AH23" s="137">
        <f t="shared" si="39"/>
        <v>0</v>
      </c>
      <c r="AI23" s="137">
        <f t="shared" si="39"/>
        <v>501619.31858239172</v>
      </c>
      <c r="AJ23" s="137">
        <f t="shared" si="39"/>
        <v>0</v>
      </c>
      <c r="AK23" s="137">
        <f t="shared" si="39"/>
        <v>537661.54183332098</v>
      </c>
      <c r="AL23" s="137">
        <f t="shared" si="39"/>
        <v>0</v>
      </c>
      <c r="AM23" s="137">
        <f t="shared" si="39"/>
        <v>586383.54745848582</v>
      </c>
      <c r="AN23" s="414">
        <f t="shared" si="5"/>
        <v>2171766.222801005</v>
      </c>
      <c r="AO23" s="217">
        <f t="shared" si="6"/>
        <v>3507651.052801006</v>
      </c>
      <c r="AP23" s="300">
        <v>5</v>
      </c>
      <c r="AQ23" s="137">
        <f t="shared" ref="AQ23:AX23" si="40">AQ16+AQ20+AQ21+AQ22</f>
        <v>2836131.77999999</v>
      </c>
      <c r="AR23" s="137">
        <f t="shared" si="40"/>
        <v>9005904.50999978</v>
      </c>
      <c r="AS23" s="137">
        <f t="shared" si="40"/>
        <v>3022979.3299999996</v>
      </c>
      <c r="AT23" s="137">
        <f t="shared" si="40"/>
        <v>9220674.6299997792</v>
      </c>
      <c r="AU23" s="137">
        <f t="shared" si="40"/>
        <v>3149637.59</v>
      </c>
      <c r="AV23" s="137">
        <f t="shared" si="40"/>
        <v>9706710.9699996095</v>
      </c>
      <c r="AW23" s="137">
        <f t="shared" si="40"/>
        <v>3347156.39</v>
      </c>
      <c r="AX23" s="137">
        <f t="shared" si="40"/>
        <v>9955963.6799996011</v>
      </c>
      <c r="AY23" s="412">
        <f t="shared" si="7"/>
        <v>50245158.879998758</v>
      </c>
      <c r="AZ23" s="217">
        <f t="shared" ref="AZ23:BG23" si="41">AZ16+AZ20+AZ21+AZ22</f>
        <v>0</v>
      </c>
      <c r="BA23" s="137">
        <f t="shared" si="41"/>
        <v>11791345.008288968</v>
      </c>
      <c r="BB23" s="137">
        <f t="shared" si="41"/>
        <v>0</v>
      </c>
      <c r="BC23" s="137">
        <f t="shared" si="41"/>
        <v>9980323.0679595508</v>
      </c>
      <c r="BD23" s="137">
        <f t="shared" si="41"/>
        <v>0</v>
      </c>
      <c r="BE23" s="137">
        <f t="shared" si="41"/>
        <v>10973398.839713359</v>
      </c>
      <c r="BF23" s="137">
        <f t="shared" si="41"/>
        <v>0</v>
      </c>
      <c r="BG23" s="137">
        <f t="shared" si="41"/>
        <v>10575569.161532221</v>
      </c>
      <c r="BH23" s="414">
        <f t="shared" si="8"/>
        <v>43320636.0774941</v>
      </c>
      <c r="BI23" s="217">
        <f t="shared" si="9"/>
        <v>93565794.957492858</v>
      </c>
      <c r="BJ23" s="300">
        <v>5</v>
      </c>
      <c r="BK23" s="137">
        <f t="shared" ref="BK23:BR23" si="42">BK16+BK20+BK21+BK22</f>
        <v>39436.44</v>
      </c>
      <c r="BL23" s="137">
        <f t="shared" si="42"/>
        <v>1154517.1300000001</v>
      </c>
      <c r="BM23" s="137">
        <f t="shared" si="42"/>
        <v>25552.98</v>
      </c>
      <c r="BN23" s="137">
        <f t="shared" si="42"/>
        <v>1155368.1600000001</v>
      </c>
      <c r="BO23" s="137">
        <f t="shared" si="42"/>
        <v>58345.49</v>
      </c>
      <c r="BP23" s="137">
        <f t="shared" si="42"/>
        <v>1160309.9600000002</v>
      </c>
      <c r="BQ23" s="137">
        <f t="shared" si="42"/>
        <v>88113.18</v>
      </c>
      <c r="BR23" s="137">
        <f t="shared" si="42"/>
        <v>1229369.99</v>
      </c>
      <c r="BS23" s="412">
        <f t="shared" si="10"/>
        <v>4911013.33</v>
      </c>
      <c r="BT23" s="217">
        <f t="shared" ref="BT23:CA23" si="43">BT16+BT20+BT21+BT22</f>
        <v>0</v>
      </c>
      <c r="BU23" s="137">
        <f t="shared" si="43"/>
        <v>560909.8507755613</v>
      </c>
      <c r="BV23" s="137">
        <f t="shared" si="43"/>
        <v>0</v>
      </c>
      <c r="BW23" s="137">
        <f t="shared" si="43"/>
        <v>704035.45658815093</v>
      </c>
      <c r="BX23" s="137">
        <f t="shared" si="43"/>
        <v>0</v>
      </c>
      <c r="BY23" s="137">
        <f t="shared" si="43"/>
        <v>573634.78557653516</v>
      </c>
      <c r="BZ23" s="137">
        <f t="shared" si="43"/>
        <v>0</v>
      </c>
      <c r="CA23" s="137">
        <f t="shared" si="43"/>
        <v>571743.78616021213</v>
      </c>
      <c r="CB23" s="414">
        <f t="shared" si="11"/>
        <v>2410323.8791004596</v>
      </c>
      <c r="CC23" s="217">
        <f t="shared" si="12"/>
        <v>7321337.2091004597</v>
      </c>
      <c r="CD23" s="300">
        <v>5</v>
      </c>
      <c r="CE23" s="414">
        <f t="shared" si="14"/>
        <v>13873210.919999771</v>
      </c>
      <c r="CF23" s="414">
        <f t="shared" si="15"/>
        <v>14267425.76999978</v>
      </c>
      <c r="CG23" s="414">
        <f t="shared" si="16"/>
        <v>14954717.199999614</v>
      </c>
      <c r="CH23" s="414">
        <f t="shared" si="17"/>
        <v>15552991.479999604</v>
      </c>
      <c r="CI23" s="416">
        <f t="shared" si="18"/>
        <v>58648345.369998761</v>
      </c>
      <c r="CJ23" s="414">
        <f t="shared" si="19"/>
        <v>14211836.889275394</v>
      </c>
      <c r="CK23" s="414">
        <f t="shared" si="20"/>
        <v>12316588.20847276</v>
      </c>
      <c r="CL23" s="414">
        <f t="shared" si="21"/>
        <v>13379980.011104919</v>
      </c>
      <c r="CM23" s="414">
        <f t="shared" si="22"/>
        <v>13019252.728038723</v>
      </c>
      <c r="CN23" s="416">
        <f t="shared" si="23"/>
        <v>52927657.836891793</v>
      </c>
      <c r="CO23" s="414">
        <f t="shared" si="24"/>
        <v>28085047.809275165</v>
      </c>
      <c r="CP23" s="414">
        <f t="shared" si="25"/>
        <v>26584013.978472538</v>
      </c>
      <c r="CQ23" s="414">
        <f t="shared" si="26"/>
        <v>28334697.211104527</v>
      </c>
      <c r="CR23" s="414">
        <f t="shared" si="27"/>
        <v>28572244.208038323</v>
      </c>
      <c r="CS23" s="416">
        <f t="shared" si="13"/>
        <v>111576003.20689057</v>
      </c>
      <c r="CT23" s="319"/>
      <c r="CV23" s="319"/>
      <c r="CX23" s="319"/>
    </row>
    <row r="24" spans="1:131" ht="15.75" customHeight="1">
      <c r="A24" s="135" t="s">
        <v>1340</v>
      </c>
      <c r="B24" s="193"/>
      <c r="C24" s="178"/>
      <c r="D24" s="178"/>
      <c r="E24" s="178"/>
      <c r="F24" s="178"/>
      <c r="G24" s="178"/>
      <c r="H24" s="178"/>
      <c r="I24" s="178"/>
      <c r="J24" s="178"/>
      <c r="K24" s="381"/>
      <c r="L24" s="382"/>
      <c r="M24" s="178"/>
      <c r="N24" s="178"/>
      <c r="O24" s="178"/>
      <c r="P24" s="178"/>
      <c r="Q24" s="178"/>
      <c r="R24" s="178"/>
      <c r="S24" s="178"/>
      <c r="T24" s="178"/>
      <c r="U24" s="382"/>
      <c r="V24" s="193"/>
      <c r="W24" s="178"/>
      <c r="X24" s="178"/>
      <c r="Y24" s="178"/>
      <c r="Z24" s="178"/>
      <c r="AA24" s="178"/>
      <c r="AB24" s="178"/>
      <c r="AC24" s="178"/>
      <c r="AD24" s="178"/>
      <c r="AE24" s="381"/>
      <c r="AF24" s="382"/>
      <c r="AG24" s="178"/>
      <c r="AH24" s="178"/>
      <c r="AI24" s="178"/>
      <c r="AJ24" s="178"/>
      <c r="AK24" s="178"/>
      <c r="AL24" s="178"/>
      <c r="AM24" s="178"/>
      <c r="AN24" s="178"/>
      <c r="AO24" s="382"/>
      <c r="AP24" s="193"/>
      <c r="AQ24" s="178"/>
      <c r="AR24" s="178"/>
      <c r="AS24" s="178"/>
      <c r="AT24" s="178"/>
      <c r="AU24" s="178"/>
      <c r="AV24" s="178"/>
      <c r="AW24" s="178"/>
      <c r="AX24" s="178"/>
      <c r="AY24" s="381"/>
      <c r="AZ24" s="382"/>
      <c r="BA24" s="178"/>
      <c r="BB24" s="178"/>
      <c r="BC24" s="178"/>
      <c r="BD24" s="178"/>
      <c r="BE24" s="178"/>
      <c r="BF24" s="178"/>
      <c r="BG24" s="178"/>
      <c r="BH24" s="178"/>
      <c r="BI24" s="382"/>
      <c r="BJ24" s="193"/>
      <c r="BK24" s="178"/>
      <c r="BL24" s="178"/>
      <c r="BM24" s="178"/>
      <c r="BN24" s="178"/>
      <c r="BO24" s="178"/>
      <c r="BP24" s="178"/>
      <c r="BQ24" s="178"/>
      <c r="BR24" s="178"/>
      <c r="BS24" s="381"/>
      <c r="BT24" s="382"/>
      <c r="BU24" s="178"/>
      <c r="BV24" s="178"/>
      <c r="BW24" s="178"/>
      <c r="BX24" s="178"/>
      <c r="BY24" s="178"/>
      <c r="BZ24" s="178"/>
      <c r="CA24" s="178"/>
      <c r="CB24" s="178"/>
      <c r="CC24" s="382"/>
      <c r="CD24" s="193"/>
      <c r="CE24" s="178"/>
      <c r="CF24" s="178"/>
      <c r="CG24" s="178"/>
      <c r="CH24" s="178"/>
      <c r="CI24" s="419"/>
      <c r="CJ24" s="178"/>
      <c r="CK24" s="178"/>
      <c r="CL24" s="178"/>
      <c r="CM24" s="178"/>
      <c r="CN24" s="419"/>
      <c r="CO24" s="178"/>
      <c r="CP24" s="178"/>
      <c r="CQ24" s="178"/>
      <c r="CR24" s="178"/>
      <c r="CS24" s="419"/>
    </row>
    <row r="25" spans="1:131" ht="15.75" customHeight="1">
      <c r="A25" s="88" t="s">
        <v>181</v>
      </c>
      <c r="B25" s="300">
        <v>6</v>
      </c>
      <c r="C25" s="231"/>
      <c r="D25" s="231"/>
      <c r="E25" s="231"/>
      <c r="F25" s="231"/>
      <c r="G25" s="231"/>
      <c r="H25" s="231"/>
      <c r="I25" s="231"/>
      <c r="J25" s="231"/>
      <c r="K25" s="412">
        <f t="shared" ref="K25:K30" si="44">SUM(C25:J25)</f>
        <v>0</v>
      </c>
      <c r="L25" s="417"/>
      <c r="M25" s="231"/>
      <c r="N25" s="231"/>
      <c r="O25" s="231"/>
      <c r="P25" s="231"/>
      <c r="Q25" s="231"/>
      <c r="R25" s="231"/>
      <c r="S25" s="231"/>
      <c r="T25" s="414">
        <f t="shared" ref="T25:T30" si="45">SUM(L25:S25)</f>
        <v>0</v>
      </c>
      <c r="U25" s="415">
        <f t="shared" ref="U25:U30" si="46">SUM(K25,T25)</f>
        <v>0</v>
      </c>
      <c r="V25" s="300">
        <v>6</v>
      </c>
      <c r="W25" s="231"/>
      <c r="X25" s="231"/>
      <c r="Y25" s="231"/>
      <c r="Z25" s="231"/>
      <c r="AA25" s="231"/>
      <c r="AB25" s="231"/>
      <c r="AC25" s="231"/>
      <c r="AD25" s="231"/>
      <c r="AE25" s="412">
        <f t="shared" ref="AE25:AE30" si="47">SUM(W25:AD25)</f>
        <v>0</v>
      </c>
      <c r="AF25" s="417"/>
      <c r="AG25" s="231"/>
      <c r="AH25" s="231"/>
      <c r="AI25" s="231"/>
      <c r="AJ25" s="231"/>
      <c r="AK25" s="231"/>
      <c r="AL25" s="231"/>
      <c r="AM25" s="231"/>
      <c r="AN25" s="414">
        <f t="shared" ref="AN25:AN30" si="48">SUM(AF25:AM25)</f>
        <v>0</v>
      </c>
      <c r="AO25" s="415">
        <f t="shared" ref="AO25:AO30" si="49">SUM(AE25,AN25)</f>
        <v>0</v>
      </c>
      <c r="AP25" s="300">
        <v>6</v>
      </c>
      <c r="AQ25" s="231"/>
      <c r="AR25" s="231"/>
      <c r="AS25" s="231"/>
      <c r="AT25" s="231"/>
      <c r="AU25" s="231"/>
      <c r="AV25" s="231"/>
      <c r="AW25" s="231"/>
      <c r="AX25" s="231"/>
      <c r="AY25" s="412">
        <f t="shared" ref="AY25:AY30" si="50">SUM(AQ25:AX25)</f>
        <v>0</v>
      </c>
      <c r="AZ25" s="417"/>
      <c r="BA25" s="231"/>
      <c r="BB25" s="231"/>
      <c r="BC25" s="231"/>
      <c r="BD25" s="231"/>
      <c r="BE25" s="231"/>
      <c r="BF25" s="231"/>
      <c r="BG25" s="231"/>
      <c r="BH25" s="414">
        <f t="shared" ref="BH25:BH30" si="51">SUM(AZ25:BG25)</f>
        <v>0</v>
      </c>
      <c r="BI25" s="415">
        <f t="shared" ref="BI25:BI30" si="52">SUM(AY25,BH25)</f>
        <v>0</v>
      </c>
      <c r="BJ25" s="300">
        <v>6</v>
      </c>
      <c r="BK25" s="231">
        <v>3030.4407440552677</v>
      </c>
      <c r="BL25" s="231">
        <v>88717.332255694288</v>
      </c>
      <c r="BM25" s="231">
        <v>2039.6937598482102</v>
      </c>
      <c r="BN25" s="231">
        <v>92223.968643943255</v>
      </c>
      <c r="BO25" s="231">
        <v>4760.6766410333003</v>
      </c>
      <c r="BP25" s="231">
        <v>94675.021547171593</v>
      </c>
      <c r="BQ25" s="231">
        <v>28709.151522054999</v>
      </c>
      <c r="BR25" s="231">
        <v>400554.93763336242</v>
      </c>
      <c r="BS25" s="412">
        <f t="shared" ref="BS25:BS30" si="53">SUM(BK25:BR25)</f>
        <v>714711.22274716338</v>
      </c>
      <c r="BT25" s="417"/>
      <c r="BU25" s="231"/>
      <c r="BV25" s="231"/>
      <c r="BW25" s="231"/>
      <c r="BX25" s="231"/>
      <c r="BY25" s="231"/>
      <c r="BZ25" s="231"/>
      <c r="CA25" s="231"/>
      <c r="CB25" s="414">
        <f t="shared" ref="CB25:CB30" si="54">SUM(BT25:CA25)</f>
        <v>0</v>
      </c>
      <c r="CC25" s="415">
        <f t="shared" ref="CC25:CC30" si="55">SUM(BS25,CB25)</f>
        <v>714711.22274716338</v>
      </c>
      <c r="CD25" s="300">
        <v>6</v>
      </c>
      <c r="CE25" s="414">
        <f t="shared" ref="CE25:CE30" si="56">+C25+D25+W25+X25+AQ25+AR25+BK25+BL25</f>
        <v>91747.772999749548</v>
      </c>
      <c r="CF25" s="414">
        <f t="shared" ref="CF25:CF30" si="57">+E25+F25+Y25+Z25+AS25+AT25+BM25+BN25</f>
        <v>94263.662403791459</v>
      </c>
      <c r="CG25" s="414">
        <f t="shared" ref="CG25:CG30" si="58">+G25+H25+AA25+AB25+AU25+AV25+BO25+BP25</f>
        <v>99435.6981882049</v>
      </c>
      <c r="CH25" s="414">
        <f t="shared" ref="CH25:CH30" si="59">+I25+J25+AC25+AD25+AW25+AX25+BQ25+BR25</f>
        <v>429264.0891554174</v>
      </c>
      <c r="CI25" s="416">
        <f t="shared" ref="CI25:CI30" si="60">SUM(K25,AE25,AY25,BS25)</f>
        <v>714711.22274716338</v>
      </c>
      <c r="CJ25" s="414">
        <f t="shared" ref="CJ25:CJ30" si="61">L25+M25+AF25+AG25+AZ25+BA25+BT25+BU25</f>
        <v>0</v>
      </c>
      <c r="CK25" s="414">
        <f t="shared" ref="CK25:CK30" si="62">N25+O25+AH25+AI25+BB25+BC25+BV25+BW25</f>
        <v>0</v>
      </c>
      <c r="CL25" s="414">
        <f t="shared" ref="CL25:CL30" si="63">P25+Q25+AJ25+AK25+BD25+BE25+BX25+BY25</f>
        <v>0</v>
      </c>
      <c r="CM25" s="414">
        <f t="shared" ref="CM25:CM30" si="64">+R25+S25+AL25+AM25+BF25+BG25+BZ25+CA25</f>
        <v>0</v>
      </c>
      <c r="CN25" s="416">
        <f t="shared" ref="CN25:CN30" si="65">SUM(T25,AN25,BH25,CB25)</f>
        <v>0</v>
      </c>
      <c r="CO25" s="414">
        <f t="shared" ref="CO25:CO30" si="66">+C25+D25+L25+M25+W25+X25+AF25+AG25+AQ25+AR25+AZ25+BA25+BK25+BL25+BT25+BU25</f>
        <v>91747.772999749548</v>
      </c>
      <c r="CP25" s="414">
        <f t="shared" ref="CP25:CP30" si="67">+E25+F25+N25+O25+Y25+Z25+AH25+AI25+AS25+AT25+BB25+BC25+BM25+BN25+BV25+BW25</f>
        <v>94263.662403791459</v>
      </c>
      <c r="CQ25" s="414">
        <f t="shared" ref="CQ25:CQ30" si="68">+G25+H25+P25+Q25+AA25+AB25+AJ25+AK25+AU25+AV25+BD25+BE25+BO25+BP25+BX25+BY25</f>
        <v>99435.6981882049</v>
      </c>
      <c r="CR25" s="414">
        <f t="shared" ref="CR25:CR30" si="69">+I25+J25+R25+S25+AC25+AD25+AL25+AM25+AW25+AX25+BF25+BG25+BQ25+BR25+BZ25+CA25</f>
        <v>429264.0891554174</v>
      </c>
      <c r="CS25" s="416">
        <f t="shared" ref="CS25:CS30" si="70">SUM(CC25,BI25,AO25,U25)</f>
        <v>714711.22274716338</v>
      </c>
      <c r="CT25" s="319"/>
      <c r="CU25" s="319"/>
      <c r="CV25" s="319"/>
      <c r="CW25" s="319"/>
      <c r="CX25" s="319"/>
    </row>
    <row r="26" spans="1:131" ht="15.75" customHeight="1">
      <c r="A26" s="88" t="s">
        <v>183</v>
      </c>
      <c r="B26" s="300">
        <v>7</v>
      </c>
      <c r="C26" s="231"/>
      <c r="D26" s="231"/>
      <c r="E26" s="231"/>
      <c r="F26" s="231"/>
      <c r="G26" s="231"/>
      <c r="H26" s="231"/>
      <c r="I26" s="231"/>
      <c r="J26" s="231"/>
      <c r="K26" s="412">
        <f t="shared" si="44"/>
        <v>0</v>
      </c>
      <c r="L26" s="417"/>
      <c r="M26" s="231"/>
      <c r="N26" s="231"/>
      <c r="O26" s="231"/>
      <c r="P26" s="231"/>
      <c r="Q26" s="231"/>
      <c r="R26" s="231"/>
      <c r="S26" s="231"/>
      <c r="T26" s="414">
        <f t="shared" si="45"/>
        <v>0</v>
      </c>
      <c r="U26" s="415">
        <f t="shared" si="46"/>
        <v>0</v>
      </c>
      <c r="V26" s="300">
        <v>7</v>
      </c>
      <c r="W26" s="231"/>
      <c r="X26" s="231"/>
      <c r="Y26" s="231"/>
      <c r="Z26" s="231"/>
      <c r="AA26" s="231"/>
      <c r="AB26" s="231"/>
      <c r="AC26" s="231"/>
      <c r="AD26" s="231"/>
      <c r="AE26" s="412">
        <f t="shared" si="47"/>
        <v>0</v>
      </c>
      <c r="AF26" s="417"/>
      <c r="AG26" s="231"/>
      <c r="AH26" s="231"/>
      <c r="AI26" s="231"/>
      <c r="AJ26" s="231"/>
      <c r="AK26" s="231"/>
      <c r="AL26" s="231"/>
      <c r="AM26" s="231"/>
      <c r="AN26" s="414">
        <f t="shared" si="48"/>
        <v>0</v>
      </c>
      <c r="AO26" s="415">
        <f t="shared" si="49"/>
        <v>0</v>
      </c>
      <c r="AP26" s="300">
        <v>7</v>
      </c>
      <c r="AQ26" s="231"/>
      <c r="AR26" s="231"/>
      <c r="AS26" s="231"/>
      <c r="AT26" s="231"/>
      <c r="AU26" s="231"/>
      <c r="AV26" s="231"/>
      <c r="AW26" s="231"/>
      <c r="AX26" s="231"/>
      <c r="AY26" s="412">
        <f t="shared" si="50"/>
        <v>0</v>
      </c>
      <c r="AZ26" s="417"/>
      <c r="BA26" s="231"/>
      <c r="BB26" s="231"/>
      <c r="BC26" s="231"/>
      <c r="BD26" s="231"/>
      <c r="BE26" s="231"/>
      <c r="BF26" s="231"/>
      <c r="BG26" s="231"/>
      <c r="BH26" s="414">
        <f t="shared" si="51"/>
        <v>0</v>
      </c>
      <c r="BI26" s="415">
        <f t="shared" si="52"/>
        <v>0</v>
      </c>
      <c r="BJ26" s="300">
        <v>7</v>
      </c>
      <c r="BK26" s="231"/>
      <c r="BL26" s="231"/>
      <c r="BM26" s="231"/>
      <c r="BN26" s="231"/>
      <c r="BO26" s="231"/>
      <c r="BP26" s="231"/>
      <c r="BQ26" s="231"/>
      <c r="BR26" s="231"/>
      <c r="BS26" s="412">
        <f t="shared" si="53"/>
        <v>0</v>
      </c>
      <c r="BT26" s="417"/>
      <c r="BU26" s="231"/>
      <c r="BV26" s="231"/>
      <c r="BW26" s="231"/>
      <c r="BX26" s="231"/>
      <c r="BY26" s="231"/>
      <c r="BZ26" s="231"/>
      <c r="CA26" s="231"/>
      <c r="CB26" s="414">
        <f t="shared" si="54"/>
        <v>0</v>
      </c>
      <c r="CC26" s="415">
        <f t="shared" si="55"/>
        <v>0</v>
      </c>
      <c r="CD26" s="300">
        <v>7</v>
      </c>
      <c r="CE26" s="414">
        <f t="shared" si="56"/>
        <v>0</v>
      </c>
      <c r="CF26" s="414">
        <f t="shared" si="57"/>
        <v>0</v>
      </c>
      <c r="CG26" s="414">
        <f t="shared" si="58"/>
        <v>0</v>
      </c>
      <c r="CH26" s="414">
        <f t="shared" si="59"/>
        <v>0</v>
      </c>
      <c r="CI26" s="416">
        <f t="shared" si="60"/>
        <v>0</v>
      </c>
      <c r="CJ26" s="414">
        <f t="shared" si="61"/>
        <v>0</v>
      </c>
      <c r="CK26" s="414">
        <f t="shared" si="62"/>
        <v>0</v>
      </c>
      <c r="CL26" s="414">
        <f t="shared" si="63"/>
        <v>0</v>
      </c>
      <c r="CM26" s="414">
        <f t="shared" si="64"/>
        <v>0</v>
      </c>
      <c r="CN26" s="416">
        <f t="shared" si="65"/>
        <v>0</v>
      </c>
      <c r="CO26" s="414">
        <f t="shared" si="66"/>
        <v>0</v>
      </c>
      <c r="CP26" s="414">
        <f t="shared" si="67"/>
        <v>0</v>
      </c>
      <c r="CQ26" s="414">
        <f t="shared" si="68"/>
        <v>0</v>
      </c>
      <c r="CR26" s="414">
        <f t="shared" si="69"/>
        <v>0</v>
      </c>
      <c r="CS26" s="416">
        <f t="shared" si="70"/>
        <v>0</v>
      </c>
      <c r="CT26" s="319"/>
      <c r="CV26" s="319"/>
      <c r="CX26" s="319"/>
    </row>
    <row r="27" spans="1:131" ht="15.75" customHeight="1">
      <c r="A27" s="88" t="s">
        <v>185</v>
      </c>
      <c r="B27" s="300">
        <v>8</v>
      </c>
      <c r="C27" s="231"/>
      <c r="D27" s="231"/>
      <c r="E27" s="231"/>
      <c r="F27" s="231"/>
      <c r="G27" s="231"/>
      <c r="H27" s="231"/>
      <c r="I27" s="231"/>
      <c r="J27" s="231"/>
      <c r="K27" s="412">
        <f t="shared" si="44"/>
        <v>0</v>
      </c>
      <c r="L27" s="417"/>
      <c r="M27" s="231"/>
      <c r="N27" s="231"/>
      <c r="O27" s="231"/>
      <c r="P27" s="231"/>
      <c r="Q27" s="231"/>
      <c r="R27" s="231"/>
      <c r="S27" s="231"/>
      <c r="T27" s="414">
        <f t="shared" si="45"/>
        <v>0</v>
      </c>
      <c r="U27" s="415">
        <f t="shared" si="46"/>
        <v>0</v>
      </c>
      <c r="V27" s="300">
        <v>8</v>
      </c>
      <c r="W27" s="231"/>
      <c r="X27" s="231"/>
      <c r="Y27" s="231"/>
      <c r="Z27" s="231"/>
      <c r="AA27" s="231"/>
      <c r="AB27" s="231"/>
      <c r="AC27" s="231"/>
      <c r="AD27" s="231"/>
      <c r="AE27" s="412">
        <f t="shared" si="47"/>
        <v>0</v>
      </c>
      <c r="AF27" s="417"/>
      <c r="AG27" s="231"/>
      <c r="AH27" s="231"/>
      <c r="AI27" s="231"/>
      <c r="AJ27" s="231"/>
      <c r="AK27" s="231"/>
      <c r="AL27" s="231"/>
      <c r="AM27" s="231"/>
      <c r="AN27" s="414">
        <f t="shared" si="48"/>
        <v>0</v>
      </c>
      <c r="AO27" s="415">
        <f t="shared" si="49"/>
        <v>0</v>
      </c>
      <c r="AP27" s="300">
        <v>8</v>
      </c>
      <c r="AQ27" s="231"/>
      <c r="AR27" s="231"/>
      <c r="AS27" s="231"/>
      <c r="AT27" s="231"/>
      <c r="AU27" s="231"/>
      <c r="AV27" s="231"/>
      <c r="AW27" s="231"/>
      <c r="AX27" s="231"/>
      <c r="AY27" s="412">
        <f t="shared" si="50"/>
        <v>0</v>
      </c>
      <c r="AZ27" s="417"/>
      <c r="BA27" s="231"/>
      <c r="BB27" s="231"/>
      <c r="BC27" s="231"/>
      <c r="BD27" s="231"/>
      <c r="BE27" s="231"/>
      <c r="BF27" s="231"/>
      <c r="BG27" s="231"/>
      <c r="BH27" s="414">
        <f t="shared" si="51"/>
        <v>0</v>
      </c>
      <c r="BI27" s="415">
        <f t="shared" si="52"/>
        <v>0</v>
      </c>
      <c r="BJ27" s="300">
        <v>8</v>
      </c>
      <c r="BK27" s="231"/>
      <c r="BL27" s="231"/>
      <c r="BM27" s="231"/>
      <c r="BN27" s="231"/>
      <c r="BO27" s="231"/>
      <c r="BP27" s="231"/>
      <c r="BQ27" s="231"/>
      <c r="BR27" s="231"/>
      <c r="BS27" s="412">
        <f t="shared" si="53"/>
        <v>0</v>
      </c>
      <c r="BT27" s="417"/>
      <c r="BU27" s="231"/>
      <c r="BV27" s="231"/>
      <c r="BW27" s="231"/>
      <c r="BX27" s="231"/>
      <c r="BY27" s="231"/>
      <c r="BZ27" s="231"/>
      <c r="CA27" s="231"/>
      <c r="CB27" s="414">
        <f t="shared" si="54"/>
        <v>0</v>
      </c>
      <c r="CC27" s="415">
        <f t="shared" si="55"/>
        <v>0</v>
      </c>
      <c r="CD27" s="300">
        <v>8</v>
      </c>
      <c r="CE27" s="414">
        <f t="shared" si="56"/>
        <v>0</v>
      </c>
      <c r="CF27" s="414">
        <f t="shared" si="57"/>
        <v>0</v>
      </c>
      <c r="CG27" s="414">
        <f t="shared" si="58"/>
        <v>0</v>
      </c>
      <c r="CH27" s="414">
        <f t="shared" si="59"/>
        <v>0</v>
      </c>
      <c r="CI27" s="416">
        <f t="shared" si="60"/>
        <v>0</v>
      </c>
      <c r="CJ27" s="414">
        <f t="shared" si="61"/>
        <v>0</v>
      </c>
      <c r="CK27" s="414">
        <f t="shared" si="62"/>
        <v>0</v>
      </c>
      <c r="CL27" s="414">
        <f t="shared" si="63"/>
        <v>0</v>
      </c>
      <c r="CM27" s="414">
        <f t="shared" si="64"/>
        <v>0</v>
      </c>
      <c r="CN27" s="416">
        <f t="shared" si="65"/>
        <v>0</v>
      </c>
      <c r="CO27" s="414">
        <f t="shared" si="66"/>
        <v>0</v>
      </c>
      <c r="CP27" s="414">
        <f t="shared" si="67"/>
        <v>0</v>
      </c>
      <c r="CQ27" s="414">
        <f t="shared" si="68"/>
        <v>0</v>
      </c>
      <c r="CR27" s="414">
        <f t="shared" si="69"/>
        <v>0</v>
      </c>
      <c r="CS27" s="416">
        <f t="shared" si="70"/>
        <v>0</v>
      </c>
      <c r="CT27" s="319"/>
      <c r="CV27" s="319"/>
      <c r="CX27" s="319"/>
    </row>
    <row r="28" spans="1:131" ht="15.75" customHeight="1">
      <c r="A28" s="88" t="s">
        <v>187</v>
      </c>
      <c r="B28" s="300">
        <v>9</v>
      </c>
      <c r="C28" s="231"/>
      <c r="D28" s="231"/>
      <c r="E28" s="231"/>
      <c r="F28" s="231"/>
      <c r="G28" s="231"/>
      <c r="H28" s="231"/>
      <c r="I28" s="231"/>
      <c r="J28" s="231"/>
      <c r="K28" s="412">
        <f t="shared" si="44"/>
        <v>0</v>
      </c>
      <c r="L28" s="417"/>
      <c r="M28" s="231"/>
      <c r="N28" s="231"/>
      <c r="O28" s="231"/>
      <c r="P28" s="231"/>
      <c r="Q28" s="231"/>
      <c r="R28" s="231"/>
      <c r="S28" s="231"/>
      <c r="T28" s="414">
        <f t="shared" si="45"/>
        <v>0</v>
      </c>
      <c r="U28" s="415">
        <f t="shared" si="46"/>
        <v>0</v>
      </c>
      <c r="V28" s="300">
        <v>9</v>
      </c>
      <c r="W28" s="231"/>
      <c r="X28" s="231"/>
      <c r="Y28" s="231"/>
      <c r="Z28" s="231"/>
      <c r="AA28" s="231"/>
      <c r="AB28" s="231"/>
      <c r="AC28" s="231"/>
      <c r="AD28" s="231"/>
      <c r="AE28" s="412">
        <f t="shared" si="47"/>
        <v>0</v>
      </c>
      <c r="AF28" s="417"/>
      <c r="AG28" s="231"/>
      <c r="AH28" s="231"/>
      <c r="AI28" s="231"/>
      <c r="AJ28" s="231"/>
      <c r="AK28" s="231"/>
      <c r="AL28" s="231"/>
      <c r="AM28" s="231"/>
      <c r="AN28" s="414">
        <f t="shared" si="48"/>
        <v>0</v>
      </c>
      <c r="AO28" s="415">
        <f t="shared" si="49"/>
        <v>0</v>
      </c>
      <c r="AP28" s="300">
        <v>9</v>
      </c>
      <c r="AQ28" s="231"/>
      <c r="AR28" s="231"/>
      <c r="AS28" s="231"/>
      <c r="AT28" s="231"/>
      <c r="AU28" s="231"/>
      <c r="AV28" s="231"/>
      <c r="AW28" s="231"/>
      <c r="AX28" s="231"/>
      <c r="AY28" s="412">
        <f t="shared" si="50"/>
        <v>0</v>
      </c>
      <c r="AZ28" s="417"/>
      <c r="BA28" s="231"/>
      <c r="BB28" s="231"/>
      <c r="BC28" s="231"/>
      <c r="BD28" s="231"/>
      <c r="BE28" s="231"/>
      <c r="BF28" s="231"/>
      <c r="BG28" s="231"/>
      <c r="BH28" s="414">
        <f t="shared" si="51"/>
        <v>0</v>
      </c>
      <c r="BI28" s="415">
        <f t="shared" si="52"/>
        <v>0</v>
      </c>
      <c r="BJ28" s="300">
        <v>9</v>
      </c>
      <c r="BK28" s="231"/>
      <c r="BL28" s="231"/>
      <c r="BM28" s="231"/>
      <c r="BN28" s="231"/>
      <c r="BO28" s="231"/>
      <c r="BP28" s="231"/>
      <c r="BQ28" s="231"/>
      <c r="BR28" s="231"/>
      <c r="BS28" s="412">
        <f t="shared" si="53"/>
        <v>0</v>
      </c>
      <c r="BT28" s="417"/>
      <c r="BU28" s="231"/>
      <c r="BV28" s="231"/>
      <c r="BW28" s="231"/>
      <c r="BX28" s="231"/>
      <c r="BY28" s="231"/>
      <c r="BZ28" s="231"/>
      <c r="CA28" s="231"/>
      <c r="CB28" s="414">
        <f t="shared" si="54"/>
        <v>0</v>
      </c>
      <c r="CC28" s="415">
        <f t="shared" si="55"/>
        <v>0</v>
      </c>
      <c r="CD28" s="300">
        <v>9</v>
      </c>
      <c r="CE28" s="414">
        <f t="shared" si="56"/>
        <v>0</v>
      </c>
      <c r="CF28" s="414">
        <f t="shared" si="57"/>
        <v>0</v>
      </c>
      <c r="CG28" s="414">
        <f t="shared" si="58"/>
        <v>0</v>
      </c>
      <c r="CH28" s="414">
        <f t="shared" si="59"/>
        <v>0</v>
      </c>
      <c r="CI28" s="416">
        <f t="shared" si="60"/>
        <v>0</v>
      </c>
      <c r="CJ28" s="414">
        <f t="shared" si="61"/>
        <v>0</v>
      </c>
      <c r="CK28" s="414">
        <f t="shared" si="62"/>
        <v>0</v>
      </c>
      <c r="CL28" s="414">
        <f t="shared" si="63"/>
        <v>0</v>
      </c>
      <c r="CM28" s="414">
        <f t="shared" si="64"/>
        <v>0</v>
      </c>
      <c r="CN28" s="416">
        <f t="shared" si="65"/>
        <v>0</v>
      </c>
      <c r="CO28" s="414">
        <f t="shared" si="66"/>
        <v>0</v>
      </c>
      <c r="CP28" s="414">
        <f t="shared" si="67"/>
        <v>0</v>
      </c>
      <c r="CQ28" s="414">
        <f t="shared" si="68"/>
        <v>0</v>
      </c>
      <c r="CR28" s="414">
        <f t="shared" si="69"/>
        <v>0</v>
      </c>
      <c r="CS28" s="416">
        <f t="shared" si="70"/>
        <v>0</v>
      </c>
      <c r="CT28" s="319"/>
      <c r="CV28" s="319"/>
      <c r="CX28" s="319"/>
    </row>
    <row r="29" spans="1:131" ht="15.75" customHeight="1">
      <c r="A29" s="88" t="s">
        <v>189</v>
      </c>
      <c r="B29" s="300">
        <v>10</v>
      </c>
      <c r="C29" s="231">
        <v>0</v>
      </c>
      <c r="D29" s="231">
        <v>0</v>
      </c>
      <c r="E29" s="231">
        <v>0</v>
      </c>
      <c r="F29" s="231">
        <v>0</v>
      </c>
      <c r="G29" s="231">
        <v>0</v>
      </c>
      <c r="H29" s="231">
        <v>0</v>
      </c>
      <c r="I29" s="231">
        <v>0</v>
      </c>
      <c r="J29" s="231">
        <v>0</v>
      </c>
      <c r="K29" s="412">
        <f t="shared" si="44"/>
        <v>0</v>
      </c>
      <c r="L29" s="417">
        <v>0</v>
      </c>
      <c r="M29" s="231">
        <v>33411.234462246815</v>
      </c>
      <c r="N29" s="231">
        <v>0</v>
      </c>
      <c r="O29" s="231">
        <v>29703.429367852903</v>
      </c>
      <c r="P29" s="231">
        <v>0</v>
      </c>
      <c r="Q29" s="231">
        <v>31358.328346648115</v>
      </c>
      <c r="R29" s="231">
        <v>0</v>
      </c>
      <c r="S29" s="231">
        <v>31173.504414766281</v>
      </c>
      <c r="T29" s="414">
        <f t="shared" si="45"/>
        <v>125646.49659151411</v>
      </c>
      <c r="U29" s="415">
        <f t="shared" si="46"/>
        <v>125646.49659151411</v>
      </c>
      <c r="V29" s="300">
        <v>10</v>
      </c>
      <c r="W29" s="231">
        <v>0</v>
      </c>
      <c r="X29" s="231">
        <v>0</v>
      </c>
      <c r="Y29" s="231">
        <v>0</v>
      </c>
      <c r="Z29" s="231">
        <v>0</v>
      </c>
      <c r="AA29" s="231">
        <v>0</v>
      </c>
      <c r="AB29" s="231">
        <v>0</v>
      </c>
      <c r="AC29" s="231">
        <v>0</v>
      </c>
      <c r="AD29" s="231">
        <v>0</v>
      </c>
      <c r="AE29" s="412">
        <f t="shared" si="47"/>
        <v>0</v>
      </c>
      <c r="AF29" s="417">
        <v>0</v>
      </c>
      <c r="AG29" s="231">
        <v>14473.988671949415</v>
      </c>
      <c r="AH29" s="231">
        <v>0</v>
      </c>
      <c r="AI29" s="231">
        <v>13258.924191749036</v>
      </c>
      <c r="AJ29" s="231">
        <v>0</v>
      </c>
      <c r="AK29" s="231">
        <v>14526.064865258166</v>
      </c>
      <c r="AL29" s="231">
        <v>0</v>
      </c>
      <c r="AM29" s="231">
        <v>15586.145995865747</v>
      </c>
      <c r="AN29" s="414">
        <f t="shared" si="48"/>
        <v>57845.123724822362</v>
      </c>
      <c r="AO29" s="415">
        <f t="shared" si="49"/>
        <v>57845.123724822362</v>
      </c>
      <c r="AP29" s="300">
        <v>10</v>
      </c>
      <c r="AQ29" s="231">
        <v>0</v>
      </c>
      <c r="AR29" s="231">
        <v>0</v>
      </c>
      <c r="AS29" s="231">
        <v>0</v>
      </c>
      <c r="AT29" s="231">
        <v>0</v>
      </c>
      <c r="AU29" s="231">
        <v>0</v>
      </c>
      <c r="AV29" s="231">
        <v>0</v>
      </c>
      <c r="AW29" s="231">
        <v>0</v>
      </c>
      <c r="AX29" s="231">
        <v>0</v>
      </c>
      <c r="AY29" s="412">
        <f t="shared" si="50"/>
        <v>0</v>
      </c>
      <c r="AZ29" s="417">
        <v>0</v>
      </c>
      <c r="BA29" s="231">
        <v>302070.03632826213</v>
      </c>
      <c r="BB29" s="231">
        <v>0</v>
      </c>
      <c r="BC29" s="231">
        <v>242636.56524594862</v>
      </c>
      <c r="BD29" s="231">
        <v>0</v>
      </c>
      <c r="BE29" s="231">
        <v>274031.01053200598</v>
      </c>
      <c r="BF29" s="231">
        <v>0</v>
      </c>
      <c r="BG29" s="231">
        <v>273284.60515490844</v>
      </c>
      <c r="BH29" s="414">
        <f t="shared" si="51"/>
        <v>1092022.2172611251</v>
      </c>
      <c r="BI29" s="415">
        <f t="shared" si="52"/>
        <v>1092022.2172611251</v>
      </c>
      <c r="BJ29" s="300">
        <v>10</v>
      </c>
      <c r="BK29" s="231">
        <v>0</v>
      </c>
      <c r="BL29" s="231">
        <v>0</v>
      </c>
      <c r="BM29" s="231">
        <v>0</v>
      </c>
      <c r="BN29" s="231">
        <v>0</v>
      </c>
      <c r="BO29" s="231">
        <v>0</v>
      </c>
      <c r="BP29" s="231">
        <v>0</v>
      </c>
      <c r="BQ29" s="231">
        <v>0</v>
      </c>
      <c r="BR29" s="231">
        <v>0</v>
      </c>
      <c r="BS29" s="412">
        <f t="shared" si="53"/>
        <v>0</v>
      </c>
      <c r="BT29" s="417">
        <v>0</v>
      </c>
      <c r="BU29" s="231">
        <v>11505.504403869067</v>
      </c>
      <c r="BV29" s="231">
        <v>0</v>
      </c>
      <c r="BW29" s="231">
        <v>11366.766906735673</v>
      </c>
      <c r="BX29" s="231">
        <v>0</v>
      </c>
      <c r="BY29" s="231">
        <v>11892.437513022416</v>
      </c>
      <c r="BZ29" s="231">
        <v>0</v>
      </c>
      <c r="CA29" s="231">
        <v>14465.244119962119</v>
      </c>
      <c r="CB29" s="414">
        <f t="shared" si="54"/>
        <v>49229.952943589269</v>
      </c>
      <c r="CC29" s="415">
        <f t="shared" si="55"/>
        <v>49229.952943589269</v>
      </c>
      <c r="CD29" s="300">
        <v>10</v>
      </c>
      <c r="CE29" s="414">
        <f t="shared" si="56"/>
        <v>0</v>
      </c>
      <c r="CF29" s="414">
        <f t="shared" si="57"/>
        <v>0</v>
      </c>
      <c r="CG29" s="414">
        <f t="shared" si="58"/>
        <v>0</v>
      </c>
      <c r="CH29" s="414">
        <f t="shared" si="59"/>
        <v>0</v>
      </c>
      <c r="CI29" s="416">
        <f t="shared" si="60"/>
        <v>0</v>
      </c>
      <c r="CJ29" s="414">
        <f t="shared" si="61"/>
        <v>361460.76386632741</v>
      </c>
      <c r="CK29" s="414">
        <f t="shared" si="62"/>
        <v>296965.68571228621</v>
      </c>
      <c r="CL29" s="414">
        <f t="shared" si="63"/>
        <v>331807.84125693463</v>
      </c>
      <c r="CM29" s="414">
        <f t="shared" si="64"/>
        <v>334509.49968550255</v>
      </c>
      <c r="CN29" s="416">
        <f t="shared" si="65"/>
        <v>1324743.7905210508</v>
      </c>
      <c r="CO29" s="414">
        <f t="shared" si="66"/>
        <v>361460.76386632741</v>
      </c>
      <c r="CP29" s="414">
        <f t="shared" si="67"/>
        <v>296965.68571228621</v>
      </c>
      <c r="CQ29" s="414">
        <f t="shared" si="68"/>
        <v>331807.84125693463</v>
      </c>
      <c r="CR29" s="414">
        <f t="shared" si="69"/>
        <v>334509.49968550255</v>
      </c>
      <c r="CS29" s="416">
        <f t="shared" si="70"/>
        <v>1324743.790521051</v>
      </c>
      <c r="CT29" s="319"/>
      <c r="CV29" s="319"/>
      <c r="CX29" s="319"/>
    </row>
    <row r="30" spans="1:131" ht="15.75" customHeight="1">
      <c r="A30" s="135" t="s">
        <v>191</v>
      </c>
      <c r="B30" s="300">
        <v>11</v>
      </c>
      <c r="C30" s="137">
        <f t="shared" ref="C30:J30" si="71">SUM(C25:C29)</f>
        <v>0</v>
      </c>
      <c r="D30" s="137">
        <f t="shared" si="71"/>
        <v>0</v>
      </c>
      <c r="E30" s="137">
        <f t="shared" si="71"/>
        <v>0</v>
      </c>
      <c r="F30" s="137">
        <f t="shared" si="71"/>
        <v>0</v>
      </c>
      <c r="G30" s="137">
        <f t="shared" si="71"/>
        <v>0</v>
      </c>
      <c r="H30" s="137">
        <f t="shared" si="71"/>
        <v>0</v>
      </c>
      <c r="I30" s="137">
        <f t="shared" si="71"/>
        <v>0</v>
      </c>
      <c r="J30" s="137">
        <f t="shared" si="71"/>
        <v>0</v>
      </c>
      <c r="K30" s="412">
        <f t="shared" si="44"/>
        <v>0</v>
      </c>
      <c r="L30" s="217">
        <f t="shared" ref="L30:S30" si="72">SUM(L25:L29)</f>
        <v>0</v>
      </c>
      <c r="M30" s="137">
        <f t="shared" si="72"/>
        <v>33411.234462246815</v>
      </c>
      <c r="N30" s="137">
        <f t="shared" si="72"/>
        <v>0</v>
      </c>
      <c r="O30" s="137">
        <f t="shared" si="72"/>
        <v>29703.429367852903</v>
      </c>
      <c r="P30" s="137">
        <f t="shared" si="72"/>
        <v>0</v>
      </c>
      <c r="Q30" s="137">
        <f t="shared" si="72"/>
        <v>31358.328346648115</v>
      </c>
      <c r="R30" s="137">
        <f t="shared" si="72"/>
        <v>0</v>
      </c>
      <c r="S30" s="137">
        <f t="shared" si="72"/>
        <v>31173.504414766281</v>
      </c>
      <c r="T30" s="414">
        <f t="shared" si="45"/>
        <v>125646.49659151411</v>
      </c>
      <c r="U30" s="415">
        <f t="shared" si="46"/>
        <v>125646.49659151411</v>
      </c>
      <c r="V30" s="300">
        <v>11</v>
      </c>
      <c r="W30" s="137">
        <f t="shared" ref="W30:AD30" si="73">SUM(W25:W29)</f>
        <v>0</v>
      </c>
      <c r="X30" s="137">
        <f t="shared" si="73"/>
        <v>0</v>
      </c>
      <c r="Y30" s="137">
        <f t="shared" si="73"/>
        <v>0</v>
      </c>
      <c r="Z30" s="137">
        <f t="shared" si="73"/>
        <v>0</v>
      </c>
      <c r="AA30" s="137">
        <f t="shared" si="73"/>
        <v>0</v>
      </c>
      <c r="AB30" s="137">
        <f t="shared" si="73"/>
        <v>0</v>
      </c>
      <c r="AC30" s="137">
        <f t="shared" si="73"/>
        <v>0</v>
      </c>
      <c r="AD30" s="137">
        <f t="shared" si="73"/>
        <v>0</v>
      </c>
      <c r="AE30" s="412">
        <f t="shared" si="47"/>
        <v>0</v>
      </c>
      <c r="AF30" s="217">
        <f t="shared" ref="AF30:AM30" si="74">SUM(AF25:AF29)</f>
        <v>0</v>
      </c>
      <c r="AG30" s="137">
        <f t="shared" si="74"/>
        <v>14473.988671949415</v>
      </c>
      <c r="AH30" s="137">
        <f t="shared" si="74"/>
        <v>0</v>
      </c>
      <c r="AI30" s="137">
        <f t="shared" si="74"/>
        <v>13258.924191749036</v>
      </c>
      <c r="AJ30" s="137">
        <f t="shared" si="74"/>
        <v>0</v>
      </c>
      <c r="AK30" s="137">
        <f t="shared" si="74"/>
        <v>14526.064865258166</v>
      </c>
      <c r="AL30" s="137">
        <f t="shared" si="74"/>
        <v>0</v>
      </c>
      <c r="AM30" s="137">
        <f t="shared" si="74"/>
        <v>15586.145995865747</v>
      </c>
      <c r="AN30" s="414">
        <f t="shared" si="48"/>
        <v>57845.123724822362</v>
      </c>
      <c r="AO30" s="415">
        <f t="shared" si="49"/>
        <v>57845.123724822362</v>
      </c>
      <c r="AP30" s="300">
        <v>11</v>
      </c>
      <c r="AQ30" s="137">
        <f t="shared" ref="AQ30:AX30" si="75">SUM(AQ25:AQ29)</f>
        <v>0</v>
      </c>
      <c r="AR30" s="137">
        <f t="shared" si="75"/>
        <v>0</v>
      </c>
      <c r="AS30" s="137">
        <f t="shared" si="75"/>
        <v>0</v>
      </c>
      <c r="AT30" s="137">
        <f t="shared" si="75"/>
        <v>0</v>
      </c>
      <c r="AU30" s="137">
        <f t="shared" si="75"/>
        <v>0</v>
      </c>
      <c r="AV30" s="137">
        <f t="shared" si="75"/>
        <v>0</v>
      </c>
      <c r="AW30" s="137">
        <f t="shared" si="75"/>
        <v>0</v>
      </c>
      <c r="AX30" s="137">
        <f t="shared" si="75"/>
        <v>0</v>
      </c>
      <c r="AY30" s="412">
        <f t="shared" si="50"/>
        <v>0</v>
      </c>
      <c r="AZ30" s="217">
        <f t="shared" ref="AZ30:BG30" si="76">SUM(AZ25:AZ29)</f>
        <v>0</v>
      </c>
      <c r="BA30" s="137">
        <f t="shared" si="76"/>
        <v>302070.03632826213</v>
      </c>
      <c r="BB30" s="137">
        <f t="shared" si="76"/>
        <v>0</v>
      </c>
      <c r="BC30" s="137">
        <f t="shared" si="76"/>
        <v>242636.56524594862</v>
      </c>
      <c r="BD30" s="137">
        <f t="shared" si="76"/>
        <v>0</v>
      </c>
      <c r="BE30" s="137">
        <f t="shared" si="76"/>
        <v>274031.01053200598</v>
      </c>
      <c r="BF30" s="137">
        <f t="shared" si="76"/>
        <v>0</v>
      </c>
      <c r="BG30" s="137">
        <f t="shared" si="76"/>
        <v>273284.60515490844</v>
      </c>
      <c r="BH30" s="414">
        <f t="shared" si="51"/>
        <v>1092022.2172611251</v>
      </c>
      <c r="BI30" s="415">
        <f t="shared" si="52"/>
        <v>1092022.2172611251</v>
      </c>
      <c r="BJ30" s="300">
        <v>11</v>
      </c>
      <c r="BK30" s="137">
        <f t="shared" ref="BK30:BR30" si="77">SUM(BK25:BK29)</f>
        <v>3030.4407440552677</v>
      </c>
      <c r="BL30" s="137">
        <f t="shared" si="77"/>
        <v>88717.332255694288</v>
      </c>
      <c r="BM30" s="137">
        <f t="shared" si="77"/>
        <v>2039.6937598482102</v>
      </c>
      <c r="BN30" s="137">
        <f t="shared" si="77"/>
        <v>92223.968643943255</v>
      </c>
      <c r="BO30" s="137">
        <f t="shared" si="77"/>
        <v>4760.6766410333003</v>
      </c>
      <c r="BP30" s="137">
        <f t="shared" si="77"/>
        <v>94675.021547171593</v>
      </c>
      <c r="BQ30" s="137">
        <f t="shared" si="77"/>
        <v>28709.151522054999</v>
      </c>
      <c r="BR30" s="137">
        <f t="shared" si="77"/>
        <v>400554.93763336242</v>
      </c>
      <c r="BS30" s="412">
        <f t="shared" si="53"/>
        <v>714711.22274716338</v>
      </c>
      <c r="BT30" s="217">
        <f t="shared" ref="BT30:CA30" si="78">SUM(BT25:BT29)</f>
        <v>0</v>
      </c>
      <c r="BU30" s="137">
        <f t="shared" si="78"/>
        <v>11505.504403869067</v>
      </c>
      <c r="BV30" s="137">
        <f t="shared" si="78"/>
        <v>0</v>
      </c>
      <c r="BW30" s="137">
        <f t="shared" si="78"/>
        <v>11366.766906735673</v>
      </c>
      <c r="BX30" s="137">
        <f t="shared" si="78"/>
        <v>0</v>
      </c>
      <c r="BY30" s="137">
        <f t="shared" si="78"/>
        <v>11892.437513022416</v>
      </c>
      <c r="BZ30" s="137">
        <f t="shared" si="78"/>
        <v>0</v>
      </c>
      <c r="CA30" s="137">
        <f t="shared" si="78"/>
        <v>14465.244119962119</v>
      </c>
      <c r="CB30" s="414">
        <f t="shared" si="54"/>
        <v>49229.952943589269</v>
      </c>
      <c r="CC30" s="415">
        <f t="shared" si="55"/>
        <v>763941.17569075269</v>
      </c>
      <c r="CD30" s="300">
        <v>11</v>
      </c>
      <c r="CE30" s="414">
        <f t="shared" si="56"/>
        <v>91747.772999749548</v>
      </c>
      <c r="CF30" s="414">
        <f t="shared" si="57"/>
        <v>94263.662403791459</v>
      </c>
      <c r="CG30" s="414">
        <f t="shared" si="58"/>
        <v>99435.6981882049</v>
      </c>
      <c r="CH30" s="414">
        <f t="shared" si="59"/>
        <v>429264.0891554174</v>
      </c>
      <c r="CI30" s="416">
        <f t="shared" si="60"/>
        <v>714711.22274716338</v>
      </c>
      <c r="CJ30" s="414">
        <f t="shared" si="61"/>
        <v>361460.76386632741</v>
      </c>
      <c r="CK30" s="414">
        <f t="shared" si="62"/>
        <v>296965.68571228621</v>
      </c>
      <c r="CL30" s="414">
        <f t="shared" si="63"/>
        <v>331807.84125693463</v>
      </c>
      <c r="CM30" s="414">
        <f t="shared" si="64"/>
        <v>334509.49968550255</v>
      </c>
      <c r="CN30" s="416">
        <f t="shared" si="65"/>
        <v>1324743.7905210508</v>
      </c>
      <c r="CO30" s="414">
        <f t="shared" si="66"/>
        <v>453208.53686607699</v>
      </c>
      <c r="CP30" s="414">
        <f t="shared" si="67"/>
        <v>391229.34811607766</v>
      </c>
      <c r="CQ30" s="414">
        <f t="shared" si="68"/>
        <v>431243.53944513953</v>
      </c>
      <c r="CR30" s="414">
        <f t="shared" si="69"/>
        <v>763773.5888409199</v>
      </c>
      <c r="CS30" s="416">
        <f t="shared" si="70"/>
        <v>2039455.0132682144</v>
      </c>
    </row>
    <row r="31" spans="1:131" ht="15.75" customHeight="1">
      <c r="A31" s="135" t="s">
        <v>1341</v>
      </c>
      <c r="B31" s="300"/>
      <c r="C31" s="187" t="s">
        <v>1315</v>
      </c>
      <c r="D31" s="187" t="s">
        <v>1315</v>
      </c>
      <c r="E31" s="187" t="s">
        <v>1315</v>
      </c>
      <c r="F31" s="187" t="s">
        <v>1315</v>
      </c>
      <c r="G31" s="187" t="s">
        <v>1315</v>
      </c>
      <c r="H31" s="187" t="s">
        <v>1315</v>
      </c>
      <c r="I31" s="187" t="s">
        <v>1315</v>
      </c>
      <c r="J31" s="187" t="s">
        <v>1315</v>
      </c>
      <c r="K31" s="378"/>
      <c r="L31" s="379" t="s">
        <v>1315</v>
      </c>
      <c r="M31" s="187" t="s">
        <v>1315</v>
      </c>
      <c r="N31" s="187" t="s">
        <v>1315</v>
      </c>
      <c r="O31" s="187" t="s">
        <v>1315</v>
      </c>
      <c r="P31" s="187" t="s">
        <v>1315</v>
      </c>
      <c r="Q31" s="187" t="s">
        <v>1315</v>
      </c>
      <c r="R31" s="187" t="s">
        <v>1315</v>
      </c>
      <c r="S31" s="187" t="s">
        <v>1315</v>
      </c>
      <c r="T31" s="380"/>
      <c r="U31" s="379" t="s">
        <v>1315</v>
      </c>
      <c r="V31" s="300"/>
      <c r="W31" s="187" t="s">
        <v>1315</v>
      </c>
      <c r="X31" s="187" t="s">
        <v>1315</v>
      </c>
      <c r="Y31" s="187" t="s">
        <v>1315</v>
      </c>
      <c r="Z31" s="187" t="s">
        <v>1315</v>
      </c>
      <c r="AA31" s="187" t="s">
        <v>1315</v>
      </c>
      <c r="AB31" s="187" t="s">
        <v>1315</v>
      </c>
      <c r="AC31" s="187" t="s">
        <v>1315</v>
      </c>
      <c r="AD31" s="187" t="s">
        <v>1315</v>
      </c>
      <c r="AE31" s="378"/>
      <c r="AF31" s="379" t="s">
        <v>1315</v>
      </c>
      <c r="AG31" s="187" t="s">
        <v>1315</v>
      </c>
      <c r="AH31" s="187" t="s">
        <v>1315</v>
      </c>
      <c r="AI31" s="187" t="s">
        <v>1315</v>
      </c>
      <c r="AJ31" s="187" t="s">
        <v>1315</v>
      </c>
      <c r="AK31" s="187" t="s">
        <v>1315</v>
      </c>
      <c r="AL31" s="187" t="s">
        <v>1315</v>
      </c>
      <c r="AM31" s="187" t="s">
        <v>1315</v>
      </c>
      <c r="AN31" s="380"/>
      <c r="AO31" s="379" t="s">
        <v>1315</v>
      </c>
      <c r="AP31" s="300"/>
      <c r="AQ31" s="187" t="s">
        <v>1315</v>
      </c>
      <c r="AR31" s="187" t="s">
        <v>1315</v>
      </c>
      <c r="AS31" s="187" t="s">
        <v>1315</v>
      </c>
      <c r="AT31" s="187" t="s">
        <v>1315</v>
      </c>
      <c r="AU31" s="187" t="s">
        <v>1315</v>
      </c>
      <c r="AV31" s="187" t="s">
        <v>1315</v>
      </c>
      <c r="AW31" s="187" t="s">
        <v>1315</v>
      </c>
      <c r="AX31" s="187" t="s">
        <v>1315</v>
      </c>
      <c r="AY31" s="378"/>
      <c r="AZ31" s="379" t="s">
        <v>1315</v>
      </c>
      <c r="BA31" s="187" t="s">
        <v>1315</v>
      </c>
      <c r="BB31" s="187" t="s">
        <v>1315</v>
      </c>
      <c r="BC31" s="187" t="s">
        <v>1315</v>
      </c>
      <c r="BD31" s="187" t="s">
        <v>1315</v>
      </c>
      <c r="BE31" s="187" t="s">
        <v>1315</v>
      </c>
      <c r="BF31" s="187" t="s">
        <v>1315</v>
      </c>
      <c r="BG31" s="187" t="s">
        <v>1315</v>
      </c>
      <c r="BH31" s="380"/>
      <c r="BI31" s="379" t="s">
        <v>1315</v>
      </c>
      <c r="BJ31" s="300"/>
      <c r="BK31" s="187" t="s">
        <v>1315</v>
      </c>
      <c r="BL31" s="187" t="s">
        <v>1315</v>
      </c>
      <c r="BM31" s="187" t="s">
        <v>1315</v>
      </c>
      <c r="BN31" s="187" t="s">
        <v>1315</v>
      </c>
      <c r="BO31" s="187" t="s">
        <v>1315</v>
      </c>
      <c r="BP31" s="187" t="s">
        <v>1315</v>
      </c>
      <c r="BQ31" s="187" t="s">
        <v>1315</v>
      </c>
      <c r="BR31" s="187" t="s">
        <v>1315</v>
      </c>
      <c r="BS31" s="378"/>
      <c r="BT31" s="379" t="s">
        <v>1315</v>
      </c>
      <c r="BU31" s="187" t="s">
        <v>1315</v>
      </c>
      <c r="BV31" s="187" t="s">
        <v>1315</v>
      </c>
      <c r="BW31" s="187" t="s">
        <v>1315</v>
      </c>
      <c r="BX31" s="187" t="s">
        <v>1315</v>
      </c>
      <c r="BY31" s="187" t="s">
        <v>1315</v>
      </c>
      <c r="BZ31" s="187" t="s">
        <v>1315</v>
      </c>
      <c r="CA31" s="187" t="s">
        <v>1315</v>
      </c>
      <c r="CB31" s="380"/>
      <c r="CC31" s="379" t="s">
        <v>1315</v>
      </c>
      <c r="CD31" s="300"/>
      <c r="CE31" s="380"/>
      <c r="CF31" s="380"/>
      <c r="CG31" s="380"/>
      <c r="CH31" s="380"/>
      <c r="CI31" s="187"/>
      <c r="CJ31" s="380"/>
      <c r="CK31" s="380"/>
      <c r="CL31" s="380"/>
      <c r="CM31" s="380"/>
      <c r="CN31" s="187"/>
      <c r="CO31" s="380"/>
      <c r="CP31" s="380"/>
      <c r="CQ31" s="380"/>
      <c r="CR31" s="380"/>
      <c r="CS31" s="187"/>
    </row>
    <row r="32" spans="1:131" s="14" customFormat="1" ht="15.75" customHeight="1">
      <c r="A32" s="16" t="s">
        <v>193</v>
      </c>
      <c r="B32" s="300">
        <v>12</v>
      </c>
      <c r="C32" s="216">
        <f t="shared" ref="C32:U32" si="79">C23+C30</f>
        <v>110915.5</v>
      </c>
      <c r="D32" s="216">
        <f t="shared" si="79"/>
        <v>393997.59000000102</v>
      </c>
      <c r="E32" s="216">
        <f t="shared" si="79"/>
        <v>128790.6</v>
      </c>
      <c r="F32" s="216">
        <f t="shared" si="79"/>
        <v>393620.140000001</v>
      </c>
      <c r="G32" s="216">
        <f t="shared" si="79"/>
        <v>157437.91</v>
      </c>
      <c r="H32" s="216">
        <f t="shared" si="79"/>
        <v>400907.93000000197</v>
      </c>
      <c r="I32" s="216">
        <f t="shared" si="79"/>
        <v>160090.99</v>
      </c>
      <c r="J32" s="216">
        <f t="shared" si="79"/>
        <v>410527.67000000202</v>
      </c>
      <c r="K32" s="221">
        <f t="shared" si="79"/>
        <v>2156288.3300000057</v>
      </c>
      <c r="L32" s="218">
        <f t="shared" si="79"/>
        <v>0</v>
      </c>
      <c r="M32" s="216">
        <f t="shared" si="79"/>
        <v>1346891.4497463051</v>
      </c>
      <c r="N32" s="216">
        <f t="shared" si="79"/>
        <v>0</v>
      </c>
      <c r="O32" s="216">
        <f t="shared" si="79"/>
        <v>1160313.7947105207</v>
      </c>
      <c r="P32" s="216">
        <f t="shared" si="79"/>
        <v>0</v>
      </c>
      <c r="Q32" s="216">
        <f t="shared" si="79"/>
        <v>1326643.1723283515</v>
      </c>
      <c r="R32" s="216">
        <f t="shared" si="79"/>
        <v>0</v>
      </c>
      <c r="S32" s="216">
        <f t="shared" si="79"/>
        <v>1316729.7373025694</v>
      </c>
      <c r="T32" s="219">
        <f t="shared" si="79"/>
        <v>5150578.1540877465</v>
      </c>
      <c r="U32" s="218">
        <f t="shared" si="79"/>
        <v>7306866.4840877522</v>
      </c>
      <c r="V32" s="300">
        <v>12</v>
      </c>
      <c r="W32" s="216">
        <f t="shared" ref="W32:AO32" si="80">W23+W30</f>
        <v>22973.040000000001</v>
      </c>
      <c r="X32" s="216">
        <f t="shared" si="80"/>
        <v>309334.93</v>
      </c>
      <c r="Y32" s="216">
        <f t="shared" si="80"/>
        <v>16913.28</v>
      </c>
      <c r="Z32" s="216">
        <f t="shared" si="80"/>
        <v>303526.65000000002</v>
      </c>
      <c r="AA32" s="216">
        <f t="shared" si="80"/>
        <v>13883.4</v>
      </c>
      <c r="AB32" s="216">
        <f t="shared" si="80"/>
        <v>307483.95</v>
      </c>
      <c r="AC32" s="216">
        <f t="shared" si="80"/>
        <v>28482.78</v>
      </c>
      <c r="AD32" s="216">
        <f t="shared" si="80"/>
        <v>333286.80000000098</v>
      </c>
      <c r="AE32" s="221">
        <f t="shared" si="80"/>
        <v>1335884.830000001</v>
      </c>
      <c r="AF32" s="218">
        <f t="shared" si="80"/>
        <v>0</v>
      </c>
      <c r="AG32" s="216">
        <f t="shared" si="80"/>
        <v>560575.80359875574</v>
      </c>
      <c r="AH32" s="216">
        <f t="shared" si="80"/>
        <v>0</v>
      </c>
      <c r="AI32" s="216">
        <f t="shared" si="80"/>
        <v>514878.24277414073</v>
      </c>
      <c r="AJ32" s="216">
        <f t="shared" si="80"/>
        <v>0</v>
      </c>
      <c r="AK32" s="216">
        <f t="shared" si="80"/>
        <v>552187.60669857915</v>
      </c>
      <c r="AL32" s="216">
        <f t="shared" si="80"/>
        <v>0</v>
      </c>
      <c r="AM32" s="216">
        <f t="shared" si="80"/>
        <v>601969.69345435151</v>
      </c>
      <c r="AN32" s="219">
        <f t="shared" si="80"/>
        <v>2229611.3465258274</v>
      </c>
      <c r="AO32" s="218">
        <f t="shared" si="80"/>
        <v>3565496.1765258284</v>
      </c>
      <c r="AP32" s="300">
        <v>12</v>
      </c>
      <c r="AQ32" s="216">
        <f t="shared" ref="AQ32:BI32" si="81">AQ23+AQ30</f>
        <v>2836131.77999999</v>
      </c>
      <c r="AR32" s="216">
        <f t="shared" si="81"/>
        <v>9005904.50999978</v>
      </c>
      <c r="AS32" s="216">
        <f t="shared" si="81"/>
        <v>3022979.3299999996</v>
      </c>
      <c r="AT32" s="216">
        <f t="shared" si="81"/>
        <v>9220674.6299997792</v>
      </c>
      <c r="AU32" s="216">
        <f t="shared" si="81"/>
        <v>3149637.59</v>
      </c>
      <c r="AV32" s="216">
        <f t="shared" si="81"/>
        <v>9706710.9699996095</v>
      </c>
      <c r="AW32" s="216">
        <f t="shared" si="81"/>
        <v>3347156.39</v>
      </c>
      <c r="AX32" s="216">
        <f t="shared" si="81"/>
        <v>9955963.6799996011</v>
      </c>
      <c r="AY32" s="221">
        <f t="shared" si="81"/>
        <v>50245158.879998758</v>
      </c>
      <c r="AZ32" s="218">
        <f t="shared" si="81"/>
        <v>0</v>
      </c>
      <c r="BA32" s="216">
        <f t="shared" si="81"/>
        <v>12093415.04461723</v>
      </c>
      <c r="BB32" s="216">
        <f t="shared" si="81"/>
        <v>0</v>
      </c>
      <c r="BC32" s="216">
        <f t="shared" si="81"/>
        <v>10222959.6332055</v>
      </c>
      <c r="BD32" s="216">
        <f t="shared" si="81"/>
        <v>0</v>
      </c>
      <c r="BE32" s="216">
        <f t="shared" si="81"/>
        <v>11247429.850245366</v>
      </c>
      <c r="BF32" s="216">
        <f t="shared" si="81"/>
        <v>0</v>
      </c>
      <c r="BG32" s="216">
        <f t="shared" si="81"/>
        <v>10848853.766687131</v>
      </c>
      <c r="BH32" s="219">
        <f t="shared" si="81"/>
        <v>44412658.294755228</v>
      </c>
      <c r="BI32" s="218">
        <f t="shared" si="81"/>
        <v>94657817.174753979</v>
      </c>
      <c r="BJ32" s="300">
        <v>12</v>
      </c>
      <c r="BK32" s="216">
        <f t="shared" ref="BK32:CC32" si="82">BK23+BK30</f>
        <v>42466.88074405527</v>
      </c>
      <c r="BL32" s="216">
        <f t="shared" si="82"/>
        <v>1243234.4622556944</v>
      </c>
      <c r="BM32" s="216">
        <f t="shared" si="82"/>
        <v>27592.67375984821</v>
      </c>
      <c r="BN32" s="216">
        <f t="shared" si="82"/>
        <v>1247592.1286439435</v>
      </c>
      <c r="BO32" s="216">
        <f t="shared" si="82"/>
        <v>63106.166641033298</v>
      </c>
      <c r="BP32" s="216">
        <f t="shared" si="82"/>
        <v>1254984.9815471717</v>
      </c>
      <c r="BQ32" s="216">
        <f t="shared" si="82"/>
        <v>116822.331522055</v>
      </c>
      <c r="BR32" s="216">
        <f t="shared" si="82"/>
        <v>1629924.9276333624</v>
      </c>
      <c r="BS32" s="221">
        <f t="shared" si="82"/>
        <v>5625724.5527471639</v>
      </c>
      <c r="BT32" s="218">
        <f t="shared" si="82"/>
        <v>0</v>
      </c>
      <c r="BU32" s="216">
        <f t="shared" si="82"/>
        <v>572415.35517943033</v>
      </c>
      <c r="BV32" s="216">
        <f t="shared" si="82"/>
        <v>0</v>
      </c>
      <c r="BW32" s="216">
        <f t="shared" si="82"/>
        <v>715402.22349488665</v>
      </c>
      <c r="BX32" s="216">
        <f t="shared" si="82"/>
        <v>0</v>
      </c>
      <c r="BY32" s="216">
        <f t="shared" si="82"/>
        <v>585527.22308955761</v>
      </c>
      <c r="BZ32" s="216">
        <f t="shared" si="82"/>
        <v>0</v>
      </c>
      <c r="CA32" s="216">
        <f t="shared" si="82"/>
        <v>586209.03028017422</v>
      </c>
      <c r="CB32" s="219">
        <f t="shared" si="82"/>
        <v>2459553.8320440487</v>
      </c>
      <c r="CC32" s="218">
        <f t="shared" si="82"/>
        <v>8085278.3847912122</v>
      </c>
      <c r="CD32" s="300">
        <v>12</v>
      </c>
      <c r="CE32" s="219">
        <f t="shared" ref="CE32:CH32" si="83">CE23+CE30</f>
        <v>13964958.692999521</v>
      </c>
      <c r="CF32" s="219">
        <f t="shared" si="83"/>
        <v>14361689.432403572</v>
      </c>
      <c r="CG32" s="219">
        <f t="shared" si="83"/>
        <v>15054152.898187818</v>
      </c>
      <c r="CH32" s="219">
        <f t="shared" si="83"/>
        <v>15982255.569155021</v>
      </c>
      <c r="CI32" s="216">
        <f>SUM(BS32,AY32,AE32,K32)</f>
        <v>59363056.592745923</v>
      </c>
      <c r="CJ32" s="219">
        <f t="shared" ref="CJ32:CM32" si="84">CJ23+CJ30</f>
        <v>14573297.653141722</v>
      </c>
      <c r="CK32" s="219">
        <f t="shared" si="84"/>
        <v>12613553.894185046</v>
      </c>
      <c r="CL32" s="219">
        <f t="shared" si="84"/>
        <v>13711787.852361854</v>
      </c>
      <c r="CM32" s="219">
        <f t="shared" si="84"/>
        <v>13353762.227724224</v>
      </c>
      <c r="CN32" s="216">
        <f>SUM(BX32,BD32,AJ32,P32)</f>
        <v>0</v>
      </c>
      <c r="CO32" s="219">
        <f t="shared" ref="CO32:CR32" si="85">CO23+CO30</f>
        <v>28538256.346141241</v>
      </c>
      <c r="CP32" s="219">
        <f t="shared" si="85"/>
        <v>26975243.326588616</v>
      </c>
      <c r="CQ32" s="219">
        <f t="shared" si="85"/>
        <v>28765940.750549667</v>
      </c>
      <c r="CR32" s="219">
        <f t="shared" si="85"/>
        <v>29336017.796879243</v>
      </c>
      <c r="CS32" s="216">
        <f>SUM(CC32,BI32,AO32,U32)</f>
        <v>113615458.22015877</v>
      </c>
      <c r="CT32" s="317"/>
      <c r="CU32" s="317"/>
      <c r="CV32" s="317"/>
      <c r="CW32" s="317"/>
      <c r="CX32" s="317"/>
      <c r="CY32" s="318"/>
      <c r="CZ32" s="318"/>
      <c r="DA32" s="318"/>
      <c r="DB32" s="318"/>
      <c r="DC32" s="318"/>
      <c r="DD32" s="318"/>
      <c r="DE32" s="318"/>
      <c r="DF32" s="318"/>
      <c r="DG32" s="318"/>
      <c r="DH32" s="318"/>
      <c r="DI32" s="318"/>
      <c r="DJ32" s="318"/>
      <c r="DK32" s="318"/>
      <c r="DL32" s="318"/>
      <c r="DM32" s="318"/>
      <c r="DN32" s="318"/>
      <c r="DO32" s="318"/>
      <c r="DP32" s="318"/>
      <c r="DQ32" s="318"/>
      <c r="DR32" s="318"/>
      <c r="DS32" s="318"/>
      <c r="DT32" s="318"/>
      <c r="DU32" s="318"/>
      <c r="DV32" s="318"/>
      <c r="DW32" s="318"/>
      <c r="DX32" s="318"/>
      <c r="DY32" s="318"/>
      <c r="DZ32" s="318"/>
      <c r="EA32" s="318"/>
    </row>
    <row r="33" spans="1:102" ht="15.75" customHeight="1">
      <c r="B33" s="193"/>
      <c r="C33" s="178"/>
      <c r="D33" s="178"/>
      <c r="E33" s="178"/>
      <c r="F33" s="178"/>
      <c r="G33" s="178"/>
      <c r="H33" s="178"/>
      <c r="I33" s="178"/>
      <c r="J33" s="178"/>
      <c r="K33" s="381"/>
      <c r="L33" s="382"/>
      <c r="M33" s="178"/>
      <c r="N33" s="178"/>
      <c r="O33" s="178"/>
      <c r="P33" s="178"/>
      <c r="Q33" s="178"/>
      <c r="R33" s="178"/>
      <c r="S33" s="178"/>
      <c r="T33" s="178"/>
      <c r="U33" s="382"/>
      <c r="V33" s="193"/>
      <c r="W33" s="178"/>
      <c r="X33" s="178"/>
      <c r="Y33" s="178"/>
      <c r="Z33" s="178"/>
      <c r="AA33" s="178"/>
      <c r="AB33" s="178"/>
      <c r="AC33" s="178"/>
      <c r="AD33" s="178"/>
      <c r="AE33" s="381"/>
      <c r="AF33" s="382"/>
      <c r="AG33" s="178"/>
      <c r="AH33" s="178"/>
      <c r="AI33" s="178"/>
      <c r="AJ33" s="178"/>
      <c r="AK33" s="178"/>
      <c r="AL33" s="178"/>
      <c r="AM33" s="178"/>
      <c r="AN33" s="178"/>
      <c r="AO33" s="382"/>
      <c r="AP33" s="193"/>
      <c r="AQ33" s="178"/>
      <c r="AR33" s="178"/>
      <c r="AS33" s="178"/>
      <c r="AT33" s="178"/>
      <c r="AU33" s="178"/>
      <c r="AV33" s="178"/>
      <c r="AW33" s="178"/>
      <c r="AX33" s="178"/>
      <c r="AY33" s="381"/>
      <c r="AZ33" s="382"/>
      <c r="BA33" s="178"/>
      <c r="BB33" s="178"/>
      <c r="BC33" s="178"/>
      <c r="BD33" s="178"/>
      <c r="BE33" s="178"/>
      <c r="BF33" s="178"/>
      <c r="BG33" s="178"/>
      <c r="BH33" s="178"/>
      <c r="BI33" s="382"/>
      <c r="BJ33" s="193"/>
      <c r="BK33" s="178"/>
      <c r="BL33" s="178"/>
      <c r="BM33" s="178"/>
      <c r="BN33" s="178"/>
      <c r="BO33" s="178"/>
      <c r="BP33" s="178"/>
      <c r="BQ33" s="178"/>
      <c r="BR33" s="178"/>
      <c r="BS33" s="381"/>
      <c r="BT33" s="382"/>
      <c r="BU33" s="178"/>
      <c r="BV33" s="178"/>
      <c r="BW33" s="178"/>
      <c r="BX33" s="178"/>
      <c r="BY33" s="178"/>
      <c r="BZ33" s="178"/>
      <c r="CA33" s="178"/>
      <c r="CB33" s="178"/>
      <c r="CC33" s="382"/>
      <c r="CD33" s="193"/>
      <c r="CE33" s="178"/>
      <c r="CF33" s="178"/>
      <c r="CG33" s="178"/>
      <c r="CH33" s="178"/>
      <c r="CI33" s="419"/>
      <c r="CJ33" s="178"/>
      <c r="CK33" s="178"/>
      <c r="CL33" s="178"/>
      <c r="CM33" s="178"/>
      <c r="CN33" s="419"/>
      <c r="CO33" s="178"/>
      <c r="CP33" s="178"/>
      <c r="CQ33" s="178"/>
      <c r="CR33" s="178"/>
      <c r="CS33" s="419"/>
      <c r="CT33" s="319"/>
      <c r="CU33" s="319"/>
      <c r="CV33" s="319"/>
      <c r="CW33" s="319"/>
      <c r="CX33" s="319"/>
    </row>
    <row r="34" spans="1:102" ht="15.75" customHeight="1">
      <c r="A34" s="16" t="s">
        <v>195</v>
      </c>
      <c r="B34" s="193"/>
      <c r="C34" s="178"/>
      <c r="D34" s="178"/>
      <c r="E34" s="178"/>
      <c r="F34" s="178"/>
      <c r="G34" s="178"/>
      <c r="H34" s="178"/>
      <c r="I34" s="178"/>
      <c r="J34" s="178"/>
      <c r="K34" s="381"/>
      <c r="L34" s="382"/>
      <c r="M34" s="178"/>
      <c r="N34" s="178"/>
      <c r="O34" s="178"/>
      <c r="P34" s="178"/>
      <c r="Q34" s="178"/>
      <c r="R34" s="178"/>
      <c r="S34" s="178"/>
      <c r="T34" s="178"/>
      <c r="U34" s="382"/>
      <c r="V34" s="193"/>
      <c r="W34" s="178"/>
      <c r="X34" s="178"/>
      <c r="Y34" s="178"/>
      <c r="Z34" s="178"/>
      <c r="AA34" s="178"/>
      <c r="AB34" s="178"/>
      <c r="AC34" s="178"/>
      <c r="AD34" s="178"/>
      <c r="AE34" s="381"/>
      <c r="AF34" s="382"/>
      <c r="AG34" s="178"/>
      <c r="AH34" s="178"/>
      <c r="AI34" s="178"/>
      <c r="AJ34" s="178"/>
      <c r="AK34" s="178"/>
      <c r="AL34" s="178"/>
      <c r="AM34" s="178"/>
      <c r="AN34" s="178"/>
      <c r="AO34" s="382"/>
      <c r="AP34" s="193"/>
      <c r="AQ34" s="178"/>
      <c r="AR34" s="178"/>
      <c r="AS34" s="178"/>
      <c r="AT34" s="178"/>
      <c r="AU34" s="178"/>
      <c r="AV34" s="178"/>
      <c r="AW34" s="178"/>
      <c r="AX34" s="178"/>
      <c r="AY34" s="381"/>
      <c r="AZ34" s="382"/>
      <c r="BA34" s="178"/>
      <c r="BB34" s="178"/>
      <c r="BC34" s="178"/>
      <c r="BD34" s="178"/>
      <c r="BE34" s="178"/>
      <c r="BF34" s="178"/>
      <c r="BG34" s="178"/>
      <c r="BH34" s="178"/>
      <c r="BI34" s="382"/>
      <c r="BJ34" s="193"/>
      <c r="BK34" s="178"/>
      <c r="BL34" s="178"/>
      <c r="BM34" s="178"/>
      <c r="BN34" s="178"/>
      <c r="BO34" s="178"/>
      <c r="BP34" s="178"/>
      <c r="BQ34" s="178"/>
      <c r="BR34" s="178"/>
      <c r="BS34" s="381"/>
      <c r="BT34" s="382"/>
      <c r="BU34" s="178"/>
      <c r="BV34" s="178"/>
      <c r="BW34" s="178"/>
      <c r="BX34" s="178"/>
      <c r="BY34" s="178"/>
      <c r="BZ34" s="178"/>
      <c r="CA34" s="178"/>
      <c r="CB34" s="178"/>
      <c r="CC34" s="382"/>
      <c r="CD34" s="193"/>
      <c r="CE34" s="178"/>
      <c r="CF34" s="178"/>
      <c r="CG34" s="178"/>
      <c r="CH34" s="178"/>
      <c r="CI34" s="419"/>
      <c r="CJ34" s="178"/>
      <c r="CK34" s="178"/>
      <c r="CL34" s="178"/>
      <c r="CM34" s="178"/>
      <c r="CN34" s="419"/>
      <c r="CO34" s="178"/>
      <c r="CP34" s="178"/>
      <c r="CQ34" s="178"/>
      <c r="CR34" s="178"/>
      <c r="CS34" s="419"/>
      <c r="CT34" s="319"/>
      <c r="CV34" s="319"/>
      <c r="CX34" s="319"/>
    </row>
    <row r="35" spans="1:102" ht="15.75" customHeight="1">
      <c r="A35" s="88" t="s">
        <v>197</v>
      </c>
      <c r="B35" s="300">
        <v>13</v>
      </c>
      <c r="C35" s="231">
        <v>0</v>
      </c>
      <c r="D35" s="231">
        <v>9560.9396935912628</v>
      </c>
      <c r="E35" s="231">
        <v>26741.641007013721</v>
      </c>
      <c r="F35" s="231">
        <v>22378.027498552248</v>
      </c>
      <c r="G35" s="231">
        <v>11681.225577296504</v>
      </c>
      <c r="H35" s="231">
        <v>18174.592964877142</v>
      </c>
      <c r="I35" s="231">
        <v>8795.0765986605857</v>
      </c>
      <c r="J35" s="231">
        <v>3533.5607952148553</v>
      </c>
      <c r="K35" s="412">
        <f t="shared" ref="K35:K64" si="86">SUM(C35:J35)</f>
        <v>100865.06413520632</v>
      </c>
      <c r="L35" s="417">
        <v>0</v>
      </c>
      <c r="M35" s="231">
        <v>115615.0926999042</v>
      </c>
      <c r="N35" s="231">
        <v>0</v>
      </c>
      <c r="O35" s="231">
        <v>281601.52408286103</v>
      </c>
      <c r="P35" s="231">
        <v>0</v>
      </c>
      <c r="Q35" s="231">
        <v>492261.25100429897</v>
      </c>
      <c r="R35" s="231">
        <v>0</v>
      </c>
      <c r="S35" s="231">
        <v>241023.13963539249</v>
      </c>
      <c r="T35" s="414">
        <f t="shared" ref="T35:T64" si="87">SUM(L35:S35)</f>
        <v>1130501.0074224568</v>
      </c>
      <c r="U35" s="415">
        <f t="shared" ref="U35:U64" si="88">SUM(T35,K35)</f>
        <v>1231366.0715576631</v>
      </c>
      <c r="V35" s="300">
        <v>13</v>
      </c>
      <c r="W35" s="231">
        <v>0</v>
      </c>
      <c r="X35" s="231">
        <v>6829.2426382794738</v>
      </c>
      <c r="Y35" s="231">
        <v>0</v>
      </c>
      <c r="Z35" s="231">
        <v>3273.7632721045952</v>
      </c>
      <c r="AA35" s="231">
        <v>0</v>
      </c>
      <c r="AB35" s="231">
        <v>1652.2357240797401</v>
      </c>
      <c r="AC35" s="231">
        <v>0</v>
      </c>
      <c r="AD35" s="231">
        <v>3418.5613953350189</v>
      </c>
      <c r="AE35" s="412">
        <f t="shared" ref="AE35:AE64" si="89">SUM(W35:AD35)</f>
        <v>15173.803029798826</v>
      </c>
      <c r="AF35" s="417">
        <v>0</v>
      </c>
      <c r="AG35" s="231">
        <v>59488.573370247599</v>
      </c>
      <c r="AH35" s="231">
        <v>0</v>
      </c>
      <c r="AI35" s="231">
        <v>155805.21365585717</v>
      </c>
      <c r="AJ35" s="231">
        <v>0</v>
      </c>
      <c r="AK35" s="231">
        <v>5711.6601691338419</v>
      </c>
      <c r="AL35" s="231">
        <v>0</v>
      </c>
      <c r="AM35" s="231">
        <v>126395.07303989852</v>
      </c>
      <c r="AN35" s="414">
        <f t="shared" ref="AN35:AN64" si="90">SUM(AF35:AM35)</f>
        <v>347400.52023513708</v>
      </c>
      <c r="AO35" s="415">
        <f t="shared" ref="AO35:AO64" si="91">SUM(AN35,AE35)</f>
        <v>362574.32326493593</v>
      </c>
      <c r="AP35" s="300">
        <v>13</v>
      </c>
      <c r="AQ35" s="231">
        <v>330344.92598303512</v>
      </c>
      <c r="AR35" s="231">
        <v>176773.34352350328</v>
      </c>
      <c r="AS35" s="231">
        <v>167360.40525061081</v>
      </c>
      <c r="AT35" s="231">
        <v>167006.15878919093</v>
      </c>
      <c r="AU35" s="231">
        <v>291040.34076928574</v>
      </c>
      <c r="AV35" s="231">
        <v>123508.82183222462</v>
      </c>
      <c r="AW35" s="231">
        <v>510532.8603930971</v>
      </c>
      <c r="AX35" s="231">
        <v>82445.552001338248</v>
      </c>
      <c r="AY35" s="412">
        <f t="shared" ref="AY35:AY64" si="92">SUM(AQ35:AX35)</f>
        <v>1849012.4085422859</v>
      </c>
      <c r="AZ35" s="417">
        <v>0</v>
      </c>
      <c r="BA35" s="231">
        <v>2039827.0280183442</v>
      </c>
      <c r="BB35" s="231">
        <v>0</v>
      </c>
      <c r="BC35" s="231">
        <v>2161815.0891751572</v>
      </c>
      <c r="BD35" s="231">
        <v>0</v>
      </c>
      <c r="BE35" s="231">
        <v>2263923.0972434231</v>
      </c>
      <c r="BF35" s="231">
        <v>0</v>
      </c>
      <c r="BG35" s="231">
        <v>2494578.8507363913</v>
      </c>
      <c r="BH35" s="414">
        <f t="shared" ref="BH35:BH64" si="93">SUM(AZ35:BG35)</f>
        <v>8960144.0651733149</v>
      </c>
      <c r="BI35" s="415">
        <f t="shared" ref="BI35:BI64" si="94">SUM(BH35,AY35)</f>
        <v>10809156.473715601</v>
      </c>
      <c r="BJ35" s="300">
        <v>13</v>
      </c>
      <c r="BK35" s="231">
        <v>0</v>
      </c>
      <c r="BL35" s="231">
        <v>11195.151421695677</v>
      </c>
      <c r="BM35" s="231">
        <v>0</v>
      </c>
      <c r="BN35" s="231">
        <v>8184.4081802614883</v>
      </c>
      <c r="BO35" s="231">
        <v>0</v>
      </c>
      <c r="BP35" s="231">
        <v>0</v>
      </c>
      <c r="BQ35" s="231">
        <v>1573.3447039479838</v>
      </c>
      <c r="BR35" s="231">
        <v>0</v>
      </c>
      <c r="BS35" s="412">
        <f t="shared" ref="BS35:BS64" si="95">SUM(BK35:BR35)</f>
        <v>20952.904305905147</v>
      </c>
      <c r="BT35" s="417">
        <v>0</v>
      </c>
      <c r="BU35" s="231">
        <v>174170.41842708291</v>
      </c>
      <c r="BV35" s="231">
        <v>0</v>
      </c>
      <c r="BW35" s="231">
        <v>166165.57477741773</v>
      </c>
      <c r="BX35" s="231">
        <v>0</v>
      </c>
      <c r="BY35" s="231">
        <v>127307.71343177847</v>
      </c>
      <c r="BZ35" s="231">
        <v>0</v>
      </c>
      <c r="CA35" s="231">
        <v>211301.86024283373</v>
      </c>
      <c r="CB35" s="414">
        <f t="shared" ref="CB35:CB64" si="96">SUM(BT35:CA35)</f>
        <v>678945.56687911286</v>
      </c>
      <c r="CC35" s="415">
        <f t="shared" ref="CC35:CC64" si="97">SUM(CB35,BS35)</f>
        <v>699898.47118501796</v>
      </c>
      <c r="CD35" s="300">
        <v>13</v>
      </c>
      <c r="CE35" s="414">
        <f t="shared" ref="CE35:CE64" si="98">+C35+D35+W35+X35+AQ35+AR35+BK35+BL35</f>
        <v>534703.60326010478</v>
      </c>
      <c r="CF35" s="414">
        <f t="shared" ref="CF35:CF64" si="99">+E35+F35+Y35+Z35+AS35+AT35+BM35+BN35</f>
        <v>394944.40399773384</v>
      </c>
      <c r="CG35" s="414">
        <f t="shared" ref="CG35:CG64" si="100">+G35+H35+AA35+AB35+AU35+AV35+BO35+BP35</f>
        <v>446057.21686776372</v>
      </c>
      <c r="CH35" s="414">
        <f t="shared" ref="CH35:CH64" si="101">+I35+J35+AC35+AD35+AW35+AX35+BQ35+BR35</f>
        <v>610298.95588759379</v>
      </c>
      <c r="CI35" s="416">
        <f t="shared" ref="CI35:CI64" si="102">SUM(K35,AE35,AY35,BS35)</f>
        <v>1986004.1800131961</v>
      </c>
      <c r="CJ35" s="414">
        <f t="shared" ref="CJ35:CJ64" si="103">L35+M35+AF35+AG35+AZ35+BA35+BT35+BU35</f>
        <v>2389101.1125155785</v>
      </c>
      <c r="CK35" s="414">
        <f t="shared" ref="CK35:CK64" si="104">N35+O35+AH35+AI35+BB35+BC35+BV35+BW35</f>
        <v>2765387.4016912933</v>
      </c>
      <c r="CL35" s="414">
        <f t="shared" ref="CL35:CL64" si="105">P35+Q35+AJ35+AK35+BD35+BE35+BX35+BY35</f>
        <v>2889203.7218486341</v>
      </c>
      <c r="CM35" s="414">
        <f t="shared" ref="CM35:CM64" si="106">+R35+S35+AL35+AM35+BF35+BG35+BZ35+CA35</f>
        <v>3073298.9236545162</v>
      </c>
      <c r="CN35" s="416">
        <f t="shared" ref="CN35:CN64" si="107">SUM(T35,AN35,BH35,CB35)</f>
        <v>11116991.159710022</v>
      </c>
      <c r="CO35" s="414">
        <f t="shared" ref="CO35:CO64" si="108">+C35+D35+L35+M35+W35+X35+AF35+AG35+AQ35+AR35+AZ35+BA35+BK35+BL35+BT35+BU35</f>
        <v>2923804.7157756831</v>
      </c>
      <c r="CP35" s="414">
        <f t="shared" ref="CP35:CP64" si="109">+E35+F35+N35+O35+Y35+Z35+AH35+AI35+AS35+AT35+BB35+BC35+BM35+BN35+BV35+BW35</f>
        <v>3160331.8056890271</v>
      </c>
      <c r="CQ35" s="414">
        <f t="shared" ref="CQ35:CQ64" si="110">+G35+H35+P35+Q35+AA35+AB35+AJ35+AK35+AU35+AV35+BD35+BE35+BO35+BP35+BX35+BY35</f>
        <v>3335260.9387163981</v>
      </c>
      <c r="CR35" s="414">
        <f t="shared" ref="CR35:CR64" si="111">+I35+J35+R35+S35+AC35+AD35+AL35+AM35+AW35+AX35+BF35+BG35+BQ35+BR35+BZ35+CA35</f>
        <v>3683597.87954211</v>
      </c>
      <c r="CS35" s="416">
        <f t="shared" ref="CS35:CS64" si="112">SUM(CC35,BI35,AO35,U35)</f>
        <v>13102995.339723218</v>
      </c>
      <c r="CT35" s="319"/>
      <c r="CV35" s="319"/>
      <c r="CX35" s="319"/>
    </row>
    <row r="36" spans="1:102" ht="15.75" customHeight="1">
      <c r="A36" s="88" t="s">
        <v>199</v>
      </c>
      <c r="B36" s="300">
        <v>14</v>
      </c>
      <c r="C36" s="231">
        <v>0</v>
      </c>
      <c r="D36" s="231">
        <v>1365.8485276558947</v>
      </c>
      <c r="E36" s="231">
        <v>0</v>
      </c>
      <c r="F36" s="231">
        <v>4910.6449081568926</v>
      </c>
      <c r="G36" s="231">
        <v>0</v>
      </c>
      <c r="H36" s="231">
        <v>3304.4714481594801</v>
      </c>
      <c r="I36" s="231">
        <v>0</v>
      </c>
      <c r="J36" s="231">
        <v>0</v>
      </c>
      <c r="K36" s="412">
        <f t="shared" si="86"/>
        <v>9580.9648839722686</v>
      </c>
      <c r="L36" s="417">
        <v>0</v>
      </c>
      <c r="M36" s="231">
        <v>62181.40200792317</v>
      </c>
      <c r="N36" s="231">
        <v>0</v>
      </c>
      <c r="O36" s="231">
        <v>68363.834763586507</v>
      </c>
      <c r="P36" s="231">
        <v>0</v>
      </c>
      <c r="Q36" s="231">
        <v>32108.099910458994</v>
      </c>
      <c r="R36" s="231">
        <v>0</v>
      </c>
      <c r="S36" s="231">
        <v>7363.1812323784397</v>
      </c>
      <c r="T36" s="414">
        <f t="shared" si="87"/>
        <v>170016.51791434712</v>
      </c>
      <c r="U36" s="415">
        <f t="shared" si="88"/>
        <v>179597.4827983194</v>
      </c>
      <c r="V36" s="300">
        <v>14</v>
      </c>
      <c r="W36" s="231">
        <v>0</v>
      </c>
      <c r="X36" s="231">
        <v>1365.8485276558947</v>
      </c>
      <c r="Y36" s="231">
        <v>0</v>
      </c>
      <c r="Z36" s="231">
        <v>0</v>
      </c>
      <c r="AA36" s="231">
        <v>0</v>
      </c>
      <c r="AB36" s="231">
        <v>0</v>
      </c>
      <c r="AC36" s="231">
        <v>0</v>
      </c>
      <c r="AD36" s="231">
        <v>0</v>
      </c>
      <c r="AE36" s="412">
        <f t="shared" si="89"/>
        <v>1365.8485276558947</v>
      </c>
      <c r="AF36" s="417">
        <v>0</v>
      </c>
      <c r="AG36" s="231">
        <v>41260.73778786882</v>
      </c>
      <c r="AH36" s="231">
        <v>0</v>
      </c>
      <c r="AI36" s="231">
        <v>41790.724098130893</v>
      </c>
      <c r="AJ36" s="231">
        <v>0</v>
      </c>
      <c r="AK36" s="231">
        <v>15104.194288567023</v>
      </c>
      <c r="AL36" s="231">
        <v>0</v>
      </c>
      <c r="AM36" s="231">
        <v>6912.7014243199919</v>
      </c>
      <c r="AN36" s="414">
        <f t="shared" si="90"/>
        <v>105068.35759888674</v>
      </c>
      <c r="AO36" s="415">
        <f t="shared" si="91"/>
        <v>106434.20612654263</v>
      </c>
      <c r="AP36" s="300">
        <v>14</v>
      </c>
      <c r="AQ36" s="231">
        <v>0</v>
      </c>
      <c r="AR36" s="231">
        <v>5731.7573110720978</v>
      </c>
      <c r="AS36" s="231">
        <v>0</v>
      </c>
      <c r="AT36" s="231">
        <v>9692.9069428979201</v>
      </c>
      <c r="AU36" s="231">
        <v>0</v>
      </c>
      <c r="AV36" s="231">
        <v>1652.2357240797401</v>
      </c>
      <c r="AW36" s="231">
        <v>14692.273055686166</v>
      </c>
      <c r="AX36" s="231">
        <v>901.77125042385148</v>
      </c>
      <c r="AY36" s="412">
        <f t="shared" si="92"/>
        <v>32670.944284159777</v>
      </c>
      <c r="AZ36" s="417">
        <v>0</v>
      </c>
      <c r="BA36" s="231">
        <v>96611.627968853078</v>
      </c>
      <c r="BB36" s="231">
        <v>0</v>
      </c>
      <c r="BC36" s="231">
        <v>33820.231526514544</v>
      </c>
      <c r="BD36" s="231">
        <v>0</v>
      </c>
      <c r="BE36" s="231">
        <v>25904.198700015892</v>
      </c>
      <c r="BF36" s="231">
        <v>0</v>
      </c>
      <c r="BG36" s="231">
        <v>52830.03732793012</v>
      </c>
      <c r="BH36" s="414">
        <f t="shared" si="93"/>
        <v>209166.09552331365</v>
      </c>
      <c r="BI36" s="415">
        <f t="shared" si="94"/>
        <v>241837.03980747343</v>
      </c>
      <c r="BJ36" s="300">
        <v>14</v>
      </c>
      <c r="BK36" s="231">
        <v>0</v>
      </c>
      <c r="BL36" s="231">
        <v>0</v>
      </c>
      <c r="BM36" s="231">
        <v>0</v>
      </c>
      <c r="BN36" s="231">
        <v>1636.8816360522976</v>
      </c>
      <c r="BO36" s="231">
        <v>0</v>
      </c>
      <c r="BP36" s="231">
        <v>0</v>
      </c>
      <c r="BQ36" s="231">
        <v>0</v>
      </c>
      <c r="BR36" s="231">
        <v>0</v>
      </c>
      <c r="BS36" s="412">
        <f t="shared" si="95"/>
        <v>1636.8816360522976</v>
      </c>
      <c r="BT36" s="417">
        <v>0</v>
      </c>
      <c r="BU36" s="231">
        <v>0</v>
      </c>
      <c r="BV36" s="231">
        <v>0</v>
      </c>
      <c r="BW36" s="231">
        <v>13731.200108453628</v>
      </c>
      <c r="BX36" s="231">
        <v>0</v>
      </c>
      <c r="BY36" s="231">
        <v>23030.307274688246</v>
      </c>
      <c r="BZ36" s="231">
        <v>0</v>
      </c>
      <c r="CA36" s="231">
        <v>0</v>
      </c>
      <c r="CB36" s="414">
        <f t="shared" si="96"/>
        <v>36761.50738314187</v>
      </c>
      <c r="CC36" s="415">
        <f t="shared" si="97"/>
        <v>38398.389019194168</v>
      </c>
      <c r="CD36" s="300">
        <v>14</v>
      </c>
      <c r="CE36" s="414">
        <f t="shared" si="98"/>
        <v>8463.4543663838867</v>
      </c>
      <c r="CF36" s="414">
        <f t="shared" si="99"/>
        <v>16240.433487107111</v>
      </c>
      <c r="CG36" s="414">
        <f t="shared" si="100"/>
        <v>4956.7071722392202</v>
      </c>
      <c r="CH36" s="414">
        <f t="shared" si="101"/>
        <v>15594.044306110018</v>
      </c>
      <c r="CI36" s="416">
        <f t="shared" si="102"/>
        <v>45254.639331840241</v>
      </c>
      <c r="CJ36" s="414">
        <f t="shared" si="103"/>
        <v>200053.76776464508</v>
      </c>
      <c r="CK36" s="414">
        <f t="shared" si="104"/>
        <v>157705.99049668558</v>
      </c>
      <c r="CL36" s="414">
        <f t="shared" si="105"/>
        <v>96146.800173730153</v>
      </c>
      <c r="CM36" s="414">
        <f t="shared" si="106"/>
        <v>67105.919984628548</v>
      </c>
      <c r="CN36" s="416">
        <f t="shared" si="107"/>
        <v>521012.47841968935</v>
      </c>
      <c r="CO36" s="414">
        <f t="shared" si="108"/>
        <v>208517.22213102895</v>
      </c>
      <c r="CP36" s="414">
        <f t="shared" si="109"/>
        <v>173946.42398379269</v>
      </c>
      <c r="CQ36" s="414">
        <f t="shared" si="110"/>
        <v>101103.50734596938</v>
      </c>
      <c r="CR36" s="414">
        <f t="shared" si="111"/>
        <v>82699.964290738571</v>
      </c>
      <c r="CS36" s="416">
        <f t="shared" si="112"/>
        <v>566267.11775152967</v>
      </c>
      <c r="CT36" s="319"/>
      <c r="CV36" s="319"/>
      <c r="CX36" s="319"/>
    </row>
    <row r="37" spans="1:102" ht="15.75" customHeight="1">
      <c r="A37" s="88" t="s">
        <v>200</v>
      </c>
      <c r="B37" s="300">
        <v>15</v>
      </c>
      <c r="C37" s="231">
        <v>18823.6057061467</v>
      </c>
      <c r="D37" s="231">
        <v>54781.370636094114</v>
      </c>
      <c r="E37" s="231">
        <v>28892.706081008557</v>
      </c>
      <c r="F37" s="231">
        <v>40992.310464678674</v>
      </c>
      <c r="G37" s="231">
        <v>48585.854281351705</v>
      </c>
      <c r="H37" s="231">
        <v>54191.387943081289</v>
      </c>
      <c r="I37" s="231">
        <v>23214.650257746453</v>
      </c>
      <c r="J37" s="231">
        <v>15566.153285902365</v>
      </c>
      <c r="K37" s="412">
        <f t="shared" si="86"/>
        <v>285048.03865600983</v>
      </c>
      <c r="L37" s="417">
        <v>0</v>
      </c>
      <c r="M37" s="231">
        <v>193706.59262531865</v>
      </c>
      <c r="N37" s="231">
        <v>0</v>
      </c>
      <c r="O37" s="231">
        <v>420533.18405194127</v>
      </c>
      <c r="P37" s="231">
        <v>0</v>
      </c>
      <c r="Q37" s="231">
        <v>285961.16935854225</v>
      </c>
      <c r="R37" s="231">
        <v>0</v>
      </c>
      <c r="S37" s="231">
        <v>290007.96056387469</v>
      </c>
      <c r="T37" s="414">
        <f t="shared" si="87"/>
        <v>1190208.9065996767</v>
      </c>
      <c r="U37" s="415">
        <f t="shared" si="88"/>
        <v>1475256.9452556865</v>
      </c>
      <c r="V37" s="300">
        <v>15</v>
      </c>
      <c r="W37" s="231">
        <v>2175.8948373679445</v>
      </c>
      <c r="X37" s="231">
        <v>25485.782238594737</v>
      </c>
      <c r="Y37" s="231">
        <v>0</v>
      </c>
      <c r="Z37" s="231">
        <v>4073.9797400528828</v>
      </c>
      <c r="AA37" s="231">
        <v>209.01996788817593</v>
      </c>
      <c r="AB37" s="231">
        <v>8183.1833751884669</v>
      </c>
      <c r="AC37" s="231">
        <v>4839.0239280584155</v>
      </c>
      <c r="AD37" s="231">
        <v>1877.4751751420347</v>
      </c>
      <c r="AE37" s="412">
        <f t="shared" si="89"/>
        <v>46844.359262292659</v>
      </c>
      <c r="AF37" s="417">
        <v>0</v>
      </c>
      <c r="AG37" s="231">
        <v>90881.922905923682</v>
      </c>
      <c r="AH37" s="231">
        <v>0</v>
      </c>
      <c r="AI37" s="231">
        <v>42013.685595501775</v>
      </c>
      <c r="AJ37" s="231">
        <v>0</v>
      </c>
      <c r="AK37" s="231">
        <v>85325.726725536035</v>
      </c>
      <c r="AL37" s="231">
        <v>0</v>
      </c>
      <c r="AM37" s="231">
        <v>64064.299879323786</v>
      </c>
      <c r="AN37" s="414">
        <f t="shared" si="90"/>
        <v>282285.63510628528</v>
      </c>
      <c r="AO37" s="415">
        <f t="shared" si="91"/>
        <v>329129.99436857796</v>
      </c>
      <c r="AP37" s="300">
        <v>15</v>
      </c>
      <c r="AQ37" s="231">
        <v>160186.31478139298</v>
      </c>
      <c r="AR37" s="231">
        <v>298278.56764932239</v>
      </c>
      <c r="AS37" s="231">
        <v>165599.40345373657</v>
      </c>
      <c r="AT37" s="231">
        <v>231388.92609816152</v>
      </c>
      <c r="AU37" s="231">
        <v>258301.27977265225</v>
      </c>
      <c r="AV37" s="231">
        <v>233044.90279936569</v>
      </c>
      <c r="AW37" s="231">
        <v>323581.73990689561</v>
      </c>
      <c r="AX37" s="231">
        <v>161205.34181592672</v>
      </c>
      <c r="AY37" s="412">
        <f t="shared" si="92"/>
        <v>1831586.4762774538</v>
      </c>
      <c r="AZ37" s="417">
        <v>0</v>
      </c>
      <c r="BA37" s="231">
        <v>1340953.3510553881</v>
      </c>
      <c r="BB37" s="231">
        <v>0</v>
      </c>
      <c r="BC37" s="231">
        <v>1285814.9251885584</v>
      </c>
      <c r="BD37" s="231">
        <v>0</v>
      </c>
      <c r="BE37" s="231">
        <v>1480741.7090601607</v>
      </c>
      <c r="BF37" s="231">
        <v>0</v>
      </c>
      <c r="BG37" s="231">
        <v>1562400.8223308767</v>
      </c>
      <c r="BH37" s="414">
        <f t="shared" si="93"/>
        <v>5669910.8076349832</v>
      </c>
      <c r="BI37" s="415">
        <f t="shared" si="94"/>
        <v>7501497.283912437</v>
      </c>
      <c r="BJ37" s="300">
        <v>15</v>
      </c>
      <c r="BK37" s="231">
        <v>0</v>
      </c>
      <c r="BL37" s="231">
        <v>3968.6911925433733</v>
      </c>
      <c r="BM37" s="231">
        <v>0</v>
      </c>
      <c r="BN37" s="231">
        <v>5178.2028402851474</v>
      </c>
      <c r="BO37" s="231">
        <v>0</v>
      </c>
      <c r="BP37" s="231">
        <v>3054.4999269385689</v>
      </c>
      <c r="BQ37" s="231">
        <v>0</v>
      </c>
      <c r="BR37" s="231">
        <v>2134.3595358754351</v>
      </c>
      <c r="BS37" s="412">
        <f t="shared" si="95"/>
        <v>14335.753495642526</v>
      </c>
      <c r="BT37" s="417">
        <v>0</v>
      </c>
      <c r="BU37" s="231">
        <v>15247.34943841647</v>
      </c>
      <c r="BV37" s="231">
        <v>0</v>
      </c>
      <c r="BW37" s="231">
        <v>22567.392824897815</v>
      </c>
      <c r="BX37" s="231">
        <v>0</v>
      </c>
      <c r="BY37" s="231">
        <v>13280.590301028105</v>
      </c>
      <c r="BZ37" s="231">
        <v>0</v>
      </c>
      <c r="CA37" s="231">
        <v>16304.227487043039</v>
      </c>
      <c r="CB37" s="414">
        <f t="shared" si="96"/>
        <v>67399.56005138543</v>
      </c>
      <c r="CC37" s="415">
        <f t="shared" si="97"/>
        <v>81735.313547027952</v>
      </c>
      <c r="CD37" s="300">
        <v>15</v>
      </c>
      <c r="CE37" s="414">
        <f t="shared" si="98"/>
        <v>563700.2270414622</v>
      </c>
      <c r="CF37" s="414">
        <f t="shared" si="99"/>
        <v>476125.52867792337</v>
      </c>
      <c r="CG37" s="414">
        <f t="shared" si="100"/>
        <v>605570.12806646607</v>
      </c>
      <c r="CH37" s="414">
        <f t="shared" si="101"/>
        <v>532418.74390554696</v>
      </c>
      <c r="CI37" s="416">
        <f t="shared" si="102"/>
        <v>2177814.6276913988</v>
      </c>
      <c r="CJ37" s="414">
        <f t="shared" si="103"/>
        <v>1640789.216025047</v>
      </c>
      <c r="CK37" s="414">
        <f t="shared" si="104"/>
        <v>1770929.1876608992</v>
      </c>
      <c r="CL37" s="414">
        <f t="shared" si="105"/>
        <v>1865309.1954452673</v>
      </c>
      <c r="CM37" s="414">
        <f t="shared" si="106"/>
        <v>1932777.3102611182</v>
      </c>
      <c r="CN37" s="416">
        <f t="shared" si="107"/>
        <v>7209804.9093923308</v>
      </c>
      <c r="CO37" s="414">
        <f t="shared" si="108"/>
        <v>2204489.4430665094</v>
      </c>
      <c r="CP37" s="414">
        <f t="shared" si="109"/>
        <v>2247054.7163388231</v>
      </c>
      <c r="CQ37" s="414">
        <f t="shared" si="110"/>
        <v>2470879.3235117332</v>
      </c>
      <c r="CR37" s="414">
        <f t="shared" si="111"/>
        <v>2465196.0541666653</v>
      </c>
      <c r="CS37" s="416">
        <f t="shared" si="112"/>
        <v>9387619.5370837301</v>
      </c>
    </row>
    <row r="38" spans="1:102" ht="15.75" customHeight="1">
      <c r="A38" s="88" t="s">
        <v>201</v>
      </c>
      <c r="B38" s="300">
        <v>16</v>
      </c>
      <c r="C38" s="231">
        <v>2422.198182197505</v>
      </c>
      <c r="D38" s="231">
        <v>5680.8484114049252</v>
      </c>
      <c r="E38" s="231">
        <v>3379.2980060172322</v>
      </c>
      <c r="F38" s="231">
        <v>6850.088869167239</v>
      </c>
      <c r="G38" s="231">
        <v>2920.7619740274572</v>
      </c>
      <c r="H38" s="231">
        <v>9008.2787138941967</v>
      </c>
      <c r="I38" s="231">
        <v>1196.6640649062435</v>
      </c>
      <c r="J38" s="231">
        <v>3425.6833982419666</v>
      </c>
      <c r="K38" s="412">
        <f t="shared" si="86"/>
        <v>34883.821619856768</v>
      </c>
      <c r="L38" s="417">
        <v>0</v>
      </c>
      <c r="M38" s="231">
        <v>17205.29248233838</v>
      </c>
      <c r="N38" s="231">
        <v>0</v>
      </c>
      <c r="O38" s="231">
        <v>34834.555960844365</v>
      </c>
      <c r="P38" s="231">
        <v>0</v>
      </c>
      <c r="Q38" s="231">
        <v>25504.493596004646</v>
      </c>
      <c r="R38" s="231">
        <v>0</v>
      </c>
      <c r="S38" s="231">
        <v>15366.270018433486</v>
      </c>
      <c r="T38" s="414">
        <f t="shared" si="87"/>
        <v>92910.612057620878</v>
      </c>
      <c r="U38" s="415">
        <f t="shared" si="88"/>
        <v>127794.43367747765</v>
      </c>
      <c r="V38" s="300">
        <v>16</v>
      </c>
      <c r="W38" s="231">
        <v>0</v>
      </c>
      <c r="X38" s="231">
        <v>5160.6043175205068</v>
      </c>
      <c r="Y38" s="231">
        <v>0</v>
      </c>
      <c r="Z38" s="231">
        <v>2733.461943351524</v>
      </c>
      <c r="AA38" s="231">
        <v>0</v>
      </c>
      <c r="AB38" s="231">
        <v>7155.8612681708983</v>
      </c>
      <c r="AC38" s="231">
        <v>0</v>
      </c>
      <c r="AD38" s="231">
        <v>3712.825797796208</v>
      </c>
      <c r="AE38" s="412">
        <f t="shared" si="89"/>
        <v>18762.753326839138</v>
      </c>
      <c r="AF38" s="417">
        <v>0</v>
      </c>
      <c r="AG38" s="231">
        <v>12434.632640125266</v>
      </c>
      <c r="AH38" s="231">
        <v>0</v>
      </c>
      <c r="AI38" s="231">
        <v>26565.892487483168</v>
      </c>
      <c r="AJ38" s="231">
        <v>0</v>
      </c>
      <c r="AK38" s="231">
        <v>21574.885715262466</v>
      </c>
      <c r="AL38" s="231">
        <v>0</v>
      </c>
      <c r="AM38" s="231">
        <v>24508.905252703487</v>
      </c>
      <c r="AN38" s="414">
        <f t="shared" si="90"/>
        <v>85084.316095574381</v>
      </c>
      <c r="AO38" s="415">
        <f t="shared" si="91"/>
        <v>103847.06942241352</v>
      </c>
      <c r="AP38" s="300">
        <v>16</v>
      </c>
      <c r="AQ38" s="231">
        <v>10292.870282157835</v>
      </c>
      <c r="AR38" s="231">
        <v>48343.007010109715</v>
      </c>
      <c r="AS38" s="231">
        <v>9748.7033432738936</v>
      </c>
      <c r="AT38" s="231">
        <v>33360.771092888215</v>
      </c>
      <c r="AU38" s="231">
        <v>9561.2512338037195</v>
      </c>
      <c r="AV38" s="231">
        <v>41915.063909307217</v>
      </c>
      <c r="AW38" s="231">
        <v>9926.3439192271489</v>
      </c>
      <c r="AX38" s="231">
        <v>36530.439148659636</v>
      </c>
      <c r="AY38" s="412">
        <f t="shared" si="92"/>
        <v>199678.4499394274</v>
      </c>
      <c r="AZ38" s="417">
        <v>0</v>
      </c>
      <c r="BA38" s="231">
        <v>147360.02808135361</v>
      </c>
      <c r="BB38" s="231">
        <v>0</v>
      </c>
      <c r="BC38" s="231">
        <v>126690.75295550798</v>
      </c>
      <c r="BD38" s="231">
        <v>0</v>
      </c>
      <c r="BE38" s="231">
        <v>134742.59636683736</v>
      </c>
      <c r="BF38" s="231">
        <v>0</v>
      </c>
      <c r="BG38" s="231">
        <v>155894.84798942858</v>
      </c>
      <c r="BH38" s="414">
        <f t="shared" si="93"/>
        <v>564688.22539312753</v>
      </c>
      <c r="BI38" s="415">
        <f t="shared" si="94"/>
        <v>764366.67533255497</v>
      </c>
      <c r="BJ38" s="300">
        <v>16</v>
      </c>
      <c r="BK38" s="231">
        <v>323.32758877918752</v>
      </c>
      <c r="BL38" s="231">
        <v>3981.4484581169345</v>
      </c>
      <c r="BM38" s="231">
        <v>0</v>
      </c>
      <c r="BN38" s="231">
        <v>2082.8014930207351</v>
      </c>
      <c r="BO38" s="231">
        <v>80.121283825778576</v>
      </c>
      <c r="BP38" s="231">
        <v>2604.9035037115023</v>
      </c>
      <c r="BQ38" s="231">
        <v>358.91752590911688</v>
      </c>
      <c r="BR38" s="231">
        <v>1584.2790731168861</v>
      </c>
      <c r="BS38" s="412">
        <f t="shared" si="95"/>
        <v>11015.798926480142</v>
      </c>
      <c r="BT38" s="417">
        <v>0</v>
      </c>
      <c r="BU38" s="231">
        <v>8018.752057449412</v>
      </c>
      <c r="BV38" s="231">
        <v>0</v>
      </c>
      <c r="BW38" s="231">
        <v>11019.029886792814</v>
      </c>
      <c r="BX38" s="231">
        <v>0</v>
      </c>
      <c r="BY38" s="231">
        <v>10874.504282742337</v>
      </c>
      <c r="BZ38" s="231">
        <v>0</v>
      </c>
      <c r="CA38" s="231">
        <v>12330.211133157432</v>
      </c>
      <c r="CB38" s="414">
        <f t="shared" si="96"/>
        <v>42242.497360141999</v>
      </c>
      <c r="CC38" s="415">
        <f t="shared" si="97"/>
        <v>53258.296286622142</v>
      </c>
      <c r="CD38" s="300">
        <v>16</v>
      </c>
      <c r="CE38" s="414">
        <f t="shared" si="98"/>
        <v>76204.304250286601</v>
      </c>
      <c r="CF38" s="414">
        <f t="shared" si="99"/>
        <v>58155.124747718837</v>
      </c>
      <c r="CG38" s="414">
        <f t="shared" si="100"/>
        <v>73246.241886740769</v>
      </c>
      <c r="CH38" s="414">
        <f t="shared" si="101"/>
        <v>56735.152927857205</v>
      </c>
      <c r="CI38" s="416">
        <f t="shared" si="102"/>
        <v>264340.82381260343</v>
      </c>
      <c r="CJ38" s="414">
        <f t="shared" si="103"/>
        <v>185018.70526126667</v>
      </c>
      <c r="CK38" s="414">
        <f t="shared" si="104"/>
        <v>199110.23129062832</v>
      </c>
      <c r="CL38" s="414">
        <f t="shared" si="105"/>
        <v>192696.4799608468</v>
      </c>
      <c r="CM38" s="414">
        <f t="shared" si="106"/>
        <v>208100.23439372299</v>
      </c>
      <c r="CN38" s="416">
        <f t="shared" si="107"/>
        <v>784925.65090646478</v>
      </c>
      <c r="CO38" s="414">
        <f t="shared" si="108"/>
        <v>261223.00951155327</v>
      </c>
      <c r="CP38" s="414">
        <f t="shared" si="109"/>
        <v>257265.35603834718</v>
      </c>
      <c r="CQ38" s="414">
        <f t="shared" si="110"/>
        <v>265942.72184758761</v>
      </c>
      <c r="CR38" s="414">
        <f t="shared" si="111"/>
        <v>264835.3873215802</v>
      </c>
      <c r="CS38" s="416">
        <f t="shared" si="112"/>
        <v>1049266.4747190683</v>
      </c>
    </row>
    <row r="39" spans="1:102" ht="15.75" customHeight="1">
      <c r="A39" s="88" t="s">
        <v>202</v>
      </c>
      <c r="B39" s="300">
        <v>17</v>
      </c>
      <c r="C39" s="231">
        <v>14073.266638087998</v>
      </c>
      <c r="D39" s="231">
        <v>64721.823960170506</v>
      </c>
      <c r="E39" s="231">
        <v>50186.891260483339</v>
      </c>
      <c r="F39" s="231">
        <v>41841.222155317104</v>
      </c>
      <c r="G39" s="231">
        <v>33660.729108451917</v>
      </c>
      <c r="H39" s="231">
        <v>56142.828168321903</v>
      </c>
      <c r="I39" s="231">
        <v>22908.425079815068</v>
      </c>
      <c r="J39" s="231">
        <v>16385.864399891016</v>
      </c>
      <c r="K39" s="412">
        <f t="shared" si="86"/>
        <v>299921.05077053886</v>
      </c>
      <c r="L39" s="417">
        <v>0</v>
      </c>
      <c r="M39" s="231">
        <v>167978.17891416315</v>
      </c>
      <c r="N39" s="231">
        <v>0</v>
      </c>
      <c r="O39" s="231">
        <v>279365.11199156166</v>
      </c>
      <c r="P39" s="231">
        <v>0</v>
      </c>
      <c r="Q39" s="231">
        <v>220843.53019388512</v>
      </c>
      <c r="R39" s="231">
        <v>0</v>
      </c>
      <c r="S39" s="231">
        <v>218660.16229160209</v>
      </c>
      <c r="T39" s="414">
        <f t="shared" si="87"/>
        <v>886846.98339121207</v>
      </c>
      <c r="U39" s="415">
        <f t="shared" si="88"/>
        <v>1186768.0341617509</v>
      </c>
      <c r="V39" s="300">
        <v>17</v>
      </c>
      <c r="W39" s="231">
        <v>1795.8605021656238</v>
      </c>
      <c r="X39" s="231">
        <v>18661.716606831375</v>
      </c>
      <c r="Y39" s="231">
        <v>463.99375836651552</v>
      </c>
      <c r="Z39" s="231">
        <v>6516.9453425650509</v>
      </c>
      <c r="AA39" s="231">
        <v>715.70558993929626</v>
      </c>
      <c r="AB39" s="231">
        <v>11609.689439880154</v>
      </c>
      <c r="AC39" s="231">
        <v>3327.4102316597714</v>
      </c>
      <c r="AD39" s="231">
        <v>4815.9507333466418</v>
      </c>
      <c r="AE39" s="412">
        <f t="shared" si="89"/>
        <v>47907.272204754423</v>
      </c>
      <c r="AF39" s="417">
        <v>0</v>
      </c>
      <c r="AG39" s="231">
        <v>50322.785129473225</v>
      </c>
      <c r="AH39" s="231">
        <v>0</v>
      </c>
      <c r="AI39" s="231">
        <v>71301.573046886057</v>
      </c>
      <c r="AJ39" s="231">
        <v>0</v>
      </c>
      <c r="AK39" s="231">
        <v>47654.450783504239</v>
      </c>
      <c r="AL39" s="231">
        <v>0</v>
      </c>
      <c r="AM39" s="231">
        <v>62343.815795472168</v>
      </c>
      <c r="AN39" s="414">
        <f t="shared" si="90"/>
        <v>231622.62475533568</v>
      </c>
      <c r="AO39" s="415">
        <f t="shared" si="91"/>
        <v>279529.89696009009</v>
      </c>
      <c r="AP39" s="300">
        <v>17</v>
      </c>
      <c r="AQ39" s="231">
        <v>172447.87947764722</v>
      </c>
      <c r="AR39" s="231">
        <v>307183.93009029533</v>
      </c>
      <c r="AS39" s="231">
        <v>123919.28174473243</v>
      </c>
      <c r="AT39" s="231">
        <v>209944.18190987108</v>
      </c>
      <c r="AU39" s="231">
        <v>138180.96865786158</v>
      </c>
      <c r="AV39" s="231">
        <v>205355.4062425039</v>
      </c>
      <c r="AW39" s="231">
        <v>176452.46079219875</v>
      </c>
      <c r="AX39" s="231">
        <v>170093.40244665762</v>
      </c>
      <c r="AY39" s="412">
        <f t="shared" si="92"/>
        <v>1503577.5113617678</v>
      </c>
      <c r="AZ39" s="417">
        <v>0</v>
      </c>
      <c r="BA39" s="231">
        <v>891105.41296442808</v>
      </c>
      <c r="BB39" s="231">
        <v>0</v>
      </c>
      <c r="BC39" s="231">
        <v>919198.14205718646</v>
      </c>
      <c r="BD39" s="231">
        <v>0</v>
      </c>
      <c r="BE39" s="231">
        <v>969019.51250724215</v>
      </c>
      <c r="BF39" s="231">
        <v>0</v>
      </c>
      <c r="BG39" s="231">
        <v>1035778.2691342267</v>
      </c>
      <c r="BH39" s="414">
        <f t="shared" si="93"/>
        <v>3815101.3366630836</v>
      </c>
      <c r="BI39" s="415">
        <f t="shared" si="94"/>
        <v>5318678.8480248516</v>
      </c>
      <c r="BJ39" s="300">
        <v>17</v>
      </c>
      <c r="BK39" s="231">
        <v>301.48803130985101</v>
      </c>
      <c r="BL39" s="231">
        <v>18666.99374887002</v>
      </c>
      <c r="BM39" s="231">
        <v>0</v>
      </c>
      <c r="BN39" s="231">
        <v>7910.8523607658381</v>
      </c>
      <c r="BO39" s="231">
        <v>0</v>
      </c>
      <c r="BP39" s="231">
        <v>9044.6137262331849</v>
      </c>
      <c r="BQ39" s="231">
        <v>1330.0759370072776</v>
      </c>
      <c r="BR39" s="231">
        <v>10678.867314615691</v>
      </c>
      <c r="BS39" s="412">
        <f t="shared" si="95"/>
        <v>47932.891118801868</v>
      </c>
      <c r="BT39" s="417">
        <v>0</v>
      </c>
      <c r="BU39" s="231">
        <v>51273.541489385549</v>
      </c>
      <c r="BV39" s="231">
        <v>0</v>
      </c>
      <c r="BW39" s="231">
        <v>55246.340186745154</v>
      </c>
      <c r="BX39" s="231">
        <v>0</v>
      </c>
      <c r="BY39" s="231">
        <v>50503.876244857158</v>
      </c>
      <c r="BZ39" s="231">
        <v>0</v>
      </c>
      <c r="CA39" s="231">
        <v>74684.960497063395</v>
      </c>
      <c r="CB39" s="414">
        <f t="shared" si="96"/>
        <v>231708.71841805126</v>
      </c>
      <c r="CC39" s="415">
        <f t="shared" si="97"/>
        <v>279641.60953685315</v>
      </c>
      <c r="CD39" s="300">
        <v>17</v>
      </c>
      <c r="CE39" s="414">
        <f t="shared" si="98"/>
        <v>597852.95905537787</v>
      </c>
      <c r="CF39" s="414">
        <f t="shared" si="99"/>
        <v>440783.36853210139</v>
      </c>
      <c r="CG39" s="414">
        <f t="shared" si="100"/>
        <v>454709.94093319197</v>
      </c>
      <c r="CH39" s="414">
        <f t="shared" si="101"/>
        <v>405992.45693519182</v>
      </c>
      <c r="CI39" s="416">
        <f t="shared" si="102"/>
        <v>1899338.7254558629</v>
      </c>
      <c r="CJ39" s="414">
        <f t="shared" si="103"/>
        <v>1160679.91849745</v>
      </c>
      <c r="CK39" s="414">
        <f t="shared" si="104"/>
        <v>1325111.1672823795</v>
      </c>
      <c r="CL39" s="414">
        <f t="shared" si="105"/>
        <v>1288021.3697294889</v>
      </c>
      <c r="CM39" s="414">
        <f t="shared" si="106"/>
        <v>1391467.2077183642</v>
      </c>
      <c r="CN39" s="416">
        <f t="shared" si="107"/>
        <v>5165279.6632276829</v>
      </c>
      <c r="CO39" s="414">
        <f t="shared" si="108"/>
        <v>1758532.8775528278</v>
      </c>
      <c r="CP39" s="414">
        <f t="shared" si="109"/>
        <v>1765894.5358144806</v>
      </c>
      <c r="CQ39" s="414">
        <f t="shared" si="110"/>
        <v>1742731.3106626805</v>
      </c>
      <c r="CR39" s="414">
        <f t="shared" si="111"/>
        <v>1797459.6646535564</v>
      </c>
      <c r="CS39" s="416">
        <f t="shared" si="112"/>
        <v>7064618.3886835463</v>
      </c>
    </row>
    <row r="40" spans="1:102" ht="15.75" customHeight="1">
      <c r="A40" s="88" t="s">
        <v>203</v>
      </c>
      <c r="B40" s="300">
        <v>18</v>
      </c>
      <c r="C40" s="231">
        <v>1442.4021346495117</v>
      </c>
      <c r="D40" s="231">
        <v>8285.6437189822318</v>
      </c>
      <c r="E40" s="231">
        <v>1848.1416722052975</v>
      </c>
      <c r="F40" s="231">
        <v>9128.7544834430555</v>
      </c>
      <c r="G40" s="231">
        <v>2115.1654466242881</v>
      </c>
      <c r="H40" s="231">
        <v>7753.4907230002509</v>
      </c>
      <c r="I40" s="231">
        <v>2163.0570181769613</v>
      </c>
      <c r="J40" s="231">
        <v>6231.8363318489546</v>
      </c>
      <c r="K40" s="412">
        <f t="shared" si="86"/>
        <v>38968.49152893055</v>
      </c>
      <c r="L40" s="417">
        <v>0</v>
      </c>
      <c r="M40" s="231">
        <v>0</v>
      </c>
      <c r="N40" s="231">
        <v>0</v>
      </c>
      <c r="O40" s="231">
        <v>0</v>
      </c>
      <c r="P40" s="231">
        <v>0</v>
      </c>
      <c r="Q40" s="231">
        <v>0</v>
      </c>
      <c r="R40" s="231">
        <v>0</v>
      </c>
      <c r="S40" s="231">
        <v>0</v>
      </c>
      <c r="T40" s="414">
        <f t="shared" si="87"/>
        <v>0</v>
      </c>
      <c r="U40" s="415">
        <f t="shared" si="88"/>
        <v>38968.49152893055</v>
      </c>
      <c r="V40" s="300">
        <v>18</v>
      </c>
      <c r="W40" s="231">
        <v>70.094865788792248</v>
      </c>
      <c r="X40" s="231">
        <v>2194.4299225929522</v>
      </c>
      <c r="Y40" s="231">
        <v>0</v>
      </c>
      <c r="Z40" s="231">
        <v>1952.9141328070273</v>
      </c>
      <c r="AA40" s="231">
        <v>0</v>
      </c>
      <c r="AB40" s="231">
        <v>1556.4323744659741</v>
      </c>
      <c r="AC40" s="231">
        <v>62.841202120129026</v>
      </c>
      <c r="AD40" s="231">
        <v>3086.5922716017503</v>
      </c>
      <c r="AE40" s="412">
        <f t="shared" si="89"/>
        <v>8923.3047693766257</v>
      </c>
      <c r="AF40" s="417">
        <v>0</v>
      </c>
      <c r="AG40" s="231">
        <v>0</v>
      </c>
      <c r="AH40" s="231">
        <v>0</v>
      </c>
      <c r="AI40" s="231">
        <v>0</v>
      </c>
      <c r="AJ40" s="231">
        <v>0</v>
      </c>
      <c r="AK40" s="231">
        <v>0</v>
      </c>
      <c r="AL40" s="231">
        <v>0</v>
      </c>
      <c r="AM40" s="231">
        <v>0</v>
      </c>
      <c r="AN40" s="414">
        <f t="shared" si="90"/>
        <v>0</v>
      </c>
      <c r="AO40" s="415">
        <f t="shared" si="91"/>
        <v>8923.3047693766257</v>
      </c>
      <c r="AP40" s="300">
        <v>18</v>
      </c>
      <c r="AQ40" s="231">
        <v>4795.2398363725561</v>
      </c>
      <c r="AR40" s="231">
        <v>22866.507334455895</v>
      </c>
      <c r="AS40" s="231">
        <v>4977.9757073163228</v>
      </c>
      <c r="AT40" s="231">
        <v>23790.469794102453</v>
      </c>
      <c r="AU40" s="231">
        <v>4979.6076453266487</v>
      </c>
      <c r="AV40" s="231">
        <v>18239.791482420482</v>
      </c>
      <c r="AW40" s="231">
        <v>4311.440615658872</v>
      </c>
      <c r="AX40" s="231">
        <v>20066.505028668034</v>
      </c>
      <c r="AY40" s="412">
        <f t="shared" si="92"/>
        <v>104027.53744432126</v>
      </c>
      <c r="AZ40" s="417">
        <v>0</v>
      </c>
      <c r="BA40" s="231">
        <v>0</v>
      </c>
      <c r="BB40" s="231">
        <v>0</v>
      </c>
      <c r="BC40" s="231">
        <v>0</v>
      </c>
      <c r="BD40" s="231">
        <v>0</v>
      </c>
      <c r="BE40" s="231">
        <v>0</v>
      </c>
      <c r="BF40" s="231">
        <v>0</v>
      </c>
      <c r="BG40" s="231">
        <v>0</v>
      </c>
      <c r="BH40" s="414">
        <f t="shared" si="93"/>
        <v>0</v>
      </c>
      <c r="BI40" s="415">
        <f t="shared" si="94"/>
        <v>104027.53744432126</v>
      </c>
      <c r="BJ40" s="300">
        <v>18</v>
      </c>
      <c r="BK40" s="231">
        <v>0</v>
      </c>
      <c r="BL40" s="231">
        <v>1280.723319931534</v>
      </c>
      <c r="BM40" s="231">
        <v>0</v>
      </c>
      <c r="BN40" s="231">
        <v>625.65587975065114</v>
      </c>
      <c r="BO40" s="231">
        <v>0</v>
      </c>
      <c r="BP40" s="231">
        <v>1532.8940897938824</v>
      </c>
      <c r="BQ40" s="231">
        <v>0</v>
      </c>
      <c r="BR40" s="231">
        <v>1288.8940025512195</v>
      </c>
      <c r="BS40" s="412">
        <f t="shared" si="95"/>
        <v>4728.1672920272867</v>
      </c>
      <c r="BT40" s="417">
        <v>0</v>
      </c>
      <c r="BU40" s="231">
        <v>0</v>
      </c>
      <c r="BV40" s="231">
        <v>0</v>
      </c>
      <c r="BW40" s="231">
        <v>0</v>
      </c>
      <c r="BX40" s="231">
        <v>0</v>
      </c>
      <c r="BY40" s="231">
        <v>0</v>
      </c>
      <c r="BZ40" s="231">
        <v>0</v>
      </c>
      <c r="CA40" s="231">
        <v>0</v>
      </c>
      <c r="CB40" s="414">
        <f t="shared" si="96"/>
        <v>0</v>
      </c>
      <c r="CC40" s="415">
        <f t="shared" si="97"/>
        <v>4728.1672920272867</v>
      </c>
      <c r="CD40" s="300">
        <v>18</v>
      </c>
      <c r="CE40" s="414">
        <f t="shared" si="98"/>
        <v>40935.041132773469</v>
      </c>
      <c r="CF40" s="414">
        <f t="shared" si="99"/>
        <v>42323.911669624809</v>
      </c>
      <c r="CG40" s="414">
        <f t="shared" si="100"/>
        <v>36177.381761631528</v>
      </c>
      <c r="CH40" s="414">
        <f t="shared" si="101"/>
        <v>37211.166470625925</v>
      </c>
      <c r="CI40" s="416">
        <f t="shared" si="102"/>
        <v>156647.50103465575</v>
      </c>
      <c r="CJ40" s="414">
        <f t="shared" si="103"/>
        <v>0</v>
      </c>
      <c r="CK40" s="414">
        <f t="shared" si="104"/>
        <v>0</v>
      </c>
      <c r="CL40" s="414">
        <f t="shared" si="105"/>
        <v>0</v>
      </c>
      <c r="CM40" s="414">
        <f t="shared" si="106"/>
        <v>0</v>
      </c>
      <c r="CN40" s="416">
        <f t="shared" si="107"/>
        <v>0</v>
      </c>
      <c r="CO40" s="414">
        <f t="shared" si="108"/>
        <v>40935.041132773469</v>
      </c>
      <c r="CP40" s="414">
        <f t="shared" si="109"/>
        <v>42323.911669624809</v>
      </c>
      <c r="CQ40" s="414">
        <f t="shared" si="110"/>
        <v>36177.381761631528</v>
      </c>
      <c r="CR40" s="414">
        <f t="shared" si="111"/>
        <v>37211.166470625925</v>
      </c>
      <c r="CS40" s="416">
        <f t="shared" si="112"/>
        <v>156647.50103465572</v>
      </c>
    </row>
    <row r="41" spans="1:102" ht="15.75" customHeight="1">
      <c r="A41" s="88" t="s">
        <v>204</v>
      </c>
      <c r="B41" s="300">
        <v>19</v>
      </c>
      <c r="C41" s="231">
        <v>6242</v>
      </c>
      <c r="D41" s="231">
        <v>156542</v>
      </c>
      <c r="E41" s="231">
        <v>7164</v>
      </c>
      <c r="F41" s="231">
        <v>128195</v>
      </c>
      <c r="G41" s="231">
        <v>16615</v>
      </c>
      <c r="H41" s="231">
        <v>131346.68661648265</v>
      </c>
      <c r="I41" s="231">
        <v>11851</v>
      </c>
      <c r="J41" s="231">
        <v>113683</v>
      </c>
      <c r="K41" s="412">
        <f t="shared" si="86"/>
        <v>571638.68661648268</v>
      </c>
      <c r="L41" s="417">
        <v>0</v>
      </c>
      <c r="M41" s="231">
        <v>0</v>
      </c>
      <c r="N41" s="231">
        <v>0</v>
      </c>
      <c r="O41" s="231">
        <v>0</v>
      </c>
      <c r="P41" s="231">
        <v>0</v>
      </c>
      <c r="Q41" s="231">
        <v>69.232612107166659</v>
      </c>
      <c r="R41" s="231">
        <v>0</v>
      </c>
      <c r="S41" s="231">
        <v>0</v>
      </c>
      <c r="T41" s="414">
        <f t="shared" si="87"/>
        <v>69.232612107166659</v>
      </c>
      <c r="U41" s="415">
        <f t="shared" si="88"/>
        <v>571707.91922858986</v>
      </c>
      <c r="V41" s="300">
        <v>19</v>
      </c>
      <c r="W41" s="231">
        <v>0</v>
      </c>
      <c r="X41" s="231">
        <v>49162</v>
      </c>
      <c r="Y41" s="231">
        <v>0</v>
      </c>
      <c r="Z41" s="231">
        <v>42410</v>
      </c>
      <c r="AA41" s="231">
        <v>0</v>
      </c>
      <c r="AB41" s="231">
        <v>31529</v>
      </c>
      <c r="AC41" s="231">
        <v>0</v>
      </c>
      <c r="AD41" s="231">
        <v>32574</v>
      </c>
      <c r="AE41" s="412">
        <f t="shared" si="89"/>
        <v>155675</v>
      </c>
      <c r="AF41" s="417">
        <v>0</v>
      </c>
      <c r="AG41" s="231">
        <v>0</v>
      </c>
      <c r="AH41" s="231">
        <v>0</v>
      </c>
      <c r="AI41" s="231">
        <v>0</v>
      </c>
      <c r="AJ41" s="231">
        <v>0</v>
      </c>
      <c r="AK41" s="231">
        <v>0</v>
      </c>
      <c r="AL41" s="231">
        <v>0</v>
      </c>
      <c r="AM41" s="231">
        <v>0</v>
      </c>
      <c r="AN41" s="414">
        <f t="shared" si="90"/>
        <v>0</v>
      </c>
      <c r="AO41" s="415">
        <f t="shared" si="91"/>
        <v>155675</v>
      </c>
      <c r="AP41" s="300">
        <v>19</v>
      </c>
      <c r="AQ41" s="231">
        <v>31685</v>
      </c>
      <c r="AR41" s="231">
        <v>249785.77533595302</v>
      </c>
      <c r="AS41" s="231">
        <v>22832</v>
      </c>
      <c r="AT41" s="231">
        <v>208815.54090424586</v>
      </c>
      <c r="AU41" s="231">
        <v>19928</v>
      </c>
      <c r="AV41" s="231">
        <v>284050.07145632373</v>
      </c>
      <c r="AW41" s="231">
        <v>31483</v>
      </c>
      <c r="AX41" s="231">
        <v>210481.91374701165</v>
      </c>
      <c r="AY41" s="412">
        <f t="shared" si="92"/>
        <v>1059061.3014435342</v>
      </c>
      <c r="AZ41" s="417">
        <v>0</v>
      </c>
      <c r="BA41" s="231">
        <v>449.80083774062115</v>
      </c>
      <c r="BB41" s="231">
        <v>0</v>
      </c>
      <c r="BC41" s="231">
        <v>158.8600668767595</v>
      </c>
      <c r="BD41" s="231">
        <v>0</v>
      </c>
      <c r="BE41" s="231">
        <v>262.533947312924</v>
      </c>
      <c r="BF41" s="231">
        <v>0</v>
      </c>
      <c r="BG41" s="231">
        <v>244.94551009308728</v>
      </c>
      <c r="BH41" s="414">
        <f t="shared" si="93"/>
        <v>1116.1403620233918</v>
      </c>
      <c r="BI41" s="415">
        <f t="shared" si="94"/>
        <v>1060177.4418055576</v>
      </c>
      <c r="BJ41" s="300">
        <v>19</v>
      </c>
      <c r="BK41" s="231">
        <v>0</v>
      </c>
      <c r="BL41" s="231">
        <v>298</v>
      </c>
      <c r="BM41" s="231">
        <v>0</v>
      </c>
      <c r="BN41" s="231">
        <v>1491.6000000000001</v>
      </c>
      <c r="BO41" s="231">
        <v>0</v>
      </c>
      <c r="BP41" s="231">
        <v>1613</v>
      </c>
      <c r="BQ41" s="231">
        <v>0</v>
      </c>
      <c r="BR41" s="231">
        <v>1408</v>
      </c>
      <c r="BS41" s="412">
        <f t="shared" si="95"/>
        <v>4810.6000000000004</v>
      </c>
      <c r="BT41" s="417">
        <v>0</v>
      </c>
      <c r="BU41" s="231">
        <v>0</v>
      </c>
      <c r="BV41" s="231">
        <v>0</v>
      </c>
      <c r="BW41" s="231">
        <v>0</v>
      </c>
      <c r="BX41" s="231">
        <v>0</v>
      </c>
      <c r="BY41" s="231">
        <v>0</v>
      </c>
      <c r="BZ41" s="231">
        <v>0</v>
      </c>
      <c r="CA41" s="231">
        <v>0</v>
      </c>
      <c r="CB41" s="414">
        <f t="shared" si="96"/>
        <v>0</v>
      </c>
      <c r="CC41" s="415">
        <f t="shared" si="97"/>
        <v>4810.6000000000004</v>
      </c>
      <c r="CD41" s="300">
        <v>19</v>
      </c>
      <c r="CE41" s="414">
        <f t="shared" si="98"/>
        <v>493714.77533595299</v>
      </c>
      <c r="CF41" s="414">
        <f t="shared" si="99"/>
        <v>410908.14090424584</v>
      </c>
      <c r="CG41" s="414">
        <f t="shared" si="100"/>
        <v>485081.75807280641</v>
      </c>
      <c r="CH41" s="414">
        <f t="shared" si="101"/>
        <v>401480.91374701168</v>
      </c>
      <c r="CI41" s="416">
        <f t="shared" si="102"/>
        <v>1791185.588060017</v>
      </c>
      <c r="CJ41" s="414">
        <f t="shared" si="103"/>
        <v>449.80083774062115</v>
      </c>
      <c r="CK41" s="414">
        <f t="shared" si="104"/>
        <v>158.8600668767595</v>
      </c>
      <c r="CL41" s="414">
        <f t="shared" si="105"/>
        <v>331.76655942009063</v>
      </c>
      <c r="CM41" s="414">
        <f t="shared" si="106"/>
        <v>244.94551009308728</v>
      </c>
      <c r="CN41" s="416">
        <f t="shared" si="107"/>
        <v>1185.3729741305585</v>
      </c>
      <c r="CO41" s="414">
        <f t="shared" si="108"/>
        <v>494164.57617369358</v>
      </c>
      <c r="CP41" s="414">
        <f t="shared" si="109"/>
        <v>411067.00097112259</v>
      </c>
      <c r="CQ41" s="414">
        <f t="shared" si="110"/>
        <v>485413.52463222644</v>
      </c>
      <c r="CR41" s="414">
        <f t="shared" si="111"/>
        <v>401725.85925710475</v>
      </c>
      <c r="CS41" s="416">
        <f t="shared" si="112"/>
        <v>1792370.9610341475</v>
      </c>
    </row>
    <row r="42" spans="1:102" ht="15.75" customHeight="1">
      <c r="A42" s="88" t="s">
        <v>205</v>
      </c>
      <c r="B42" s="300">
        <v>20</v>
      </c>
      <c r="C42" s="231">
        <v>170.1703070306765</v>
      </c>
      <c r="D42" s="231">
        <v>2647.0024303344171</v>
      </c>
      <c r="E42" s="231">
        <v>77.661608504613611</v>
      </c>
      <c r="F42" s="231">
        <v>523.16020916965579</v>
      </c>
      <c r="G42" s="231">
        <v>1172.9355041955052</v>
      </c>
      <c r="H42" s="231">
        <v>1314.8435197863494</v>
      </c>
      <c r="I42" s="231">
        <v>2158.1239838105312</v>
      </c>
      <c r="J42" s="231">
        <v>6790.3584627589735</v>
      </c>
      <c r="K42" s="412">
        <f t="shared" si="86"/>
        <v>14854.256025590723</v>
      </c>
      <c r="L42" s="417">
        <v>0</v>
      </c>
      <c r="M42" s="231">
        <v>3308.7570660488191</v>
      </c>
      <c r="N42" s="231">
        <v>0</v>
      </c>
      <c r="O42" s="231">
        <v>1995.7560326490691</v>
      </c>
      <c r="P42" s="231">
        <v>0</v>
      </c>
      <c r="Q42" s="231">
        <v>4156.0696960460027</v>
      </c>
      <c r="R42" s="231">
        <v>0</v>
      </c>
      <c r="S42" s="231">
        <v>6535.9864781512979</v>
      </c>
      <c r="T42" s="414">
        <f t="shared" si="87"/>
        <v>15996.569272895191</v>
      </c>
      <c r="U42" s="415">
        <f t="shared" si="88"/>
        <v>30850.825298485914</v>
      </c>
      <c r="V42" s="300">
        <v>20</v>
      </c>
      <c r="W42" s="231">
        <v>0</v>
      </c>
      <c r="X42" s="231">
        <v>1196.4092099398727</v>
      </c>
      <c r="Y42" s="231">
        <v>0</v>
      </c>
      <c r="Z42" s="231">
        <v>1979.383070537064</v>
      </c>
      <c r="AA42" s="231">
        <v>0</v>
      </c>
      <c r="AB42" s="231">
        <v>2543.0155320123636</v>
      </c>
      <c r="AC42" s="231">
        <v>0</v>
      </c>
      <c r="AD42" s="231">
        <v>37.348621126730016</v>
      </c>
      <c r="AE42" s="412">
        <f t="shared" si="89"/>
        <v>5756.15643361603</v>
      </c>
      <c r="AF42" s="417">
        <v>0</v>
      </c>
      <c r="AG42" s="231">
        <v>2270.6172931427477</v>
      </c>
      <c r="AH42" s="231">
        <v>0</v>
      </c>
      <c r="AI42" s="231">
        <v>2616.6697169865743</v>
      </c>
      <c r="AJ42" s="231">
        <v>0</v>
      </c>
      <c r="AK42" s="231">
        <v>3077.4340917344202</v>
      </c>
      <c r="AL42" s="231">
        <v>0</v>
      </c>
      <c r="AM42" s="231">
        <v>2799.287319338323</v>
      </c>
      <c r="AN42" s="414">
        <f t="shared" si="90"/>
        <v>10764.008421202067</v>
      </c>
      <c r="AO42" s="415">
        <f t="shared" si="91"/>
        <v>16520.164854818097</v>
      </c>
      <c r="AP42" s="300">
        <v>20</v>
      </c>
      <c r="AQ42" s="231">
        <v>3115.0258492061835</v>
      </c>
      <c r="AR42" s="231">
        <v>18377.602088684875</v>
      </c>
      <c r="AS42" s="231">
        <v>4526.7600568194812</v>
      </c>
      <c r="AT42" s="231">
        <v>16532.564703600117</v>
      </c>
      <c r="AU42" s="231">
        <v>6625.2830216784259</v>
      </c>
      <c r="AV42" s="231">
        <v>8262.0391598383248</v>
      </c>
      <c r="AW42" s="231">
        <v>3795.5352933199861</v>
      </c>
      <c r="AX42" s="231">
        <v>14227.237686463526</v>
      </c>
      <c r="AY42" s="412">
        <f t="shared" si="92"/>
        <v>75462.047859610917</v>
      </c>
      <c r="AZ42" s="417">
        <v>0</v>
      </c>
      <c r="BA42" s="231">
        <v>11286.335108417057</v>
      </c>
      <c r="BB42" s="231">
        <v>0</v>
      </c>
      <c r="BC42" s="231">
        <v>15355.189899780533</v>
      </c>
      <c r="BD42" s="231">
        <v>0</v>
      </c>
      <c r="BE42" s="231">
        <v>16618.566689289069</v>
      </c>
      <c r="BF42" s="231">
        <v>0</v>
      </c>
      <c r="BG42" s="231">
        <v>15277.059654879204</v>
      </c>
      <c r="BH42" s="414">
        <f t="shared" si="93"/>
        <v>58537.151352365858</v>
      </c>
      <c r="BI42" s="415">
        <f t="shared" si="94"/>
        <v>133999.19921197678</v>
      </c>
      <c r="BJ42" s="300">
        <v>20</v>
      </c>
      <c r="BK42" s="231">
        <v>0</v>
      </c>
      <c r="BL42" s="231">
        <v>142.59298411891453</v>
      </c>
      <c r="BM42" s="231">
        <v>0</v>
      </c>
      <c r="BN42" s="231">
        <v>57.461365765585867</v>
      </c>
      <c r="BO42" s="231">
        <v>0</v>
      </c>
      <c r="BP42" s="231">
        <v>148.5797272462884</v>
      </c>
      <c r="BQ42" s="231">
        <v>0</v>
      </c>
      <c r="BR42" s="231">
        <v>25.7648928692529</v>
      </c>
      <c r="BS42" s="412">
        <f t="shared" si="95"/>
        <v>374.39897000004169</v>
      </c>
      <c r="BT42" s="417">
        <v>0</v>
      </c>
      <c r="BU42" s="231">
        <v>123.13162788679867</v>
      </c>
      <c r="BV42" s="231">
        <v>0</v>
      </c>
      <c r="BW42" s="231">
        <v>645.9467265558103</v>
      </c>
      <c r="BX42" s="231">
        <v>0</v>
      </c>
      <c r="BY42" s="231">
        <v>467.02694455177624</v>
      </c>
      <c r="BZ42" s="231">
        <v>0</v>
      </c>
      <c r="CA42" s="231">
        <v>136.82699844130647</v>
      </c>
      <c r="CB42" s="414">
        <f t="shared" si="96"/>
        <v>1372.9322974356917</v>
      </c>
      <c r="CC42" s="415">
        <f t="shared" si="97"/>
        <v>1747.3312674357335</v>
      </c>
      <c r="CD42" s="300">
        <v>20</v>
      </c>
      <c r="CE42" s="414">
        <f t="shared" si="98"/>
        <v>25648.802869314939</v>
      </c>
      <c r="CF42" s="414">
        <f t="shared" si="99"/>
        <v>23696.991014396517</v>
      </c>
      <c r="CG42" s="414">
        <f t="shared" si="100"/>
        <v>20066.696464757257</v>
      </c>
      <c r="CH42" s="414">
        <f t="shared" si="101"/>
        <v>27034.368940349003</v>
      </c>
      <c r="CI42" s="416">
        <f t="shared" si="102"/>
        <v>96446.859288817708</v>
      </c>
      <c r="CJ42" s="414">
        <f t="shared" si="103"/>
        <v>16988.841095495423</v>
      </c>
      <c r="CK42" s="414">
        <f t="shared" si="104"/>
        <v>20613.562375971986</v>
      </c>
      <c r="CL42" s="414">
        <f t="shared" si="105"/>
        <v>24319.097421621271</v>
      </c>
      <c r="CM42" s="414">
        <f t="shared" si="106"/>
        <v>24749.16045081013</v>
      </c>
      <c r="CN42" s="416">
        <f t="shared" si="107"/>
        <v>86670.661343898813</v>
      </c>
      <c r="CO42" s="414">
        <f t="shared" si="108"/>
        <v>42637.643964810355</v>
      </c>
      <c r="CP42" s="414">
        <f t="shared" si="109"/>
        <v>44310.553390368506</v>
      </c>
      <c r="CQ42" s="414">
        <f t="shared" si="110"/>
        <v>44385.793886378524</v>
      </c>
      <c r="CR42" s="414">
        <f t="shared" si="111"/>
        <v>51783.529391159129</v>
      </c>
      <c r="CS42" s="416">
        <f t="shared" si="112"/>
        <v>183117.52063271654</v>
      </c>
    </row>
    <row r="43" spans="1:102" ht="15.75" customHeight="1">
      <c r="A43" s="88" t="s">
        <v>206</v>
      </c>
      <c r="B43" s="300">
        <v>21</v>
      </c>
      <c r="C43" s="231"/>
      <c r="D43" s="231"/>
      <c r="E43" s="231"/>
      <c r="F43" s="231"/>
      <c r="G43" s="231"/>
      <c r="H43" s="231"/>
      <c r="I43" s="231"/>
      <c r="J43" s="231"/>
      <c r="K43" s="412">
        <f t="shared" si="86"/>
        <v>0</v>
      </c>
      <c r="L43" s="417"/>
      <c r="M43" s="231">
        <f>M19</f>
        <v>243084</v>
      </c>
      <c r="N43" s="231">
        <f t="shared" ref="N43:S43" si="113">N19</f>
        <v>0</v>
      </c>
      <c r="O43" s="231">
        <f t="shared" si="113"/>
        <v>182422</v>
      </c>
      <c r="P43" s="231">
        <f t="shared" si="113"/>
        <v>0</v>
      </c>
      <c r="Q43" s="231">
        <f t="shared" si="113"/>
        <v>294700</v>
      </c>
      <c r="R43" s="231">
        <f t="shared" si="113"/>
        <v>0</v>
      </c>
      <c r="S43" s="231">
        <f t="shared" si="113"/>
        <v>289793</v>
      </c>
      <c r="T43" s="414">
        <f t="shared" si="87"/>
        <v>1009999</v>
      </c>
      <c r="U43" s="415">
        <f t="shared" si="88"/>
        <v>1009999</v>
      </c>
      <c r="V43" s="300">
        <v>21</v>
      </c>
      <c r="W43" s="231"/>
      <c r="X43" s="231"/>
      <c r="Y43" s="231"/>
      <c r="Z43" s="231"/>
      <c r="AA43" s="231"/>
      <c r="AB43" s="231"/>
      <c r="AC43" s="231"/>
      <c r="AD43" s="231"/>
      <c r="AE43" s="412">
        <f t="shared" si="89"/>
        <v>0</v>
      </c>
      <c r="AF43" s="417"/>
      <c r="AG43" s="231">
        <f>AG19</f>
        <v>87341</v>
      </c>
      <c r="AH43" s="231"/>
      <c r="AI43" s="231">
        <f>AI19</f>
        <v>80753</v>
      </c>
      <c r="AJ43" s="231"/>
      <c r="AK43" s="231">
        <f>AK19</f>
        <v>76522</v>
      </c>
      <c r="AL43" s="231"/>
      <c r="AM43" s="231">
        <f>AM19</f>
        <v>90725</v>
      </c>
      <c r="AN43" s="414">
        <f t="shared" si="90"/>
        <v>335341</v>
      </c>
      <c r="AO43" s="415">
        <f t="shared" si="91"/>
        <v>335341</v>
      </c>
      <c r="AP43" s="300">
        <v>21</v>
      </c>
      <c r="AQ43" s="231">
        <f t="shared" ref="AQ43:AX43" si="114">AQ19</f>
        <v>0</v>
      </c>
      <c r="AR43" s="231">
        <f t="shared" si="114"/>
        <v>0</v>
      </c>
      <c r="AS43" s="231">
        <f t="shared" si="114"/>
        <v>0</v>
      </c>
      <c r="AT43" s="231">
        <f t="shared" si="114"/>
        <v>0</v>
      </c>
      <c r="AU43" s="231">
        <f t="shared" si="114"/>
        <v>0</v>
      </c>
      <c r="AV43" s="231">
        <f t="shared" si="114"/>
        <v>0</v>
      </c>
      <c r="AW43" s="231">
        <f t="shared" si="114"/>
        <v>0</v>
      </c>
      <c r="AX43" s="231">
        <f t="shared" si="114"/>
        <v>0</v>
      </c>
      <c r="AY43" s="412">
        <f t="shared" si="92"/>
        <v>0</v>
      </c>
      <c r="AZ43" s="417">
        <f t="shared" ref="AZ43:BG43" si="115">AZ19</f>
        <v>0</v>
      </c>
      <c r="BA43" s="231">
        <f t="shared" si="115"/>
        <v>2147640</v>
      </c>
      <c r="BB43" s="231">
        <f t="shared" si="115"/>
        <v>0</v>
      </c>
      <c r="BC43" s="231">
        <f t="shared" si="115"/>
        <v>2242916</v>
      </c>
      <c r="BD43" s="231">
        <f t="shared" si="115"/>
        <v>0</v>
      </c>
      <c r="BE43" s="231">
        <f t="shared" si="115"/>
        <v>2226617</v>
      </c>
      <c r="BF43" s="231">
        <f t="shared" si="115"/>
        <v>0</v>
      </c>
      <c r="BG43" s="231">
        <f t="shared" si="115"/>
        <v>1854469</v>
      </c>
      <c r="BH43" s="414">
        <f t="shared" si="93"/>
        <v>8471642</v>
      </c>
      <c r="BI43" s="415">
        <f t="shared" si="94"/>
        <v>8471642</v>
      </c>
      <c r="BJ43" s="300">
        <v>21</v>
      </c>
      <c r="BK43" s="231">
        <f t="shared" ref="BK43:BR43" si="116">BK19</f>
        <v>0</v>
      </c>
      <c r="BL43" s="231">
        <f t="shared" si="116"/>
        <v>0</v>
      </c>
      <c r="BM43" s="231">
        <f t="shared" si="116"/>
        <v>0</v>
      </c>
      <c r="BN43" s="231">
        <f t="shared" si="116"/>
        <v>0</v>
      </c>
      <c r="BO43" s="231">
        <f t="shared" si="116"/>
        <v>0</v>
      </c>
      <c r="BP43" s="231">
        <f t="shared" si="116"/>
        <v>0</v>
      </c>
      <c r="BQ43" s="231">
        <f t="shared" si="116"/>
        <v>0</v>
      </c>
      <c r="BR43" s="231">
        <f t="shared" si="116"/>
        <v>0</v>
      </c>
      <c r="BS43" s="412">
        <f t="shared" si="95"/>
        <v>0</v>
      </c>
      <c r="BT43" s="417">
        <f t="shared" ref="BT43:CA43" si="117">BT19</f>
        <v>0</v>
      </c>
      <c r="BU43" s="231">
        <f t="shared" si="117"/>
        <v>196433</v>
      </c>
      <c r="BV43" s="231">
        <f t="shared" si="117"/>
        <v>0</v>
      </c>
      <c r="BW43" s="231">
        <f t="shared" si="117"/>
        <v>342933</v>
      </c>
      <c r="BX43" s="231">
        <f t="shared" si="117"/>
        <v>0</v>
      </c>
      <c r="BY43" s="231">
        <f t="shared" si="117"/>
        <v>195645</v>
      </c>
      <c r="BZ43" s="231">
        <f t="shared" si="117"/>
        <v>0</v>
      </c>
      <c r="CA43" s="231">
        <f t="shared" si="117"/>
        <v>109127</v>
      </c>
      <c r="CB43" s="414">
        <f t="shared" si="96"/>
        <v>844138</v>
      </c>
      <c r="CC43" s="415">
        <f t="shared" si="97"/>
        <v>844138</v>
      </c>
      <c r="CD43" s="300">
        <v>21</v>
      </c>
      <c r="CE43" s="414">
        <f t="shared" si="98"/>
        <v>0</v>
      </c>
      <c r="CF43" s="414">
        <f t="shared" si="99"/>
        <v>0</v>
      </c>
      <c r="CG43" s="414">
        <f t="shared" si="100"/>
        <v>0</v>
      </c>
      <c r="CH43" s="414">
        <f t="shared" si="101"/>
        <v>0</v>
      </c>
      <c r="CI43" s="416">
        <f t="shared" si="102"/>
        <v>0</v>
      </c>
      <c r="CJ43" s="414">
        <f t="shared" si="103"/>
        <v>2674498</v>
      </c>
      <c r="CK43" s="414">
        <f t="shared" si="104"/>
        <v>2849024</v>
      </c>
      <c r="CL43" s="414">
        <f t="shared" si="105"/>
        <v>2793484</v>
      </c>
      <c r="CM43" s="414">
        <f t="shared" si="106"/>
        <v>2344114</v>
      </c>
      <c r="CN43" s="416">
        <f t="shared" si="107"/>
        <v>10661120</v>
      </c>
      <c r="CO43" s="414">
        <f t="shared" si="108"/>
        <v>2674498</v>
      </c>
      <c r="CP43" s="414">
        <f t="shared" si="109"/>
        <v>2849024</v>
      </c>
      <c r="CQ43" s="414">
        <f t="shared" si="110"/>
        <v>2793484</v>
      </c>
      <c r="CR43" s="414">
        <f t="shared" si="111"/>
        <v>2344114</v>
      </c>
      <c r="CS43" s="416">
        <f t="shared" si="112"/>
        <v>10661120</v>
      </c>
    </row>
    <row r="44" spans="1:102" ht="15.75" customHeight="1">
      <c r="A44" s="88" t="s">
        <v>207</v>
      </c>
      <c r="B44" s="300">
        <v>22</v>
      </c>
      <c r="C44" s="231">
        <v>16372.13</v>
      </c>
      <c r="D44" s="231">
        <v>0</v>
      </c>
      <c r="E44" s="231">
        <v>28079.420919455184</v>
      </c>
      <c r="F44" s="231">
        <v>3267.725265089256</v>
      </c>
      <c r="G44" s="231">
        <v>45845.125428210908</v>
      </c>
      <c r="H44" s="231">
        <v>148.48861130562224</v>
      </c>
      <c r="I44" s="231">
        <v>28643.02</v>
      </c>
      <c r="J44" s="231">
        <v>0</v>
      </c>
      <c r="K44" s="412">
        <f t="shared" si="86"/>
        <v>122355.91022406098</v>
      </c>
      <c r="L44" s="417">
        <v>0</v>
      </c>
      <c r="M44" s="417">
        <v>67266.804338160611</v>
      </c>
      <c r="N44" s="417">
        <v>0</v>
      </c>
      <c r="O44" s="417">
        <v>147466.27353294878</v>
      </c>
      <c r="P44" s="417">
        <v>0</v>
      </c>
      <c r="Q44" s="417">
        <v>83324.048155276105</v>
      </c>
      <c r="R44" s="417">
        <v>0</v>
      </c>
      <c r="S44" s="417">
        <v>22986.800000000047</v>
      </c>
      <c r="T44" s="414">
        <f t="shared" si="87"/>
        <v>321043.92602638551</v>
      </c>
      <c r="U44" s="415">
        <f t="shared" si="88"/>
        <v>443399.8362504465</v>
      </c>
      <c r="V44" s="300">
        <v>22</v>
      </c>
      <c r="W44" s="231">
        <v>666.12</v>
      </c>
      <c r="X44" s="231">
        <v>0</v>
      </c>
      <c r="Y44" s="231">
        <v>132.16999999999999</v>
      </c>
      <c r="Z44" s="231">
        <v>349.76309076235128</v>
      </c>
      <c r="AA44" s="231">
        <v>706.18</v>
      </c>
      <c r="AB44" s="231">
        <v>0</v>
      </c>
      <c r="AC44" s="231">
        <v>2116.1</v>
      </c>
      <c r="AD44" s="231">
        <v>0</v>
      </c>
      <c r="AE44" s="412">
        <f t="shared" si="89"/>
        <v>3970.3330907623513</v>
      </c>
      <c r="AF44" s="417">
        <v>0</v>
      </c>
      <c r="AG44" s="417">
        <v>51496.055968853383</v>
      </c>
      <c r="AH44" s="417">
        <v>0</v>
      </c>
      <c r="AI44" s="417">
        <v>86181.209999999992</v>
      </c>
      <c r="AJ44" s="417">
        <v>0</v>
      </c>
      <c r="AK44" s="417">
        <v>160343.34</v>
      </c>
      <c r="AL44" s="417">
        <v>0</v>
      </c>
      <c r="AM44" s="417">
        <v>87666.760000000009</v>
      </c>
      <c r="AN44" s="414">
        <f t="shared" si="90"/>
        <v>385687.36596885335</v>
      </c>
      <c r="AO44" s="415">
        <f t="shared" si="91"/>
        <v>389657.69905961573</v>
      </c>
      <c r="AP44" s="300">
        <v>22</v>
      </c>
      <c r="AQ44" s="231">
        <v>269404.84000000003</v>
      </c>
      <c r="AR44" s="231">
        <v>0</v>
      </c>
      <c r="AS44" s="231">
        <v>300776.58984270948</v>
      </c>
      <c r="AT44" s="231">
        <v>28306.578084393212</v>
      </c>
      <c r="AU44" s="231">
        <v>388528.58</v>
      </c>
      <c r="AV44" s="231">
        <v>80.455375608221175</v>
      </c>
      <c r="AW44" s="231">
        <v>426508.06</v>
      </c>
      <c r="AX44" s="231">
        <v>11.751304796464128</v>
      </c>
      <c r="AY44" s="412">
        <f t="shared" si="92"/>
        <v>1413616.8546075074</v>
      </c>
      <c r="AZ44" s="417">
        <v>0</v>
      </c>
      <c r="BA44" s="417">
        <v>874343.66077941784</v>
      </c>
      <c r="BB44" s="417">
        <v>0</v>
      </c>
      <c r="BC44" s="417">
        <v>835050.86730884819</v>
      </c>
      <c r="BD44" s="417">
        <v>0</v>
      </c>
      <c r="BE44" s="417">
        <v>1167931.5245654306</v>
      </c>
      <c r="BF44" s="417">
        <v>0</v>
      </c>
      <c r="BG44" s="417">
        <v>1563503.6726476124</v>
      </c>
      <c r="BH44" s="414">
        <f t="shared" si="93"/>
        <v>4440829.7253013086</v>
      </c>
      <c r="BI44" s="415">
        <f t="shared" si="94"/>
        <v>5854446.5799088161</v>
      </c>
      <c r="BJ44" s="300">
        <v>22</v>
      </c>
      <c r="BK44" s="231">
        <v>529.95000000000005</v>
      </c>
      <c r="BL44" s="231">
        <v>0</v>
      </c>
      <c r="BM44" s="231">
        <v>0</v>
      </c>
      <c r="BN44" s="231">
        <v>813.10490484980198</v>
      </c>
      <c r="BO44" s="231">
        <v>192.23</v>
      </c>
      <c r="BP44" s="231">
        <v>0</v>
      </c>
      <c r="BQ44" s="231">
        <v>369.28</v>
      </c>
      <c r="BR44" s="231">
        <v>0</v>
      </c>
      <c r="BS44" s="412">
        <f t="shared" si="95"/>
        <v>1904.5649048498019</v>
      </c>
      <c r="BT44" s="417">
        <v>0</v>
      </c>
      <c r="BU44" s="417">
        <v>1801.1999999999825</v>
      </c>
      <c r="BV44" s="417">
        <v>0</v>
      </c>
      <c r="BW44" s="417">
        <v>-90358.08965315434</v>
      </c>
      <c r="BX44" s="417">
        <v>0</v>
      </c>
      <c r="BY44" s="417">
        <v>-2650.6499999999942</v>
      </c>
      <c r="BZ44" s="417">
        <v>0</v>
      </c>
      <c r="CA44" s="417">
        <v>37139.410000000003</v>
      </c>
      <c r="CB44" s="414">
        <f t="shared" si="96"/>
        <v>-54068.129653154348</v>
      </c>
      <c r="CC44" s="415">
        <f t="shared" si="97"/>
        <v>-52163.564748304547</v>
      </c>
      <c r="CD44" s="300">
        <v>22</v>
      </c>
      <c r="CE44" s="414">
        <f t="shared" si="98"/>
        <v>286973.04000000004</v>
      </c>
      <c r="CF44" s="414">
        <f t="shared" si="99"/>
        <v>361725.35210725927</v>
      </c>
      <c r="CG44" s="414">
        <f t="shared" si="100"/>
        <v>435501.05941512476</v>
      </c>
      <c r="CH44" s="414">
        <f t="shared" si="101"/>
        <v>457648.21130479651</v>
      </c>
      <c r="CI44" s="416">
        <f t="shared" si="102"/>
        <v>1541847.6628271805</v>
      </c>
      <c r="CJ44" s="414">
        <f t="shared" si="103"/>
        <v>994907.72108643176</v>
      </c>
      <c r="CK44" s="414">
        <f t="shared" si="104"/>
        <v>978340.26118864259</v>
      </c>
      <c r="CL44" s="414">
        <f t="shared" si="105"/>
        <v>1408948.2627207069</v>
      </c>
      <c r="CM44" s="414">
        <f t="shared" si="106"/>
        <v>1711296.6426476124</v>
      </c>
      <c r="CN44" s="416">
        <f t="shared" si="107"/>
        <v>5093492.8876433931</v>
      </c>
      <c r="CO44" s="414">
        <f t="shared" si="108"/>
        <v>1281880.7610864318</v>
      </c>
      <c r="CP44" s="414">
        <f t="shared" si="109"/>
        <v>1340065.6132959018</v>
      </c>
      <c r="CQ44" s="414">
        <f t="shared" si="110"/>
        <v>1844449.3221358315</v>
      </c>
      <c r="CR44" s="414">
        <f t="shared" si="111"/>
        <v>2168944.8539524088</v>
      </c>
      <c r="CS44" s="416">
        <f t="shared" si="112"/>
        <v>6635340.5504705738</v>
      </c>
      <c r="CU44" s="319"/>
      <c r="CV44" s="319"/>
    </row>
    <row r="45" spans="1:102" ht="15.75" customHeight="1">
      <c r="A45" s="88" t="s">
        <v>209</v>
      </c>
      <c r="B45" s="300">
        <v>23</v>
      </c>
      <c r="C45" s="231">
        <v>11939.553251219033</v>
      </c>
      <c r="D45" s="231">
        <v>0</v>
      </c>
      <c r="E45" s="231">
        <v>21586.705591510956</v>
      </c>
      <c r="F45" s="231">
        <v>3267.725265089256</v>
      </c>
      <c r="G45" s="231">
        <v>36309.560097558729</v>
      </c>
      <c r="H45" s="231">
        <v>148.48861130562224</v>
      </c>
      <c r="I45" s="231">
        <v>23060.522821472165</v>
      </c>
      <c r="J45" s="231">
        <v>0</v>
      </c>
      <c r="K45" s="412">
        <f t="shared" si="86"/>
        <v>96312.555638155784</v>
      </c>
      <c r="L45" s="417">
        <v>0</v>
      </c>
      <c r="M45" s="417">
        <v>-25616.161490165072</v>
      </c>
      <c r="N45" s="417">
        <v>0</v>
      </c>
      <c r="O45" s="417">
        <v>52367.866222427729</v>
      </c>
      <c r="P45" s="417">
        <v>0</v>
      </c>
      <c r="Q45" s="417">
        <v>-17373.203627254235</v>
      </c>
      <c r="R45" s="417">
        <v>0</v>
      </c>
      <c r="S45" s="417">
        <v>-56486.944447135611</v>
      </c>
      <c r="T45" s="414">
        <f t="shared" si="87"/>
        <v>-47108.44334212719</v>
      </c>
      <c r="U45" s="415">
        <f t="shared" si="88"/>
        <v>49204.112296028594</v>
      </c>
      <c r="V45" s="300">
        <v>23</v>
      </c>
      <c r="W45" s="231">
        <v>485.77522971672113</v>
      </c>
      <c r="X45" s="231">
        <v>0</v>
      </c>
      <c r="Y45" s="231">
        <v>100.13159818649424</v>
      </c>
      <c r="Z45" s="231">
        <v>349.76309076235128</v>
      </c>
      <c r="AA45" s="231">
        <v>558.92412710256269</v>
      </c>
      <c r="AB45" s="231">
        <v>0</v>
      </c>
      <c r="AC45" s="231">
        <v>1703.6741357062642</v>
      </c>
      <c r="AD45" s="231">
        <v>0</v>
      </c>
      <c r="AE45" s="412">
        <f t="shared" si="89"/>
        <v>3198.2681814743937</v>
      </c>
      <c r="AF45" s="417">
        <v>0</v>
      </c>
      <c r="AG45" s="231">
        <v>9980.2869001768522</v>
      </c>
      <c r="AH45" s="231">
        <v>0</v>
      </c>
      <c r="AI45" s="231">
        <v>37863.278699745846</v>
      </c>
      <c r="AJ45" s="231">
        <v>0</v>
      </c>
      <c r="AK45" s="231">
        <v>97244.451964288339</v>
      </c>
      <c r="AL45" s="231">
        <v>0</v>
      </c>
      <c r="AM45" s="231">
        <v>42339.467873224174</v>
      </c>
      <c r="AN45" s="414">
        <f t="shared" si="90"/>
        <v>187427.48543743521</v>
      </c>
      <c r="AO45" s="415">
        <f t="shared" si="91"/>
        <v>190625.7536189096</v>
      </c>
      <c r="AP45" s="300">
        <v>23</v>
      </c>
      <c r="AQ45" s="231">
        <v>196466.39950428827</v>
      </c>
      <c r="AR45" s="231">
        <v>0</v>
      </c>
      <c r="AS45" s="231">
        <v>230059.58806690658</v>
      </c>
      <c r="AT45" s="231">
        <v>28306.578084393212</v>
      </c>
      <c r="AU45" s="231">
        <v>307510.82929408678</v>
      </c>
      <c r="AV45" s="231">
        <v>80.455375608221175</v>
      </c>
      <c r="AW45" s="231">
        <v>343382.04739485634</v>
      </c>
      <c r="AX45" s="231">
        <v>11.751304796464128</v>
      </c>
      <c r="AY45" s="412">
        <f t="shared" si="92"/>
        <v>1105817.6490249359</v>
      </c>
      <c r="AZ45" s="417">
        <v>0</v>
      </c>
      <c r="BA45" s="417">
        <v>-30297.211618414698</v>
      </c>
      <c r="BB45" s="417">
        <v>0</v>
      </c>
      <c r="BC45" s="417">
        <v>-53669.60048996783</v>
      </c>
      <c r="BD45" s="417">
        <v>0</v>
      </c>
      <c r="BE45" s="417">
        <v>263737.91751264146</v>
      </c>
      <c r="BF45" s="417">
        <v>0</v>
      </c>
      <c r="BG45" s="417">
        <v>695083.05254845298</v>
      </c>
      <c r="BH45" s="414">
        <f t="shared" si="93"/>
        <v>874854.15795271192</v>
      </c>
      <c r="BI45" s="415">
        <f t="shared" si="94"/>
        <v>1980671.8069776478</v>
      </c>
      <c r="BJ45" s="300">
        <v>23</v>
      </c>
      <c r="BK45" s="231">
        <v>386.47178134326606</v>
      </c>
      <c r="BL45" s="231">
        <v>0</v>
      </c>
      <c r="BM45" s="231">
        <v>0</v>
      </c>
      <c r="BN45" s="231">
        <v>813.10490484980198</v>
      </c>
      <c r="BO45" s="231">
        <v>152.14532407166109</v>
      </c>
      <c r="BP45" s="231">
        <v>0</v>
      </c>
      <c r="BQ45" s="231">
        <v>297.3076815054153</v>
      </c>
      <c r="BR45" s="231">
        <v>0</v>
      </c>
      <c r="BS45" s="412">
        <f t="shared" si="95"/>
        <v>1649.0296917701446</v>
      </c>
      <c r="BT45" s="417">
        <v>0</v>
      </c>
      <c r="BU45" s="231">
        <v>-57542.16728322304</v>
      </c>
      <c r="BV45" s="231">
        <v>0</v>
      </c>
      <c r="BW45" s="231">
        <v>-163433.04611949949</v>
      </c>
      <c r="BX45" s="231">
        <v>0</v>
      </c>
      <c r="BY45" s="231">
        <v>-54062.682257750654</v>
      </c>
      <c r="BZ45" s="231">
        <v>0</v>
      </c>
      <c r="CA45" s="231">
        <v>-25.200727482282673</v>
      </c>
      <c r="CB45" s="414">
        <f t="shared" si="96"/>
        <v>-275063.09638795542</v>
      </c>
      <c r="CC45" s="415">
        <f t="shared" si="97"/>
        <v>-273414.06669618527</v>
      </c>
      <c r="CD45" s="300">
        <v>23</v>
      </c>
      <c r="CE45" s="414">
        <f t="shared" si="98"/>
        <v>209278.1997665673</v>
      </c>
      <c r="CF45" s="414">
        <f t="shared" si="99"/>
        <v>284483.59660169861</v>
      </c>
      <c r="CG45" s="414">
        <f t="shared" si="100"/>
        <v>344760.40282973356</v>
      </c>
      <c r="CH45" s="414">
        <f t="shared" si="101"/>
        <v>368455.30333833664</v>
      </c>
      <c r="CI45" s="416">
        <f t="shared" si="102"/>
        <v>1206977.5025363362</v>
      </c>
      <c r="CJ45" s="414">
        <f t="shared" si="103"/>
        <v>-103475.25349162596</v>
      </c>
      <c r="CK45" s="414">
        <f t="shared" si="104"/>
        <v>-126871.50168729373</v>
      </c>
      <c r="CL45" s="414">
        <f t="shared" si="105"/>
        <v>289546.48359192489</v>
      </c>
      <c r="CM45" s="414">
        <f t="shared" si="106"/>
        <v>680910.37524705916</v>
      </c>
      <c r="CN45" s="416">
        <f t="shared" si="107"/>
        <v>740110.10366006452</v>
      </c>
      <c r="CO45" s="414">
        <f t="shared" si="108"/>
        <v>105802.94627494135</v>
      </c>
      <c r="CP45" s="414">
        <f t="shared" si="109"/>
        <v>157612.09491440485</v>
      </c>
      <c r="CQ45" s="414">
        <f t="shared" si="110"/>
        <v>634306.88642165845</v>
      </c>
      <c r="CR45" s="414">
        <f t="shared" si="111"/>
        <v>1049365.6785853959</v>
      </c>
      <c r="CS45" s="416">
        <f t="shared" si="112"/>
        <v>1947087.6061964007</v>
      </c>
      <c r="CU45" s="319"/>
    </row>
    <row r="46" spans="1:102" ht="15.75" customHeight="1">
      <c r="A46" s="88" t="s">
        <v>211</v>
      </c>
      <c r="B46" s="300">
        <v>24</v>
      </c>
      <c r="C46" s="231">
        <v>654.5</v>
      </c>
      <c r="D46" s="231">
        <v>0</v>
      </c>
      <c r="E46" s="231">
        <v>516.4</v>
      </c>
      <c r="F46" s="231">
        <v>0</v>
      </c>
      <c r="G46" s="231">
        <v>1654.04</v>
      </c>
      <c r="H46" s="231">
        <v>0</v>
      </c>
      <c r="I46" s="231">
        <v>1632.72</v>
      </c>
      <c r="J46" s="231">
        <v>0</v>
      </c>
      <c r="K46" s="412">
        <f t="shared" si="86"/>
        <v>4457.66</v>
      </c>
      <c r="L46" s="417">
        <v>0</v>
      </c>
      <c r="M46" s="231">
        <v>7694.55</v>
      </c>
      <c r="N46" s="231">
        <v>0</v>
      </c>
      <c r="O46" s="231">
        <v>8472.59</v>
      </c>
      <c r="P46" s="231">
        <v>0</v>
      </c>
      <c r="Q46" s="231">
        <v>12080.74</v>
      </c>
      <c r="R46" s="231">
        <v>0</v>
      </c>
      <c r="S46" s="231">
        <v>12946.31</v>
      </c>
      <c r="T46" s="414">
        <f t="shared" si="87"/>
        <v>41194.189999999995</v>
      </c>
      <c r="U46" s="415">
        <f t="shared" si="88"/>
        <v>45651.849999999991</v>
      </c>
      <c r="V46" s="300">
        <v>24</v>
      </c>
      <c r="W46" s="231">
        <v>0</v>
      </c>
      <c r="X46" s="231">
        <v>0</v>
      </c>
      <c r="Y46" s="231">
        <v>0</v>
      </c>
      <c r="Z46" s="231">
        <v>0</v>
      </c>
      <c r="AA46" s="231">
        <v>0</v>
      </c>
      <c r="AB46" s="231">
        <v>0</v>
      </c>
      <c r="AC46" s="231">
        <v>0</v>
      </c>
      <c r="AD46" s="231">
        <v>0</v>
      </c>
      <c r="AE46" s="412">
        <f t="shared" si="89"/>
        <v>0</v>
      </c>
      <c r="AF46" s="417">
        <v>0</v>
      </c>
      <c r="AG46" s="231">
        <v>2325.41</v>
      </c>
      <c r="AH46" s="231">
        <v>0</v>
      </c>
      <c r="AI46" s="231">
        <v>2725.01</v>
      </c>
      <c r="AJ46" s="231">
        <v>0</v>
      </c>
      <c r="AK46" s="231">
        <v>5967.01</v>
      </c>
      <c r="AL46" s="231">
        <v>0</v>
      </c>
      <c r="AM46" s="231">
        <v>6017.68</v>
      </c>
      <c r="AN46" s="414">
        <f t="shared" si="90"/>
        <v>17035.11</v>
      </c>
      <c r="AO46" s="415">
        <f t="shared" si="91"/>
        <v>17035.11</v>
      </c>
      <c r="AP46" s="300">
        <v>24</v>
      </c>
      <c r="AQ46" s="231">
        <v>4258.1099999999997</v>
      </c>
      <c r="AR46" s="231">
        <v>0</v>
      </c>
      <c r="AS46" s="231">
        <v>5140.43</v>
      </c>
      <c r="AT46" s="231">
        <v>0</v>
      </c>
      <c r="AU46" s="231">
        <v>5773.81</v>
      </c>
      <c r="AV46" s="231">
        <v>0</v>
      </c>
      <c r="AW46" s="231">
        <v>8775.93</v>
      </c>
      <c r="AX46" s="231">
        <v>0</v>
      </c>
      <c r="AY46" s="412">
        <f t="shared" si="92"/>
        <v>23948.280000000002</v>
      </c>
      <c r="AZ46" s="417">
        <v>0</v>
      </c>
      <c r="BA46" s="231">
        <v>145375.07999999999</v>
      </c>
      <c r="BB46" s="231">
        <v>0</v>
      </c>
      <c r="BC46" s="231">
        <v>142254.75</v>
      </c>
      <c r="BD46" s="231">
        <v>0</v>
      </c>
      <c r="BE46" s="231">
        <v>156192.09</v>
      </c>
      <c r="BF46" s="231">
        <v>0</v>
      </c>
      <c r="BG46" s="231">
        <v>182689.41</v>
      </c>
      <c r="BH46" s="414">
        <f t="shared" si="93"/>
        <v>626511.32999999996</v>
      </c>
      <c r="BI46" s="415">
        <f t="shared" si="94"/>
        <v>650459.61</v>
      </c>
      <c r="BJ46" s="300">
        <v>24</v>
      </c>
      <c r="BK46" s="231">
        <v>0</v>
      </c>
      <c r="BL46" s="231">
        <v>0</v>
      </c>
      <c r="BM46" s="231">
        <v>0</v>
      </c>
      <c r="BN46" s="231">
        <v>0</v>
      </c>
      <c r="BO46" s="231">
        <v>0</v>
      </c>
      <c r="BP46" s="231">
        <v>0</v>
      </c>
      <c r="BQ46" s="231">
        <v>0</v>
      </c>
      <c r="BR46" s="231">
        <v>0</v>
      </c>
      <c r="BS46" s="412">
        <f t="shared" si="95"/>
        <v>0</v>
      </c>
      <c r="BT46" s="417">
        <v>0</v>
      </c>
      <c r="BU46" s="231">
        <v>15.88</v>
      </c>
      <c r="BV46" s="231">
        <v>0</v>
      </c>
      <c r="BW46" s="231">
        <v>1322.96</v>
      </c>
      <c r="BX46" s="231">
        <v>0</v>
      </c>
      <c r="BY46" s="231">
        <v>3165.27</v>
      </c>
      <c r="BZ46" s="231">
        <v>0</v>
      </c>
      <c r="CA46" s="231">
        <v>4575.6000000000004</v>
      </c>
      <c r="CB46" s="414">
        <f t="shared" si="96"/>
        <v>9079.7100000000009</v>
      </c>
      <c r="CC46" s="415">
        <f t="shared" si="97"/>
        <v>9079.7100000000009</v>
      </c>
      <c r="CD46" s="300">
        <v>24</v>
      </c>
      <c r="CE46" s="414">
        <f t="shared" si="98"/>
        <v>4912.6099999999997</v>
      </c>
      <c r="CF46" s="414">
        <f t="shared" si="99"/>
        <v>5656.83</v>
      </c>
      <c r="CG46" s="414">
        <f t="shared" si="100"/>
        <v>7427.85</v>
      </c>
      <c r="CH46" s="414">
        <f t="shared" si="101"/>
        <v>10408.65</v>
      </c>
      <c r="CI46" s="416">
        <f t="shared" si="102"/>
        <v>28405.940000000002</v>
      </c>
      <c r="CJ46" s="414">
        <f t="shared" si="103"/>
        <v>155410.91999999998</v>
      </c>
      <c r="CK46" s="414">
        <f t="shared" si="104"/>
        <v>154775.31</v>
      </c>
      <c r="CL46" s="414">
        <f t="shared" si="105"/>
        <v>177405.11</v>
      </c>
      <c r="CM46" s="414">
        <f t="shared" si="106"/>
        <v>206229</v>
      </c>
      <c r="CN46" s="416">
        <f t="shared" si="107"/>
        <v>693820.34</v>
      </c>
      <c r="CO46" s="414">
        <f t="shared" si="108"/>
        <v>160323.53</v>
      </c>
      <c r="CP46" s="414">
        <f t="shared" si="109"/>
        <v>160432.13999999998</v>
      </c>
      <c r="CQ46" s="414">
        <f t="shared" si="110"/>
        <v>184832.96</v>
      </c>
      <c r="CR46" s="414">
        <f t="shared" si="111"/>
        <v>216637.65</v>
      </c>
      <c r="CS46" s="416">
        <f t="shared" si="112"/>
        <v>722226.27999999991</v>
      </c>
    </row>
    <row r="47" spans="1:102" ht="15.75" customHeight="1">
      <c r="A47" s="88" t="s">
        <v>212</v>
      </c>
      <c r="B47" s="300">
        <v>25</v>
      </c>
      <c r="C47" s="231">
        <v>477.30121877378554</v>
      </c>
      <c r="D47" s="231">
        <v>0</v>
      </c>
      <c r="E47" s="231">
        <v>391.22310133544397</v>
      </c>
      <c r="F47" s="231">
        <v>0</v>
      </c>
      <c r="G47" s="231">
        <v>1309.1320388466438</v>
      </c>
      <c r="H47" s="231">
        <v>0</v>
      </c>
      <c r="I47" s="231">
        <v>1314.5044349748746</v>
      </c>
      <c r="J47" s="231">
        <v>0</v>
      </c>
      <c r="K47" s="412">
        <f t="shared" si="86"/>
        <v>3492.1607939307478</v>
      </c>
      <c r="L47" s="417">
        <v>0</v>
      </c>
      <c r="M47" s="231">
        <v>5116.3499095935458</v>
      </c>
      <c r="N47" s="231">
        <v>0</v>
      </c>
      <c r="O47" s="231">
        <v>5601.2599634246781</v>
      </c>
      <c r="P47" s="231">
        <v>0</v>
      </c>
      <c r="Q47" s="231">
        <v>9439.8921961482756</v>
      </c>
      <c r="R47" s="231">
        <v>0</v>
      </c>
      <c r="S47" s="231">
        <v>10367.866533802446</v>
      </c>
      <c r="T47" s="414">
        <f t="shared" si="87"/>
        <v>30525.368602968942</v>
      </c>
      <c r="U47" s="415">
        <f t="shared" si="88"/>
        <v>34017.529396899692</v>
      </c>
      <c r="V47" s="300">
        <v>25</v>
      </c>
      <c r="W47" s="231">
        <v>0</v>
      </c>
      <c r="X47" s="231">
        <v>0</v>
      </c>
      <c r="Y47" s="231">
        <v>0</v>
      </c>
      <c r="Z47" s="231">
        <v>0</v>
      </c>
      <c r="AA47" s="231">
        <v>0</v>
      </c>
      <c r="AB47" s="231">
        <v>0</v>
      </c>
      <c r="AC47" s="231">
        <v>0</v>
      </c>
      <c r="AD47" s="231">
        <v>0</v>
      </c>
      <c r="AE47" s="412">
        <f t="shared" si="89"/>
        <v>0</v>
      </c>
      <c r="AF47" s="417">
        <v>0</v>
      </c>
      <c r="AG47" s="231">
        <v>1546.2387330341512</v>
      </c>
      <c r="AH47" s="231">
        <v>0</v>
      </c>
      <c r="AI47" s="231">
        <v>1801.5139895748387</v>
      </c>
      <c r="AJ47" s="231">
        <v>0</v>
      </c>
      <c r="AK47" s="231">
        <v>4662.6225821711851</v>
      </c>
      <c r="AL47" s="231">
        <v>0</v>
      </c>
      <c r="AM47" s="231">
        <v>4819.1726509818091</v>
      </c>
      <c r="AN47" s="414">
        <f t="shared" si="90"/>
        <v>12829.547955761984</v>
      </c>
      <c r="AO47" s="415">
        <f t="shared" si="91"/>
        <v>12829.547955761984</v>
      </c>
      <c r="AP47" s="300">
        <v>25</v>
      </c>
      <c r="AQ47" s="231">
        <v>3105.2728688660709</v>
      </c>
      <c r="AR47" s="231">
        <v>0</v>
      </c>
      <c r="AS47" s="231">
        <v>3894.3744515835724</v>
      </c>
      <c r="AT47" s="231">
        <v>0</v>
      </c>
      <c r="AU47" s="231">
        <v>4569.8288174488771</v>
      </c>
      <c r="AV47" s="231">
        <v>0</v>
      </c>
      <c r="AW47" s="231">
        <v>7065.5096440473881</v>
      </c>
      <c r="AX47" s="231">
        <v>0</v>
      </c>
      <c r="AY47" s="412">
        <f t="shared" si="92"/>
        <v>18634.985781945907</v>
      </c>
      <c r="AZ47" s="417">
        <v>0</v>
      </c>
      <c r="BA47" s="231">
        <v>96664.493364154419</v>
      </c>
      <c r="BB47" s="231">
        <v>0</v>
      </c>
      <c r="BC47" s="231">
        <v>94045.130920059484</v>
      </c>
      <c r="BD47" s="231">
        <v>0</v>
      </c>
      <c r="BE47" s="231">
        <v>122048.52446878992</v>
      </c>
      <c r="BF47" s="231">
        <v>0</v>
      </c>
      <c r="BG47" s="231">
        <v>146304.19169779759</v>
      </c>
      <c r="BH47" s="414">
        <f t="shared" si="93"/>
        <v>459062.34045080142</v>
      </c>
      <c r="BI47" s="415">
        <f t="shared" si="94"/>
        <v>477697.32623274735</v>
      </c>
      <c r="BJ47" s="300">
        <v>25</v>
      </c>
      <c r="BK47" s="231">
        <v>0</v>
      </c>
      <c r="BL47" s="231">
        <v>0</v>
      </c>
      <c r="BM47" s="231">
        <v>0</v>
      </c>
      <c r="BN47" s="231">
        <v>0</v>
      </c>
      <c r="BO47" s="231">
        <v>0</v>
      </c>
      <c r="BP47" s="231">
        <v>0</v>
      </c>
      <c r="BQ47" s="231">
        <v>0</v>
      </c>
      <c r="BR47" s="231">
        <v>0</v>
      </c>
      <c r="BS47" s="412">
        <f t="shared" si="95"/>
        <v>0</v>
      </c>
      <c r="BT47" s="417">
        <v>0</v>
      </c>
      <c r="BU47" s="231">
        <v>10.559114771409051</v>
      </c>
      <c r="BV47" s="231">
        <v>0</v>
      </c>
      <c r="BW47" s="231">
        <v>874.61365193079234</v>
      </c>
      <c r="BX47" s="231">
        <v>0</v>
      </c>
      <c r="BY47" s="231">
        <v>2473.3424915776895</v>
      </c>
      <c r="BZ47" s="231">
        <v>0</v>
      </c>
      <c r="CA47" s="231">
        <v>3664.303582415876</v>
      </c>
      <c r="CB47" s="414">
        <f t="shared" si="96"/>
        <v>7022.818840695767</v>
      </c>
      <c r="CC47" s="415">
        <f t="shared" si="97"/>
        <v>7022.818840695767</v>
      </c>
      <c r="CD47" s="300">
        <v>25</v>
      </c>
      <c r="CE47" s="414">
        <f t="shared" si="98"/>
        <v>3582.5740876398563</v>
      </c>
      <c r="CF47" s="414">
        <f t="shared" si="99"/>
        <v>4285.5975529190164</v>
      </c>
      <c r="CG47" s="414">
        <f t="shared" si="100"/>
        <v>5878.9608562955209</v>
      </c>
      <c r="CH47" s="414">
        <f t="shared" si="101"/>
        <v>8380.0140790222631</v>
      </c>
      <c r="CI47" s="416">
        <f t="shared" si="102"/>
        <v>22127.146575876654</v>
      </c>
      <c r="CJ47" s="414">
        <f t="shared" si="103"/>
        <v>103337.64112155353</v>
      </c>
      <c r="CK47" s="414">
        <f t="shared" si="104"/>
        <v>102322.51852498979</v>
      </c>
      <c r="CL47" s="414">
        <f t="shared" si="105"/>
        <v>138624.38173868708</v>
      </c>
      <c r="CM47" s="414">
        <f t="shared" si="106"/>
        <v>165155.53446499773</v>
      </c>
      <c r="CN47" s="416">
        <f t="shared" si="107"/>
        <v>509440.07585022814</v>
      </c>
      <c r="CO47" s="414">
        <f t="shared" si="108"/>
        <v>106920.2152091934</v>
      </c>
      <c r="CP47" s="414">
        <f t="shared" si="109"/>
        <v>106608.11607790881</v>
      </c>
      <c r="CQ47" s="414">
        <f t="shared" si="110"/>
        <v>144503.34259498262</v>
      </c>
      <c r="CR47" s="414">
        <f t="shared" si="111"/>
        <v>173535.54854402001</v>
      </c>
      <c r="CS47" s="416">
        <f t="shared" si="112"/>
        <v>531567.22242610482</v>
      </c>
    </row>
    <row r="48" spans="1:102" ht="15.75" customHeight="1">
      <c r="A48" s="88" t="s">
        <v>213</v>
      </c>
      <c r="B48" s="300">
        <v>26</v>
      </c>
      <c r="C48" s="231">
        <v>3506.8962031745546</v>
      </c>
      <c r="D48" s="231">
        <v>1098.6368857167629</v>
      </c>
      <c r="E48" s="231">
        <v>5737.0193865636629</v>
      </c>
      <c r="F48" s="231">
        <v>1653.3106318847344</v>
      </c>
      <c r="G48" s="231">
        <v>4253.6666980525215</v>
      </c>
      <c r="H48" s="231">
        <v>2523.3243648350649</v>
      </c>
      <c r="I48" s="231">
        <v>2597.4887219670995</v>
      </c>
      <c r="J48" s="231">
        <v>731.17833373507449</v>
      </c>
      <c r="K48" s="412">
        <f t="shared" si="86"/>
        <v>22101.521225929479</v>
      </c>
      <c r="L48" s="417">
        <v>0</v>
      </c>
      <c r="M48" s="231">
        <v>14538.731925278666</v>
      </c>
      <c r="N48" s="231">
        <v>0</v>
      </c>
      <c r="O48" s="231">
        <v>26903.943822525718</v>
      </c>
      <c r="P48" s="231">
        <v>0</v>
      </c>
      <c r="Q48" s="231">
        <v>27251.474632731613</v>
      </c>
      <c r="R48" s="231">
        <v>0</v>
      </c>
      <c r="S48" s="231">
        <v>21085.670031884038</v>
      </c>
      <c r="T48" s="414">
        <f t="shared" si="87"/>
        <v>89779.820412420027</v>
      </c>
      <c r="U48" s="415">
        <f t="shared" si="88"/>
        <v>111881.34163834951</v>
      </c>
      <c r="V48" s="300">
        <v>26</v>
      </c>
      <c r="W48" s="231">
        <v>352.85755438078013</v>
      </c>
      <c r="X48" s="231">
        <v>3058.3791840965832</v>
      </c>
      <c r="Y48" s="231">
        <v>135.81503819720689</v>
      </c>
      <c r="Z48" s="231">
        <v>795.4723195790915</v>
      </c>
      <c r="AA48" s="231">
        <v>75.909702568320427</v>
      </c>
      <c r="AB48" s="231">
        <v>66.322280811558699</v>
      </c>
      <c r="AC48" s="231">
        <v>195.142879650374</v>
      </c>
      <c r="AD48" s="231">
        <v>0</v>
      </c>
      <c r="AE48" s="412">
        <f t="shared" si="89"/>
        <v>4679.8989592839152</v>
      </c>
      <c r="AF48" s="417">
        <v>0</v>
      </c>
      <c r="AG48" s="231">
        <v>16921.969609781288</v>
      </c>
      <c r="AH48" s="231">
        <v>0</v>
      </c>
      <c r="AI48" s="231">
        <v>14748.030854579405</v>
      </c>
      <c r="AJ48" s="231">
        <v>0</v>
      </c>
      <c r="AK48" s="231">
        <v>4855.8468152372634</v>
      </c>
      <c r="AL48" s="231">
        <v>0</v>
      </c>
      <c r="AM48" s="231">
        <v>8466.8630578424254</v>
      </c>
      <c r="AN48" s="414">
        <f t="shared" si="90"/>
        <v>44992.710337440389</v>
      </c>
      <c r="AO48" s="415">
        <f t="shared" si="91"/>
        <v>49672.609296724302</v>
      </c>
      <c r="AP48" s="300">
        <v>26</v>
      </c>
      <c r="AQ48" s="231">
        <v>34224.439061617653</v>
      </c>
      <c r="AR48" s="231">
        <v>11521.322859315442</v>
      </c>
      <c r="AS48" s="231">
        <v>24291.163000424316</v>
      </c>
      <c r="AT48" s="231">
        <v>10562.440132578789</v>
      </c>
      <c r="AU48" s="231">
        <v>8952.0905504833954</v>
      </c>
      <c r="AV48" s="231">
        <v>7937.2412033436794</v>
      </c>
      <c r="AW48" s="231">
        <v>12762.325476773822</v>
      </c>
      <c r="AX48" s="231">
        <v>5169.7048071482213</v>
      </c>
      <c r="AY48" s="412">
        <f t="shared" si="92"/>
        <v>115420.72709168533</v>
      </c>
      <c r="AZ48" s="417">
        <v>0</v>
      </c>
      <c r="BA48" s="231">
        <v>116372.66254315295</v>
      </c>
      <c r="BB48" s="231">
        <v>0</v>
      </c>
      <c r="BC48" s="231">
        <v>121878.34357504697</v>
      </c>
      <c r="BD48" s="231">
        <v>0</v>
      </c>
      <c r="BE48" s="231">
        <v>114626.8728749141</v>
      </c>
      <c r="BF48" s="231">
        <v>0</v>
      </c>
      <c r="BG48" s="231">
        <v>109947.90121238265</v>
      </c>
      <c r="BH48" s="414">
        <f t="shared" si="93"/>
        <v>462825.78020549665</v>
      </c>
      <c r="BI48" s="415">
        <f t="shared" si="94"/>
        <v>578246.50729718199</v>
      </c>
      <c r="BJ48" s="300">
        <v>26</v>
      </c>
      <c r="BK48" s="231">
        <v>0</v>
      </c>
      <c r="BL48" s="231">
        <v>1294.5119813874148</v>
      </c>
      <c r="BM48" s="231">
        <v>0</v>
      </c>
      <c r="BN48" s="231">
        <v>423.57321306448893</v>
      </c>
      <c r="BO48" s="231">
        <v>0</v>
      </c>
      <c r="BP48" s="231">
        <v>602.3168637769611</v>
      </c>
      <c r="BQ48" s="231">
        <v>0</v>
      </c>
      <c r="BR48" s="231">
        <v>602.63665479835061</v>
      </c>
      <c r="BS48" s="412">
        <f t="shared" si="95"/>
        <v>2923.0387130272156</v>
      </c>
      <c r="BT48" s="417">
        <v>0</v>
      </c>
      <c r="BU48" s="231">
        <v>5875.9113576682139</v>
      </c>
      <c r="BV48" s="231">
        <v>0</v>
      </c>
      <c r="BW48" s="231">
        <v>4525.1058466635022</v>
      </c>
      <c r="BX48" s="231">
        <v>0</v>
      </c>
      <c r="BY48" s="231">
        <v>4771.4493494267199</v>
      </c>
      <c r="BZ48" s="231">
        <v>0</v>
      </c>
      <c r="CA48" s="231">
        <v>9378.8087067329416</v>
      </c>
      <c r="CB48" s="414">
        <f t="shared" si="96"/>
        <v>24551.275260491377</v>
      </c>
      <c r="CC48" s="415">
        <f t="shared" si="97"/>
        <v>27474.313973518591</v>
      </c>
      <c r="CD48" s="300">
        <v>26</v>
      </c>
      <c r="CE48" s="414">
        <f t="shared" si="98"/>
        <v>55057.043729689191</v>
      </c>
      <c r="CF48" s="414">
        <f t="shared" si="99"/>
        <v>43598.793722292292</v>
      </c>
      <c r="CG48" s="414">
        <f t="shared" si="100"/>
        <v>24410.871663871501</v>
      </c>
      <c r="CH48" s="414">
        <f t="shared" si="101"/>
        <v>22058.476874072941</v>
      </c>
      <c r="CI48" s="416">
        <f t="shared" si="102"/>
        <v>145125.18598992596</v>
      </c>
      <c r="CJ48" s="414">
        <f t="shared" si="103"/>
        <v>153709.27543588111</v>
      </c>
      <c r="CK48" s="414">
        <f t="shared" si="104"/>
        <v>168055.42409881559</v>
      </c>
      <c r="CL48" s="414">
        <f t="shared" si="105"/>
        <v>151505.6436723097</v>
      </c>
      <c r="CM48" s="414">
        <f t="shared" si="106"/>
        <v>148879.24300884205</v>
      </c>
      <c r="CN48" s="416">
        <f t="shared" si="107"/>
        <v>622149.58621584845</v>
      </c>
      <c r="CO48" s="414">
        <f t="shared" si="108"/>
        <v>208766.31916557031</v>
      </c>
      <c r="CP48" s="414">
        <f t="shared" si="109"/>
        <v>211654.21782110789</v>
      </c>
      <c r="CQ48" s="414">
        <f t="shared" si="110"/>
        <v>175916.51533618121</v>
      </c>
      <c r="CR48" s="414">
        <f t="shared" si="111"/>
        <v>170937.719882915</v>
      </c>
      <c r="CS48" s="416">
        <f t="shared" si="112"/>
        <v>767274.77220577432</v>
      </c>
    </row>
    <row r="49" spans="1:97" ht="15.75" customHeight="1">
      <c r="A49" s="88" t="s">
        <v>214</v>
      </c>
      <c r="B49" s="300">
        <v>27</v>
      </c>
      <c r="C49" s="231">
        <v>0</v>
      </c>
      <c r="D49" s="231">
        <v>50530.647744273418</v>
      </c>
      <c r="E49" s="231">
        <v>25106.283917583238</v>
      </c>
      <c r="F49" s="231">
        <v>284012.15318933467</v>
      </c>
      <c r="G49" s="231">
        <v>16744.86236790417</v>
      </c>
      <c r="H49" s="231">
        <v>288572.66799621086</v>
      </c>
      <c r="I49" s="231">
        <v>0</v>
      </c>
      <c r="J49" s="231">
        <v>97357.109431822595</v>
      </c>
      <c r="K49" s="412">
        <f t="shared" si="86"/>
        <v>762323.72464712895</v>
      </c>
      <c r="L49" s="417">
        <v>0</v>
      </c>
      <c r="M49" s="231">
        <v>5406.7798554195106</v>
      </c>
      <c r="N49" s="231">
        <v>0</v>
      </c>
      <c r="O49" s="231">
        <v>221053.03116547212</v>
      </c>
      <c r="P49" s="231">
        <v>0</v>
      </c>
      <c r="Q49" s="231">
        <v>123282.88037968142</v>
      </c>
      <c r="R49" s="231">
        <v>0</v>
      </c>
      <c r="S49" s="231">
        <v>76450.51144888319</v>
      </c>
      <c r="T49" s="414">
        <f t="shared" si="87"/>
        <v>426193.20284945623</v>
      </c>
      <c r="U49" s="415">
        <f t="shared" si="88"/>
        <v>1188516.9274965851</v>
      </c>
      <c r="V49" s="300">
        <v>27</v>
      </c>
      <c r="W49" s="231">
        <v>0</v>
      </c>
      <c r="X49" s="231">
        <v>193.36169405451119</v>
      </c>
      <c r="Y49" s="231">
        <v>0</v>
      </c>
      <c r="Z49" s="231">
        <v>0</v>
      </c>
      <c r="AA49" s="231">
        <v>0</v>
      </c>
      <c r="AB49" s="231">
        <v>0</v>
      </c>
      <c r="AC49" s="231">
        <v>0</v>
      </c>
      <c r="AD49" s="231">
        <v>0</v>
      </c>
      <c r="AE49" s="412">
        <f t="shared" si="89"/>
        <v>193.36169405451119</v>
      </c>
      <c r="AF49" s="417">
        <v>0</v>
      </c>
      <c r="AG49" s="231">
        <v>14660.071637605162</v>
      </c>
      <c r="AH49" s="231">
        <v>0</v>
      </c>
      <c r="AI49" s="231">
        <v>0</v>
      </c>
      <c r="AJ49" s="231">
        <v>0</v>
      </c>
      <c r="AK49" s="231">
        <v>105.91133826440974</v>
      </c>
      <c r="AL49" s="231">
        <v>0</v>
      </c>
      <c r="AM49" s="231">
        <v>0</v>
      </c>
      <c r="AN49" s="414">
        <f t="shared" si="90"/>
        <v>14765.982975869572</v>
      </c>
      <c r="AO49" s="415">
        <f t="shared" si="91"/>
        <v>14959.344669924083</v>
      </c>
      <c r="AP49" s="300">
        <v>27</v>
      </c>
      <c r="AQ49" s="231">
        <v>14310.367528394714</v>
      </c>
      <c r="AR49" s="231">
        <v>241151.80277683123</v>
      </c>
      <c r="AS49" s="231">
        <v>23199.286721846354</v>
      </c>
      <c r="AT49" s="231">
        <v>38894.113056759998</v>
      </c>
      <c r="AU49" s="231">
        <v>5288.3691962640514</v>
      </c>
      <c r="AV49" s="231">
        <v>40679.724109748822</v>
      </c>
      <c r="AW49" s="231">
        <v>32829.710282271539</v>
      </c>
      <c r="AX49" s="231">
        <v>45563.861953428168</v>
      </c>
      <c r="AY49" s="412">
        <f t="shared" si="92"/>
        <v>441917.23562554497</v>
      </c>
      <c r="AZ49" s="417">
        <v>0</v>
      </c>
      <c r="BA49" s="231">
        <v>434127.6330623423</v>
      </c>
      <c r="BB49" s="231">
        <v>0</v>
      </c>
      <c r="BC49" s="231">
        <v>305527.37800217175</v>
      </c>
      <c r="BD49" s="231">
        <v>0</v>
      </c>
      <c r="BE49" s="231">
        <v>251050.92800057729</v>
      </c>
      <c r="BF49" s="231">
        <v>0</v>
      </c>
      <c r="BG49" s="231">
        <v>415944.93597356224</v>
      </c>
      <c r="BH49" s="414">
        <f t="shared" si="93"/>
        <v>1406650.8750386536</v>
      </c>
      <c r="BI49" s="415">
        <f t="shared" si="94"/>
        <v>1848568.1106641986</v>
      </c>
      <c r="BJ49" s="300">
        <v>27</v>
      </c>
      <c r="BK49" s="231">
        <v>26039.802044237076</v>
      </c>
      <c r="BL49" s="231">
        <v>1153102.9496194341</v>
      </c>
      <c r="BM49" s="231">
        <v>0</v>
      </c>
      <c r="BN49" s="231">
        <v>887627.58218913327</v>
      </c>
      <c r="BO49" s="231">
        <v>8720.0992415539367</v>
      </c>
      <c r="BP49" s="231">
        <v>883443.67883784068</v>
      </c>
      <c r="BQ49" s="231">
        <v>34592.709734218071</v>
      </c>
      <c r="BR49" s="231">
        <v>1109744.8058318384</v>
      </c>
      <c r="BS49" s="412">
        <f t="shared" si="95"/>
        <v>4103271.6274982556</v>
      </c>
      <c r="BT49" s="417">
        <v>0</v>
      </c>
      <c r="BU49" s="231">
        <v>90560.389185916123</v>
      </c>
      <c r="BV49" s="231">
        <v>0</v>
      </c>
      <c r="BW49" s="231">
        <v>178021.90328376627</v>
      </c>
      <c r="BX49" s="231">
        <v>0</v>
      </c>
      <c r="BY49" s="231">
        <v>64087.419883268762</v>
      </c>
      <c r="BZ49" s="231">
        <v>0</v>
      </c>
      <c r="CA49" s="231">
        <v>107216.73359196166</v>
      </c>
      <c r="CB49" s="414">
        <f t="shared" si="96"/>
        <v>439886.44594491285</v>
      </c>
      <c r="CC49" s="415">
        <f t="shared" si="97"/>
        <v>4543158.0734431688</v>
      </c>
      <c r="CD49" s="300">
        <v>27</v>
      </c>
      <c r="CE49" s="414">
        <f t="shared" si="98"/>
        <v>1485328.9314072251</v>
      </c>
      <c r="CF49" s="414">
        <f t="shared" si="99"/>
        <v>1258839.4190746576</v>
      </c>
      <c r="CG49" s="414">
        <f t="shared" si="100"/>
        <v>1243449.4017495224</v>
      </c>
      <c r="CH49" s="414">
        <f t="shared" si="101"/>
        <v>1320088.1972335787</v>
      </c>
      <c r="CI49" s="416">
        <f t="shared" si="102"/>
        <v>5307705.9494649842</v>
      </c>
      <c r="CJ49" s="414">
        <f t="shared" si="103"/>
        <v>544754.87374128308</v>
      </c>
      <c r="CK49" s="414">
        <f t="shared" si="104"/>
        <v>704602.31245141011</v>
      </c>
      <c r="CL49" s="414">
        <f t="shared" si="105"/>
        <v>438527.13960179186</v>
      </c>
      <c r="CM49" s="414">
        <f t="shared" si="106"/>
        <v>599612.18101440708</v>
      </c>
      <c r="CN49" s="416">
        <f t="shared" si="107"/>
        <v>2287496.5068088924</v>
      </c>
      <c r="CO49" s="414">
        <f t="shared" si="108"/>
        <v>2030083.8051485082</v>
      </c>
      <c r="CP49" s="414">
        <f t="shared" si="109"/>
        <v>1963441.7315260677</v>
      </c>
      <c r="CQ49" s="414">
        <f t="shared" si="110"/>
        <v>1681976.5413513144</v>
      </c>
      <c r="CR49" s="414">
        <f t="shared" si="111"/>
        <v>1919700.3782479858</v>
      </c>
      <c r="CS49" s="416">
        <f t="shared" si="112"/>
        <v>7595202.4562738761</v>
      </c>
    </row>
    <row r="50" spans="1:97" ht="15.75" customHeight="1">
      <c r="A50" s="88" t="s">
        <v>215</v>
      </c>
      <c r="B50" s="300">
        <v>28</v>
      </c>
      <c r="C50" s="231">
        <v>10898.910491767729</v>
      </c>
      <c r="D50" s="231">
        <v>17426.815302021183</v>
      </c>
      <c r="E50" s="231">
        <v>54670.783473476265</v>
      </c>
      <c r="F50" s="231">
        <v>87658.762797683157</v>
      </c>
      <c r="G50" s="231">
        <v>32861.206977093148</v>
      </c>
      <c r="H50" s="231">
        <v>82358.807856724117</v>
      </c>
      <c r="I50" s="231">
        <v>26809.167019017834</v>
      </c>
      <c r="J50" s="231">
        <v>28995.192496569689</v>
      </c>
      <c r="K50" s="412">
        <f t="shared" si="86"/>
        <v>341679.64641435316</v>
      </c>
      <c r="L50" s="417">
        <v>0</v>
      </c>
      <c r="M50" s="231">
        <v>0</v>
      </c>
      <c r="N50" s="231">
        <v>0</v>
      </c>
      <c r="O50" s="231">
        <v>0</v>
      </c>
      <c r="P50" s="231">
        <v>0</v>
      </c>
      <c r="Q50" s="231">
        <v>0</v>
      </c>
      <c r="R50" s="231">
        <v>0</v>
      </c>
      <c r="S50" s="231">
        <v>0</v>
      </c>
      <c r="T50" s="414">
        <f t="shared" si="87"/>
        <v>0</v>
      </c>
      <c r="U50" s="415">
        <f t="shared" si="88"/>
        <v>341679.64641435316</v>
      </c>
      <c r="V50" s="300">
        <v>28</v>
      </c>
      <c r="W50" s="231">
        <v>0</v>
      </c>
      <c r="X50" s="231">
        <v>1582.611893331607</v>
      </c>
      <c r="Y50" s="231">
        <v>0</v>
      </c>
      <c r="Z50" s="231">
        <v>0</v>
      </c>
      <c r="AA50" s="231">
        <v>0</v>
      </c>
      <c r="AB50" s="231">
        <v>0</v>
      </c>
      <c r="AC50" s="231">
        <v>0</v>
      </c>
      <c r="AD50" s="231">
        <v>0</v>
      </c>
      <c r="AE50" s="412">
        <f t="shared" si="89"/>
        <v>1582.611893331607</v>
      </c>
      <c r="AF50" s="417">
        <v>0</v>
      </c>
      <c r="AG50" s="231">
        <v>0</v>
      </c>
      <c r="AH50" s="231">
        <v>0</v>
      </c>
      <c r="AI50" s="231">
        <v>0</v>
      </c>
      <c r="AJ50" s="231">
        <v>0</v>
      </c>
      <c r="AK50" s="231">
        <v>0</v>
      </c>
      <c r="AL50" s="231">
        <v>0</v>
      </c>
      <c r="AM50" s="231">
        <v>0</v>
      </c>
      <c r="AN50" s="414">
        <f t="shared" si="90"/>
        <v>0</v>
      </c>
      <c r="AO50" s="415">
        <f t="shared" si="91"/>
        <v>1582.611893331607</v>
      </c>
      <c r="AP50" s="300">
        <v>28</v>
      </c>
      <c r="AQ50" s="231">
        <v>590378.63336724613</v>
      </c>
      <c r="AR50" s="231">
        <v>2462523.9587568212</v>
      </c>
      <c r="AS50" s="231">
        <v>485945.83556286414</v>
      </c>
      <c r="AT50" s="231">
        <v>2352119.0026983372</v>
      </c>
      <c r="AU50" s="231">
        <v>465596.20017616323</v>
      </c>
      <c r="AV50" s="231">
        <v>2495097.0716243316</v>
      </c>
      <c r="AW50" s="231">
        <v>492857.71446990984</v>
      </c>
      <c r="AX50" s="231">
        <v>2578788.499881336</v>
      </c>
      <c r="AY50" s="412">
        <f t="shared" si="92"/>
        <v>11923306.916537011</v>
      </c>
      <c r="AZ50" s="417">
        <v>0</v>
      </c>
      <c r="BA50" s="231">
        <v>0</v>
      </c>
      <c r="BB50" s="231">
        <v>0</v>
      </c>
      <c r="BC50" s="231">
        <v>0</v>
      </c>
      <c r="BD50" s="231">
        <v>0</v>
      </c>
      <c r="BE50" s="231">
        <v>0</v>
      </c>
      <c r="BF50" s="231">
        <v>0</v>
      </c>
      <c r="BG50" s="231">
        <v>0</v>
      </c>
      <c r="BH50" s="414">
        <f t="shared" si="93"/>
        <v>0</v>
      </c>
      <c r="BI50" s="415">
        <f t="shared" si="94"/>
        <v>11923306.916537011</v>
      </c>
      <c r="BJ50" s="300">
        <v>28</v>
      </c>
      <c r="BK50" s="231">
        <v>0</v>
      </c>
      <c r="BL50" s="231">
        <v>4863.2518832921951</v>
      </c>
      <c r="BM50" s="231">
        <v>0</v>
      </c>
      <c r="BN50" s="231">
        <v>59.166450803140343</v>
      </c>
      <c r="BO50" s="231">
        <v>0</v>
      </c>
      <c r="BP50" s="231">
        <v>5274.4588293223505</v>
      </c>
      <c r="BQ50" s="231">
        <v>0</v>
      </c>
      <c r="BR50" s="231">
        <v>20690.067803772388</v>
      </c>
      <c r="BS50" s="412">
        <f t="shared" si="95"/>
        <v>30886.944967190073</v>
      </c>
      <c r="BT50" s="417">
        <v>0</v>
      </c>
      <c r="BU50" s="231">
        <v>0</v>
      </c>
      <c r="BV50" s="231">
        <v>0</v>
      </c>
      <c r="BW50" s="231">
        <v>0</v>
      </c>
      <c r="BX50" s="231">
        <v>0</v>
      </c>
      <c r="BY50" s="231">
        <v>0</v>
      </c>
      <c r="BZ50" s="231">
        <v>0</v>
      </c>
      <c r="CA50" s="231">
        <v>0</v>
      </c>
      <c r="CB50" s="414">
        <f t="shared" si="96"/>
        <v>0</v>
      </c>
      <c r="CC50" s="415">
        <f t="shared" si="97"/>
        <v>30886.944967190073</v>
      </c>
      <c r="CD50" s="300">
        <v>28</v>
      </c>
      <c r="CE50" s="414">
        <f t="shared" si="98"/>
        <v>3087674.1816944801</v>
      </c>
      <c r="CF50" s="414">
        <f t="shared" si="99"/>
        <v>2980453.550983164</v>
      </c>
      <c r="CG50" s="414">
        <f t="shared" si="100"/>
        <v>3081187.7454636344</v>
      </c>
      <c r="CH50" s="414">
        <f t="shared" si="101"/>
        <v>3148140.6416706056</v>
      </c>
      <c r="CI50" s="416">
        <f t="shared" si="102"/>
        <v>12297456.119811885</v>
      </c>
      <c r="CJ50" s="414">
        <f t="shared" si="103"/>
        <v>0</v>
      </c>
      <c r="CK50" s="414">
        <f t="shared" si="104"/>
        <v>0</v>
      </c>
      <c r="CL50" s="414">
        <f t="shared" si="105"/>
        <v>0</v>
      </c>
      <c r="CM50" s="414">
        <f t="shared" si="106"/>
        <v>0</v>
      </c>
      <c r="CN50" s="416">
        <f t="shared" si="107"/>
        <v>0</v>
      </c>
      <c r="CO50" s="414">
        <f t="shared" si="108"/>
        <v>3087674.1816944801</v>
      </c>
      <c r="CP50" s="414">
        <f t="shared" si="109"/>
        <v>2980453.550983164</v>
      </c>
      <c r="CQ50" s="414">
        <f t="shared" si="110"/>
        <v>3081187.7454636344</v>
      </c>
      <c r="CR50" s="414">
        <f t="shared" si="111"/>
        <v>3148140.6416706056</v>
      </c>
      <c r="CS50" s="416">
        <f t="shared" si="112"/>
        <v>12297456.119811885</v>
      </c>
    </row>
    <row r="51" spans="1:97" ht="15.75" customHeight="1">
      <c r="A51" s="88" t="s">
        <v>216</v>
      </c>
      <c r="B51" s="300">
        <v>29</v>
      </c>
      <c r="C51" s="231">
        <v>2069.0001670400361</v>
      </c>
      <c r="D51" s="231">
        <v>4711.1159838737485</v>
      </c>
      <c r="E51" s="231">
        <v>3318.1757223768968</v>
      </c>
      <c r="F51" s="231">
        <v>19107.854934938507</v>
      </c>
      <c r="G51" s="231">
        <v>6432.9575189189709</v>
      </c>
      <c r="H51" s="231">
        <v>611.87391355350098</v>
      </c>
      <c r="I51" s="231">
        <v>2365.5942126101372</v>
      </c>
      <c r="J51" s="231">
        <v>452.14244925432837</v>
      </c>
      <c r="K51" s="412">
        <f t="shared" si="86"/>
        <v>39068.714902566127</v>
      </c>
      <c r="L51" s="417">
        <v>0</v>
      </c>
      <c r="M51" s="231">
        <v>13960.513809283428</v>
      </c>
      <c r="N51" s="231">
        <v>0</v>
      </c>
      <c r="O51" s="231">
        <v>18961.221185608894</v>
      </c>
      <c r="P51" s="231">
        <v>0</v>
      </c>
      <c r="Q51" s="231">
        <v>15961.028742612963</v>
      </c>
      <c r="R51" s="231">
        <v>0</v>
      </c>
      <c r="S51" s="231">
        <v>6752.6222304380462</v>
      </c>
      <c r="T51" s="414">
        <f t="shared" si="87"/>
        <v>55635.385967943337</v>
      </c>
      <c r="U51" s="415">
        <f t="shared" si="88"/>
        <v>94704.100870509457</v>
      </c>
      <c r="V51" s="300">
        <v>29</v>
      </c>
      <c r="W51" s="231">
        <v>0</v>
      </c>
      <c r="X51" s="231">
        <v>145.58703624332148</v>
      </c>
      <c r="Y51" s="231">
        <v>0</v>
      </c>
      <c r="Z51" s="231">
        <v>433.0514798908946</v>
      </c>
      <c r="AA51" s="231">
        <v>0</v>
      </c>
      <c r="AB51" s="231">
        <v>0</v>
      </c>
      <c r="AC51" s="231">
        <v>0</v>
      </c>
      <c r="AD51" s="231">
        <v>0</v>
      </c>
      <c r="AE51" s="412">
        <f t="shared" si="89"/>
        <v>578.63851613421605</v>
      </c>
      <c r="AF51" s="417">
        <v>0</v>
      </c>
      <c r="AG51" s="231">
        <v>1333.1851768660413</v>
      </c>
      <c r="AH51" s="231">
        <v>0</v>
      </c>
      <c r="AI51" s="231">
        <v>3342.0565022279475</v>
      </c>
      <c r="AJ51" s="231">
        <v>0</v>
      </c>
      <c r="AK51" s="231">
        <v>2183.8400323114879</v>
      </c>
      <c r="AL51" s="231">
        <v>0</v>
      </c>
      <c r="AM51" s="231">
        <v>4578.531463870303</v>
      </c>
      <c r="AN51" s="414">
        <f t="shared" si="90"/>
        <v>11437.613175275779</v>
      </c>
      <c r="AO51" s="415">
        <f t="shared" si="91"/>
        <v>12016.251691409996</v>
      </c>
      <c r="AP51" s="300">
        <v>29</v>
      </c>
      <c r="AQ51" s="231">
        <v>22604.26241443551</v>
      </c>
      <c r="AR51" s="231">
        <v>50531.108367677181</v>
      </c>
      <c r="AS51" s="231">
        <v>29087.918257984566</v>
      </c>
      <c r="AT51" s="231">
        <v>37984.771146408209</v>
      </c>
      <c r="AU51" s="231">
        <v>28766.972927219602</v>
      </c>
      <c r="AV51" s="231">
        <v>51247.361032203713</v>
      </c>
      <c r="AW51" s="231">
        <v>24390.545305351989</v>
      </c>
      <c r="AX51" s="231">
        <v>66677.835559635569</v>
      </c>
      <c r="AY51" s="412">
        <f t="shared" si="92"/>
        <v>311290.77501091635</v>
      </c>
      <c r="AZ51" s="417">
        <v>0</v>
      </c>
      <c r="BA51" s="231">
        <v>146542.50414709517</v>
      </c>
      <c r="BB51" s="231">
        <v>0</v>
      </c>
      <c r="BC51" s="231">
        <v>147459.08509750571</v>
      </c>
      <c r="BD51" s="231">
        <v>0</v>
      </c>
      <c r="BE51" s="231">
        <v>138449.70551404325</v>
      </c>
      <c r="BF51" s="231">
        <v>0</v>
      </c>
      <c r="BG51" s="231">
        <v>125648.41104740721</v>
      </c>
      <c r="BH51" s="414">
        <f t="shared" si="93"/>
        <v>558099.70580605126</v>
      </c>
      <c r="BI51" s="415">
        <f t="shared" si="94"/>
        <v>869390.48081696755</v>
      </c>
      <c r="BJ51" s="300">
        <v>29</v>
      </c>
      <c r="BK51" s="231">
        <v>0</v>
      </c>
      <c r="BL51" s="231">
        <v>1047.1972677800454</v>
      </c>
      <c r="BM51" s="231">
        <v>0</v>
      </c>
      <c r="BN51" s="231">
        <v>619.32700528772841</v>
      </c>
      <c r="BO51" s="231">
        <v>0</v>
      </c>
      <c r="BP51" s="231">
        <v>4736.8444074117715</v>
      </c>
      <c r="BQ51" s="231">
        <v>0</v>
      </c>
      <c r="BR51" s="231">
        <v>4857.5306620827932</v>
      </c>
      <c r="BS51" s="412">
        <f t="shared" si="95"/>
        <v>11260.899342562338</v>
      </c>
      <c r="BT51" s="417">
        <v>0</v>
      </c>
      <c r="BU51" s="231">
        <v>11440.039418545019</v>
      </c>
      <c r="BV51" s="231">
        <v>0</v>
      </c>
      <c r="BW51" s="231">
        <v>8615.6673541389937</v>
      </c>
      <c r="BX51" s="231">
        <v>0</v>
      </c>
      <c r="BY51" s="231">
        <v>7400.79234393365</v>
      </c>
      <c r="BZ51" s="231">
        <v>0</v>
      </c>
      <c r="CA51" s="231">
        <v>28219.571606061498</v>
      </c>
      <c r="CB51" s="414">
        <f t="shared" si="96"/>
        <v>55676.070722679156</v>
      </c>
      <c r="CC51" s="415">
        <f t="shared" si="97"/>
        <v>66936.97006524149</v>
      </c>
      <c r="CD51" s="300">
        <v>29</v>
      </c>
      <c r="CE51" s="414">
        <f t="shared" si="98"/>
        <v>81108.271237049848</v>
      </c>
      <c r="CF51" s="414">
        <f t="shared" si="99"/>
        <v>90551.098546886802</v>
      </c>
      <c r="CG51" s="414">
        <f t="shared" si="100"/>
        <v>91796.009799307561</v>
      </c>
      <c r="CH51" s="414">
        <f t="shared" si="101"/>
        <v>98743.648188934822</v>
      </c>
      <c r="CI51" s="416">
        <f t="shared" si="102"/>
        <v>362199.02777217905</v>
      </c>
      <c r="CJ51" s="414">
        <f t="shared" si="103"/>
        <v>173276.24255178968</v>
      </c>
      <c r="CK51" s="414">
        <f t="shared" si="104"/>
        <v>178378.03013948156</v>
      </c>
      <c r="CL51" s="414">
        <f t="shared" si="105"/>
        <v>163995.36663290136</v>
      </c>
      <c r="CM51" s="414">
        <f t="shared" si="106"/>
        <v>165199.13634777706</v>
      </c>
      <c r="CN51" s="416">
        <f t="shared" si="107"/>
        <v>680848.77567194949</v>
      </c>
      <c r="CO51" s="414">
        <f t="shared" si="108"/>
        <v>254384.51378883951</v>
      </c>
      <c r="CP51" s="414">
        <f t="shared" si="109"/>
        <v>268929.12868636835</v>
      </c>
      <c r="CQ51" s="414">
        <f t="shared" si="110"/>
        <v>255791.3764322089</v>
      </c>
      <c r="CR51" s="414">
        <f t="shared" si="111"/>
        <v>263942.78453671187</v>
      </c>
      <c r="CS51" s="416">
        <f t="shared" si="112"/>
        <v>1043047.8034441285</v>
      </c>
    </row>
    <row r="52" spans="1:97" ht="15.75" customHeight="1">
      <c r="A52" s="88" t="s">
        <v>217</v>
      </c>
      <c r="B52" s="300">
        <v>30</v>
      </c>
      <c r="C52" s="231">
        <v>8215.9794359404295</v>
      </c>
      <c r="D52" s="231">
        <v>28245.707497714877</v>
      </c>
      <c r="E52" s="231">
        <v>89020.56406761799</v>
      </c>
      <c r="F52" s="231">
        <v>96697.980256830648</v>
      </c>
      <c r="G52" s="231">
        <v>88041.739448052977</v>
      </c>
      <c r="H52" s="231">
        <v>80816.862916824088</v>
      </c>
      <c r="I52" s="231">
        <v>35743.855821721969</v>
      </c>
      <c r="J52" s="231">
        <v>44205.695999073199</v>
      </c>
      <c r="K52" s="412">
        <f t="shared" si="86"/>
        <v>470988.38544377615</v>
      </c>
      <c r="L52" s="417">
        <v>0</v>
      </c>
      <c r="M52" s="231">
        <v>0</v>
      </c>
      <c r="N52" s="231">
        <v>0</v>
      </c>
      <c r="O52" s="231">
        <v>7760.8847034944802</v>
      </c>
      <c r="P52" s="231">
        <v>0</v>
      </c>
      <c r="Q52" s="231">
        <v>0</v>
      </c>
      <c r="R52" s="231">
        <v>0</v>
      </c>
      <c r="S52" s="231">
        <v>0</v>
      </c>
      <c r="T52" s="414">
        <f t="shared" si="87"/>
        <v>7760.8847034944802</v>
      </c>
      <c r="U52" s="415">
        <f t="shared" si="88"/>
        <v>478749.27014727064</v>
      </c>
      <c r="V52" s="300">
        <v>30</v>
      </c>
      <c r="W52" s="231">
        <v>0</v>
      </c>
      <c r="X52" s="231">
        <v>0</v>
      </c>
      <c r="Y52" s="231">
        <v>0</v>
      </c>
      <c r="Z52" s="231">
        <v>4962.4694633865638</v>
      </c>
      <c r="AA52" s="231">
        <v>0</v>
      </c>
      <c r="AB52" s="231">
        <v>1706.3687168288479</v>
      </c>
      <c r="AC52" s="231">
        <v>0</v>
      </c>
      <c r="AD52" s="231">
        <v>0</v>
      </c>
      <c r="AE52" s="412">
        <f t="shared" si="89"/>
        <v>6668.8381802154117</v>
      </c>
      <c r="AF52" s="417">
        <v>0</v>
      </c>
      <c r="AG52" s="231">
        <v>0</v>
      </c>
      <c r="AH52" s="231">
        <v>0</v>
      </c>
      <c r="AI52" s="231">
        <v>0</v>
      </c>
      <c r="AJ52" s="231">
        <v>0</v>
      </c>
      <c r="AK52" s="231">
        <v>0</v>
      </c>
      <c r="AL52" s="231">
        <v>0</v>
      </c>
      <c r="AM52" s="231">
        <v>0</v>
      </c>
      <c r="AN52" s="414">
        <f t="shared" si="90"/>
        <v>0</v>
      </c>
      <c r="AO52" s="415">
        <f t="shared" si="91"/>
        <v>6668.8381802154117</v>
      </c>
      <c r="AP52" s="300">
        <v>30</v>
      </c>
      <c r="AQ52" s="231">
        <v>748881.80019065714</v>
      </c>
      <c r="AR52" s="231">
        <v>1587830.5762521967</v>
      </c>
      <c r="AS52" s="231">
        <v>740067.16600985196</v>
      </c>
      <c r="AT52" s="231">
        <v>1565451.8826719495</v>
      </c>
      <c r="AU52" s="231">
        <v>781972.38114298473</v>
      </c>
      <c r="AV52" s="231">
        <v>1854863.4733984408</v>
      </c>
      <c r="AW52" s="231">
        <v>1001760.8301801458</v>
      </c>
      <c r="AX52" s="231">
        <v>2083430.8576557788</v>
      </c>
      <c r="AY52" s="412">
        <f t="shared" si="92"/>
        <v>10364258.967502005</v>
      </c>
      <c r="AZ52" s="417">
        <v>0</v>
      </c>
      <c r="BA52" s="231">
        <v>639.85400484874754</v>
      </c>
      <c r="BB52" s="231">
        <v>0</v>
      </c>
      <c r="BC52" s="231">
        <v>83233.572118979166</v>
      </c>
      <c r="BD52" s="231">
        <v>0</v>
      </c>
      <c r="BE52" s="231">
        <v>1567.2269708295094</v>
      </c>
      <c r="BF52" s="231">
        <v>0</v>
      </c>
      <c r="BG52" s="231">
        <v>114.09944639958889</v>
      </c>
      <c r="BH52" s="414">
        <f t="shared" si="93"/>
        <v>85554.752541057009</v>
      </c>
      <c r="BI52" s="415">
        <f t="shared" si="94"/>
        <v>10449813.720043063</v>
      </c>
      <c r="BJ52" s="300">
        <v>30</v>
      </c>
      <c r="BK52" s="231">
        <v>0</v>
      </c>
      <c r="BL52" s="231">
        <v>0</v>
      </c>
      <c r="BM52" s="231">
        <v>0</v>
      </c>
      <c r="BN52" s="231">
        <v>0</v>
      </c>
      <c r="BO52" s="231">
        <v>0</v>
      </c>
      <c r="BP52" s="231">
        <v>0</v>
      </c>
      <c r="BQ52" s="231">
        <v>2773.3812467013408</v>
      </c>
      <c r="BR52" s="231">
        <v>0</v>
      </c>
      <c r="BS52" s="412">
        <f t="shared" si="95"/>
        <v>2773.3812467013408</v>
      </c>
      <c r="BT52" s="417">
        <v>0</v>
      </c>
      <c r="BU52" s="231">
        <v>0</v>
      </c>
      <c r="BV52" s="231">
        <v>0</v>
      </c>
      <c r="BW52" s="231">
        <v>0</v>
      </c>
      <c r="BX52" s="231">
        <v>0</v>
      </c>
      <c r="BY52" s="231">
        <v>0</v>
      </c>
      <c r="BZ52" s="231">
        <v>0</v>
      </c>
      <c r="CA52" s="231">
        <v>0</v>
      </c>
      <c r="CB52" s="414">
        <f t="shared" si="96"/>
        <v>0</v>
      </c>
      <c r="CC52" s="415">
        <f t="shared" si="97"/>
        <v>2773.3812467013408</v>
      </c>
      <c r="CD52" s="300">
        <v>30</v>
      </c>
      <c r="CE52" s="414">
        <f t="shared" si="98"/>
        <v>2373174.0633765091</v>
      </c>
      <c r="CF52" s="414">
        <f t="shared" si="99"/>
        <v>2496200.0624696366</v>
      </c>
      <c r="CG52" s="414">
        <f t="shared" si="100"/>
        <v>2807400.8256231314</v>
      </c>
      <c r="CH52" s="414">
        <f t="shared" si="101"/>
        <v>3167914.6209034207</v>
      </c>
      <c r="CI52" s="416">
        <f t="shared" si="102"/>
        <v>10844689.572372697</v>
      </c>
      <c r="CJ52" s="414">
        <f t="shared" si="103"/>
        <v>639.85400484874754</v>
      </c>
      <c r="CK52" s="414">
        <f t="shared" si="104"/>
        <v>90994.456822473643</v>
      </c>
      <c r="CL52" s="414">
        <f t="shared" si="105"/>
        <v>1567.2269708295094</v>
      </c>
      <c r="CM52" s="414">
        <f t="shared" si="106"/>
        <v>114.09944639958889</v>
      </c>
      <c r="CN52" s="416">
        <f t="shared" si="107"/>
        <v>93315.637244551486</v>
      </c>
      <c r="CO52" s="414">
        <f t="shared" si="108"/>
        <v>2373813.9173813579</v>
      </c>
      <c r="CP52" s="414">
        <f t="shared" si="109"/>
        <v>2587194.5192921101</v>
      </c>
      <c r="CQ52" s="414">
        <f t="shared" si="110"/>
        <v>2808968.0525939609</v>
      </c>
      <c r="CR52" s="414">
        <f t="shared" si="111"/>
        <v>3168028.7203498203</v>
      </c>
      <c r="CS52" s="416">
        <f t="shared" si="112"/>
        <v>10938005.209617252</v>
      </c>
    </row>
    <row r="53" spans="1:97" ht="15.75" customHeight="1">
      <c r="A53" s="88" t="s">
        <v>218</v>
      </c>
      <c r="B53" s="300">
        <v>31</v>
      </c>
      <c r="C53" s="231">
        <v>1031.2356654847115</v>
      </c>
      <c r="D53" s="231">
        <v>3675.774761964266</v>
      </c>
      <c r="E53" s="231">
        <v>18029.047631677786</v>
      </c>
      <c r="F53" s="231">
        <v>9787.5893120421206</v>
      </c>
      <c r="G53" s="231">
        <v>18247.971669093626</v>
      </c>
      <c r="H53" s="231">
        <v>1265.9041356552125</v>
      </c>
      <c r="I53" s="231">
        <v>12324.919289416666</v>
      </c>
      <c r="J53" s="231">
        <v>6353.6644756925116</v>
      </c>
      <c r="K53" s="412">
        <f t="shared" si="86"/>
        <v>70716.106941026897</v>
      </c>
      <c r="L53" s="417">
        <v>0</v>
      </c>
      <c r="M53" s="231">
        <v>0</v>
      </c>
      <c r="N53" s="231">
        <v>0</v>
      </c>
      <c r="O53" s="231">
        <v>0</v>
      </c>
      <c r="P53" s="231">
        <v>0</v>
      </c>
      <c r="Q53" s="231">
        <v>0</v>
      </c>
      <c r="R53" s="231">
        <v>0</v>
      </c>
      <c r="S53" s="231">
        <v>0</v>
      </c>
      <c r="T53" s="414">
        <f t="shared" si="87"/>
        <v>0</v>
      </c>
      <c r="U53" s="415">
        <f t="shared" si="88"/>
        <v>70716.106941026897</v>
      </c>
      <c r="V53" s="300">
        <v>31</v>
      </c>
      <c r="W53" s="231">
        <v>0</v>
      </c>
      <c r="X53" s="231">
        <v>0</v>
      </c>
      <c r="Y53" s="231">
        <v>0</v>
      </c>
      <c r="Z53" s="231">
        <v>0</v>
      </c>
      <c r="AA53" s="231">
        <v>0</v>
      </c>
      <c r="AB53" s="231">
        <v>0</v>
      </c>
      <c r="AC53" s="231">
        <v>0</v>
      </c>
      <c r="AD53" s="231">
        <v>0</v>
      </c>
      <c r="AE53" s="412">
        <f t="shared" si="89"/>
        <v>0</v>
      </c>
      <c r="AF53" s="417">
        <v>0</v>
      </c>
      <c r="AG53" s="231">
        <v>0</v>
      </c>
      <c r="AH53" s="231">
        <v>0</v>
      </c>
      <c r="AI53" s="231">
        <v>0</v>
      </c>
      <c r="AJ53" s="231">
        <v>0</v>
      </c>
      <c r="AK53" s="231">
        <v>0</v>
      </c>
      <c r="AL53" s="231">
        <v>0</v>
      </c>
      <c r="AM53" s="231">
        <v>0</v>
      </c>
      <c r="AN53" s="414">
        <f t="shared" si="90"/>
        <v>0</v>
      </c>
      <c r="AO53" s="415">
        <f t="shared" si="91"/>
        <v>0</v>
      </c>
      <c r="AP53" s="300">
        <v>31</v>
      </c>
      <c r="AQ53" s="231">
        <v>352644.90658508148</v>
      </c>
      <c r="AR53" s="231">
        <v>556789.2938438846</v>
      </c>
      <c r="AS53" s="231">
        <v>321208.43283490581</v>
      </c>
      <c r="AT53" s="231">
        <v>679940.67209127604</v>
      </c>
      <c r="AU53" s="231">
        <v>320098.70247475547</v>
      </c>
      <c r="AV53" s="231">
        <v>749675.71841027366</v>
      </c>
      <c r="AW53" s="231">
        <v>339490.60816209391</v>
      </c>
      <c r="AX53" s="231">
        <v>728455.40350014449</v>
      </c>
      <c r="AY53" s="412">
        <f t="shared" si="92"/>
        <v>4048303.7379024155</v>
      </c>
      <c r="AZ53" s="417">
        <v>0</v>
      </c>
      <c r="BA53" s="231">
        <v>0</v>
      </c>
      <c r="BB53" s="231">
        <v>0</v>
      </c>
      <c r="BC53" s="231">
        <v>2451.5338453726522</v>
      </c>
      <c r="BD53" s="231">
        <v>0</v>
      </c>
      <c r="BE53" s="231">
        <v>3275.8510375894425</v>
      </c>
      <c r="BF53" s="231">
        <v>0</v>
      </c>
      <c r="BG53" s="231">
        <v>10512.84639925902</v>
      </c>
      <c r="BH53" s="414">
        <f t="shared" si="93"/>
        <v>16240.231282221115</v>
      </c>
      <c r="BI53" s="415">
        <f t="shared" si="94"/>
        <v>4064543.9691846366</v>
      </c>
      <c r="BJ53" s="300">
        <v>31</v>
      </c>
      <c r="BK53" s="231">
        <v>0</v>
      </c>
      <c r="BL53" s="231">
        <v>0</v>
      </c>
      <c r="BM53" s="231">
        <v>0</v>
      </c>
      <c r="BN53" s="231">
        <v>0</v>
      </c>
      <c r="BO53" s="231">
        <v>0</v>
      </c>
      <c r="BP53" s="231">
        <v>0</v>
      </c>
      <c r="BQ53" s="231">
        <v>0</v>
      </c>
      <c r="BR53" s="231">
        <v>0</v>
      </c>
      <c r="BS53" s="412">
        <f t="shared" si="95"/>
        <v>0</v>
      </c>
      <c r="BT53" s="417">
        <v>0</v>
      </c>
      <c r="BU53" s="231">
        <v>0</v>
      </c>
      <c r="BV53" s="231">
        <v>0</v>
      </c>
      <c r="BW53" s="231">
        <v>0</v>
      </c>
      <c r="BX53" s="231">
        <v>0</v>
      </c>
      <c r="BY53" s="231">
        <v>0</v>
      </c>
      <c r="BZ53" s="231">
        <v>0</v>
      </c>
      <c r="CA53" s="231">
        <v>0</v>
      </c>
      <c r="CB53" s="414">
        <f t="shared" si="96"/>
        <v>0</v>
      </c>
      <c r="CC53" s="415">
        <f t="shared" si="97"/>
        <v>0</v>
      </c>
      <c r="CD53" s="300">
        <v>31</v>
      </c>
      <c r="CE53" s="414">
        <f t="shared" si="98"/>
        <v>914141.2108564151</v>
      </c>
      <c r="CF53" s="414">
        <f t="shared" si="99"/>
        <v>1028965.7418699018</v>
      </c>
      <c r="CG53" s="414">
        <f t="shared" si="100"/>
        <v>1089288.2966897781</v>
      </c>
      <c r="CH53" s="414">
        <f t="shared" si="101"/>
        <v>1086624.5954273476</v>
      </c>
      <c r="CI53" s="416">
        <f t="shared" si="102"/>
        <v>4119019.8448434426</v>
      </c>
      <c r="CJ53" s="414">
        <f t="shared" si="103"/>
        <v>0</v>
      </c>
      <c r="CK53" s="414">
        <f t="shared" si="104"/>
        <v>2451.5338453726522</v>
      </c>
      <c r="CL53" s="414">
        <f t="shared" si="105"/>
        <v>3275.8510375894425</v>
      </c>
      <c r="CM53" s="414">
        <f t="shared" si="106"/>
        <v>10512.84639925902</v>
      </c>
      <c r="CN53" s="416">
        <f t="shared" si="107"/>
        <v>16240.231282221115</v>
      </c>
      <c r="CO53" s="414">
        <f t="shared" si="108"/>
        <v>914141.2108564151</v>
      </c>
      <c r="CP53" s="414">
        <f t="shared" si="109"/>
        <v>1031417.2757152744</v>
      </c>
      <c r="CQ53" s="414">
        <f t="shared" si="110"/>
        <v>1092564.1477273675</v>
      </c>
      <c r="CR53" s="414">
        <f t="shared" si="111"/>
        <v>1097137.4418266066</v>
      </c>
      <c r="CS53" s="416">
        <f t="shared" si="112"/>
        <v>4135260.0761256637</v>
      </c>
    </row>
    <row r="54" spans="1:97" ht="15.75" customHeight="1">
      <c r="A54" s="88" t="s">
        <v>219</v>
      </c>
      <c r="B54" s="300">
        <v>32</v>
      </c>
      <c r="C54" s="231">
        <v>0</v>
      </c>
      <c r="D54" s="231">
        <v>0</v>
      </c>
      <c r="E54" s="231">
        <v>0</v>
      </c>
      <c r="F54" s="231">
        <v>0</v>
      </c>
      <c r="G54" s="231">
        <v>0</v>
      </c>
      <c r="H54" s="231">
        <v>0</v>
      </c>
      <c r="I54" s="231">
        <v>0</v>
      </c>
      <c r="J54" s="231">
        <v>0</v>
      </c>
      <c r="K54" s="412">
        <f t="shared" si="86"/>
        <v>0</v>
      </c>
      <c r="L54" s="417">
        <v>0</v>
      </c>
      <c r="M54" s="231">
        <v>0</v>
      </c>
      <c r="N54" s="231">
        <v>0</v>
      </c>
      <c r="O54" s="231">
        <v>0</v>
      </c>
      <c r="P54" s="231">
        <v>0</v>
      </c>
      <c r="Q54" s="231">
        <v>0</v>
      </c>
      <c r="R54" s="231">
        <v>0</v>
      </c>
      <c r="S54" s="231">
        <v>0</v>
      </c>
      <c r="T54" s="414">
        <f t="shared" si="87"/>
        <v>0</v>
      </c>
      <c r="U54" s="415">
        <f t="shared" si="88"/>
        <v>0</v>
      </c>
      <c r="V54" s="300">
        <v>32</v>
      </c>
      <c r="W54" s="231">
        <v>0</v>
      </c>
      <c r="X54" s="231">
        <v>0</v>
      </c>
      <c r="Y54" s="231">
        <v>0</v>
      </c>
      <c r="Z54" s="231">
        <v>0</v>
      </c>
      <c r="AA54" s="231">
        <v>0</v>
      </c>
      <c r="AB54" s="231">
        <v>0</v>
      </c>
      <c r="AC54" s="231">
        <v>0</v>
      </c>
      <c r="AD54" s="231">
        <v>0</v>
      </c>
      <c r="AE54" s="412">
        <f t="shared" si="89"/>
        <v>0</v>
      </c>
      <c r="AF54" s="417">
        <v>0</v>
      </c>
      <c r="AG54" s="231">
        <v>0</v>
      </c>
      <c r="AH54" s="231">
        <v>0</v>
      </c>
      <c r="AI54" s="231">
        <v>0</v>
      </c>
      <c r="AJ54" s="231">
        <v>0</v>
      </c>
      <c r="AK54" s="231">
        <v>0</v>
      </c>
      <c r="AL54" s="231">
        <v>0</v>
      </c>
      <c r="AM54" s="231">
        <v>0</v>
      </c>
      <c r="AN54" s="414">
        <f t="shared" si="90"/>
        <v>0</v>
      </c>
      <c r="AO54" s="415">
        <f t="shared" si="91"/>
        <v>0</v>
      </c>
      <c r="AP54" s="300">
        <v>32</v>
      </c>
      <c r="AQ54" s="231">
        <v>0</v>
      </c>
      <c r="AR54" s="231">
        <v>0</v>
      </c>
      <c r="AS54" s="231">
        <v>0</v>
      </c>
      <c r="AT54" s="231">
        <v>0</v>
      </c>
      <c r="AU54" s="231">
        <v>0</v>
      </c>
      <c r="AV54" s="231">
        <v>0</v>
      </c>
      <c r="AW54" s="231">
        <v>0</v>
      </c>
      <c r="AX54" s="231">
        <v>0</v>
      </c>
      <c r="AY54" s="412">
        <f t="shared" si="92"/>
        <v>0</v>
      </c>
      <c r="AZ54" s="417">
        <v>0</v>
      </c>
      <c r="BA54" s="231">
        <v>0</v>
      </c>
      <c r="BB54" s="231">
        <v>0</v>
      </c>
      <c r="BC54" s="231">
        <v>0</v>
      </c>
      <c r="BD54" s="231">
        <v>0</v>
      </c>
      <c r="BE54" s="231">
        <v>0</v>
      </c>
      <c r="BF54" s="231">
        <v>0</v>
      </c>
      <c r="BG54" s="231">
        <v>0</v>
      </c>
      <c r="BH54" s="414">
        <f t="shared" si="93"/>
        <v>0</v>
      </c>
      <c r="BI54" s="415">
        <f t="shared" si="94"/>
        <v>0</v>
      </c>
      <c r="BJ54" s="300">
        <v>32</v>
      </c>
      <c r="BK54" s="231">
        <v>0</v>
      </c>
      <c r="BL54" s="231">
        <v>0</v>
      </c>
      <c r="BM54" s="231">
        <v>0</v>
      </c>
      <c r="BN54" s="231">
        <v>0</v>
      </c>
      <c r="BO54" s="231">
        <v>0</v>
      </c>
      <c r="BP54" s="231">
        <v>0</v>
      </c>
      <c r="BQ54" s="231">
        <v>0</v>
      </c>
      <c r="BR54" s="231">
        <v>0</v>
      </c>
      <c r="BS54" s="412">
        <f t="shared" si="95"/>
        <v>0</v>
      </c>
      <c r="BT54" s="417">
        <v>0</v>
      </c>
      <c r="BU54" s="231">
        <v>0</v>
      </c>
      <c r="BV54" s="231">
        <v>0</v>
      </c>
      <c r="BW54" s="231">
        <v>0</v>
      </c>
      <c r="BX54" s="231">
        <v>0</v>
      </c>
      <c r="BY54" s="231">
        <v>0</v>
      </c>
      <c r="BZ54" s="231">
        <v>0</v>
      </c>
      <c r="CA54" s="231">
        <v>0</v>
      </c>
      <c r="CB54" s="414">
        <f t="shared" si="96"/>
        <v>0</v>
      </c>
      <c r="CC54" s="415">
        <f t="shared" si="97"/>
        <v>0</v>
      </c>
      <c r="CD54" s="300">
        <v>32</v>
      </c>
      <c r="CE54" s="414">
        <f t="shared" si="98"/>
        <v>0</v>
      </c>
      <c r="CF54" s="414">
        <f t="shared" si="99"/>
        <v>0</v>
      </c>
      <c r="CG54" s="414">
        <f t="shared" si="100"/>
        <v>0</v>
      </c>
      <c r="CH54" s="414">
        <f t="shared" si="101"/>
        <v>0</v>
      </c>
      <c r="CI54" s="416">
        <f t="shared" si="102"/>
        <v>0</v>
      </c>
      <c r="CJ54" s="414">
        <f t="shared" si="103"/>
        <v>0</v>
      </c>
      <c r="CK54" s="414">
        <f t="shared" si="104"/>
        <v>0</v>
      </c>
      <c r="CL54" s="414">
        <f t="shared" si="105"/>
        <v>0</v>
      </c>
      <c r="CM54" s="414">
        <f t="shared" si="106"/>
        <v>0</v>
      </c>
      <c r="CN54" s="416">
        <f t="shared" si="107"/>
        <v>0</v>
      </c>
      <c r="CO54" s="414">
        <f t="shared" si="108"/>
        <v>0</v>
      </c>
      <c r="CP54" s="414">
        <f t="shared" si="109"/>
        <v>0</v>
      </c>
      <c r="CQ54" s="414">
        <f t="shared" si="110"/>
        <v>0</v>
      </c>
      <c r="CR54" s="414">
        <f t="shared" si="111"/>
        <v>0</v>
      </c>
      <c r="CS54" s="416">
        <f t="shared" si="112"/>
        <v>0</v>
      </c>
    </row>
    <row r="55" spans="1:97" ht="15.75" customHeight="1">
      <c r="A55" s="88" t="s">
        <v>220</v>
      </c>
      <c r="B55" s="300">
        <v>33</v>
      </c>
      <c r="C55" s="231">
        <v>6117.9900351205988</v>
      </c>
      <c r="D55" s="231">
        <v>79829.941156107365</v>
      </c>
      <c r="E55" s="231">
        <v>6778.2345797022963</v>
      </c>
      <c r="F55" s="231">
        <v>181465.78140325216</v>
      </c>
      <c r="G55" s="231">
        <v>10767.180832513788</v>
      </c>
      <c r="H55" s="231">
        <v>147306.97929108984</v>
      </c>
      <c r="I55" s="231">
        <v>4465.3491931847539</v>
      </c>
      <c r="J55" s="231">
        <v>55388.916328371342</v>
      </c>
      <c r="K55" s="412">
        <f t="shared" si="86"/>
        <v>492120.37281934213</v>
      </c>
      <c r="L55" s="417">
        <v>0</v>
      </c>
      <c r="M55" s="231">
        <v>26894.960751614577</v>
      </c>
      <c r="N55" s="231">
        <v>0</v>
      </c>
      <c r="O55" s="231">
        <v>105735.62038273184</v>
      </c>
      <c r="P55" s="231">
        <v>0</v>
      </c>
      <c r="Q55" s="231">
        <v>62909.788113981667</v>
      </c>
      <c r="R55" s="231">
        <v>0</v>
      </c>
      <c r="S55" s="231">
        <v>86188.606448072387</v>
      </c>
      <c r="T55" s="414">
        <f t="shared" si="87"/>
        <v>281728.97569640051</v>
      </c>
      <c r="U55" s="415">
        <f t="shared" si="88"/>
        <v>773849.34851574269</v>
      </c>
      <c r="V55" s="300">
        <v>33</v>
      </c>
      <c r="W55" s="231">
        <v>0</v>
      </c>
      <c r="X55" s="231">
        <v>29007.488485555223</v>
      </c>
      <c r="Y55" s="231">
        <v>0</v>
      </c>
      <c r="Z55" s="231">
        <v>17104.249626956182</v>
      </c>
      <c r="AA55" s="231">
        <v>0</v>
      </c>
      <c r="AB55" s="231">
        <v>32629.073932255997</v>
      </c>
      <c r="AC55" s="231">
        <v>0</v>
      </c>
      <c r="AD55" s="231">
        <v>24971.82642496319</v>
      </c>
      <c r="AE55" s="412">
        <f t="shared" si="89"/>
        <v>103712.63846973059</v>
      </c>
      <c r="AF55" s="417">
        <v>0</v>
      </c>
      <c r="AG55" s="231">
        <v>10954.880783268112</v>
      </c>
      <c r="AH55" s="231">
        <v>0</v>
      </c>
      <c r="AI55" s="231">
        <v>21251.559081510935</v>
      </c>
      <c r="AJ55" s="231">
        <v>0</v>
      </c>
      <c r="AK55" s="231">
        <v>14652.079450156907</v>
      </c>
      <c r="AL55" s="231">
        <v>0</v>
      </c>
      <c r="AM55" s="231">
        <v>30689.267449323135</v>
      </c>
      <c r="AN55" s="414">
        <f t="shared" si="90"/>
        <v>77547.786764259086</v>
      </c>
      <c r="AO55" s="415">
        <f t="shared" si="91"/>
        <v>181260.42523398966</v>
      </c>
      <c r="AP55" s="300">
        <v>33</v>
      </c>
      <c r="AQ55" s="231">
        <v>110069.32688079614</v>
      </c>
      <c r="AR55" s="231">
        <v>1168500.1580689892</v>
      </c>
      <c r="AS55" s="231">
        <v>118592.31524987658</v>
      </c>
      <c r="AT55" s="231">
        <v>1100007.7488827752</v>
      </c>
      <c r="AU55" s="231">
        <v>88770.717593349211</v>
      </c>
      <c r="AV55" s="231">
        <v>1182158.5229335635</v>
      </c>
      <c r="AW55" s="231">
        <v>91756.575816472483</v>
      </c>
      <c r="AX55" s="231">
        <v>1157935.6813986951</v>
      </c>
      <c r="AY55" s="412">
        <f t="shared" si="92"/>
        <v>5017791.0468245167</v>
      </c>
      <c r="AZ55" s="417">
        <v>0</v>
      </c>
      <c r="BA55" s="231">
        <v>769252.87242383754</v>
      </c>
      <c r="BB55" s="231">
        <v>0</v>
      </c>
      <c r="BC55" s="231">
        <v>746972.24520559527</v>
      </c>
      <c r="BD55" s="231">
        <v>0</v>
      </c>
      <c r="BE55" s="231">
        <v>721940.3203509954</v>
      </c>
      <c r="BF55" s="231">
        <v>0</v>
      </c>
      <c r="BG55" s="231">
        <v>838714.76905220235</v>
      </c>
      <c r="BH55" s="414">
        <f t="shared" si="93"/>
        <v>3076880.2070326307</v>
      </c>
      <c r="BI55" s="415">
        <f t="shared" si="94"/>
        <v>8094671.2538571469</v>
      </c>
      <c r="BJ55" s="300">
        <v>33</v>
      </c>
      <c r="BK55" s="231">
        <v>60.081313533250501</v>
      </c>
      <c r="BL55" s="231">
        <v>11422.559193419032</v>
      </c>
      <c r="BM55" s="231">
        <v>0</v>
      </c>
      <c r="BN55" s="231">
        <v>9227.4989669414299</v>
      </c>
      <c r="BO55" s="231">
        <v>0</v>
      </c>
      <c r="BP55" s="231">
        <v>6060.7489012976994</v>
      </c>
      <c r="BQ55" s="231">
        <v>17.134701111421847</v>
      </c>
      <c r="BR55" s="231">
        <v>4116.7376244233392</v>
      </c>
      <c r="BS55" s="412">
        <f t="shared" si="95"/>
        <v>30904.760700726172</v>
      </c>
      <c r="BT55" s="417">
        <v>0</v>
      </c>
      <c r="BU55" s="231">
        <v>16324.300700860518</v>
      </c>
      <c r="BV55" s="231">
        <v>0</v>
      </c>
      <c r="BW55" s="231">
        <v>13807.993501882635</v>
      </c>
      <c r="BX55" s="231">
        <v>0</v>
      </c>
      <c r="BY55" s="231">
        <v>8704.0800910071102</v>
      </c>
      <c r="BZ55" s="231">
        <v>0</v>
      </c>
      <c r="CA55" s="231">
        <v>18661.376828365923</v>
      </c>
      <c r="CB55" s="414">
        <f t="shared" si="96"/>
        <v>57497.751122116184</v>
      </c>
      <c r="CC55" s="415">
        <f t="shared" si="97"/>
        <v>88402.511822842353</v>
      </c>
      <c r="CD55" s="300">
        <v>33</v>
      </c>
      <c r="CE55" s="414">
        <f t="shared" si="98"/>
        <v>1405007.5451335208</v>
      </c>
      <c r="CF55" s="414">
        <f t="shared" si="99"/>
        <v>1433175.8287095039</v>
      </c>
      <c r="CG55" s="414">
        <f t="shared" si="100"/>
        <v>1467693.22348407</v>
      </c>
      <c r="CH55" s="414">
        <f t="shared" si="101"/>
        <v>1338652.2214872215</v>
      </c>
      <c r="CI55" s="416">
        <f t="shared" si="102"/>
        <v>5644528.8188143158</v>
      </c>
      <c r="CJ55" s="414">
        <f t="shared" si="103"/>
        <v>823427.01465958077</v>
      </c>
      <c r="CK55" s="414">
        <f t="shared" si="104"/>
        <v>887767.4181717207</v>
      </c>
      <c r="CL55" s="414">
        <f t="shared" si="105"/>
        <v>808206.26800614106</v>
      </c>
      <c r="CM55" s="414">
        <f t="shared" si="106"/>
        <v>974254.01977796387</v>
      </c>
      <c r="CN55" s="416">
        <f t="shared" si="107"/>
        <v>3493654.7206154065</v>
      </c>
      <c r="CO55" s="414">
        <f t="shared" si="108"/>
        <v>2228434.5597931012</v>
      </c>
      <c r="CP55" s="414">
        <f t="shared" si="109"/>
        <v>2320943.2468812247</v>
      </c>
      <c r="CQ55" s="414">
        <f t="shared" si="110"/>
        <v>2275899.4914902109</v>
      </c>
      <c r="CR55" s="414">
        <f t="shared" si="111"/>
        <v>2312906.2412651852</v>
      </c>
      <c r="CS55" s="416">
        <f t="shared" si="112"/>
        <v>9138183.5394297224</v>
      </c>
    </row>
    <row r="56" spans="1:97" ht="15.75" customHeight="1">
      <c r="A56" s="88" t="s">
        <v>221</v>
      </c>
      <c r="B56" s="300">
        <v>34</v>
      </c>
      <c r="C56" s="231">
        <v>2529.1929880479684</v>
      </c>
      <c r="D56" s="231">
        <v>26465.097635634436</v>
      </c>
      <c r="E56" s="231">
        <v>6457.0166184510035</v>
      </c>
      <c r="F56" s="231">
        <v>21468.344571192967</v>
      </c>
      <c r="G56" s="231">
        <v>6854.0751486911577</v>
      </c>
      <c r="H56" s="231">
        <v>16831.888215233761</v>
      </c>
      <c r="I56" s="231">
        <v>4149.4045759921191</v>
      </c>
      <c r="J56" s="231">
        <v>15434.312443854336</v>
      </c>
      <c r="K56" s="412">
        <f t="shared" si="86"/>
        <v>100189.33219709774</v>
      </c>
      <c r="L56" s="417">
        <v>0</v>
      </c>
      <c r="M56" s="231">
        <v>11367.281640375813</v>
      </c>
      <c r="N56" s="231">
        <v>0</v>
      </c>
      <c r="O56" s="231">
        <v>49581.032902110252</v>
      </c>
      <c r="P56" s="231">
        <v>0</v>
      </c>
      <c r="Q56" s="231">
        <v>42255.469677929199</v>
      </c>
      <c r="R56" s="231">
        <v>0</v>
      </c>
      <c r="S56" s="231">
        <v>32108.448829168494</v>
      </c>
      <c r="T56" s="414">
        <f t="shared" si="87"/>
        <v>135312.23304958374</v>
      </c>
      <c r="U56" s="415">
        <f t="shared" si="88"/>
        <v>235501.56524668148</v>
      </c>
      <c r="V56" s="300">
        <v>34</v>
      </c>
      <c r="W56" s="231">
        <v>298.54404694672172</v>
      </c>
      <c r="X56" s="231">
        <v>14099.402009474959</v>
      </c>
      <c r="Y56" s="231">
        <v>0</v>
      </c>
      <c r="Z56" s="231">
        <v>544.23305425143212</v>
      </c>
      <c r="AA56" s="231">
        <v>0</v>
      </c>
      <c r="AB56" s="231">
        <v>2473.5041932774889</v>
      </c>
      <c r="AC56" s="231">
        <v>352.66482629816414</v>
      </c>
      <c r="AD56" s="231">
        <v>4613.2040682397328</v>
      </c>
      <c r="AE56" s="412">
        <f t="shared" si="89"/>
        <v>22381.552198488498</v>
      </c>
      <c r="AF56" s="417">
        <v>0</v>
      </c>
      <c r="AG56" s="231">
        <v>4906.2047399031308</v>
      </c>
      <c r="AH56" s="231">
        <v>0</v>
      </c>
      <c r="AI56" s="231">
        <v>13150.106705930746</v>
      </c>
      <c r="AJ56" s="231">
        <v>0</v>
      </c>
      <c r="AK56" s="231">
        <v>10716.799914129653</v>
      </c>
      <c r="AL56" s="231">
        <v>0</v>
      </c>
      <c r="AM56" s="231">
        <v>9384.0131692503437</v>
      </c>
      <c r="AN56" s="414">
        <f t="shared" si="90"/>
        <v>38157.12452921387</v>
      </c>
      <c r="AO56" s="415">
        <f t="shared" si="91"/>
        <v>60538.676727702368</v>
      </c>
      <c r="AP56" s="300">
        <v>34</v>
      </c>
      <c r="AQ56" s="231">
        <v>25523.032652985334</v>
      </c>
      <c r="AR56" s="231">
        <v>228604.69162445789</v>
      </c>
      <c r="AS56" s="231">
        <v>25513.097147719764</v>
      </c>
      <c r="AT56" s="231">
        <v>216306.08487296273</v>
      </c>
      <c r="AU56" s="231">
        <v>33871.804247001768</v>
      </c>
      <c r="AV56" s="231">
        <v>219322.24481943104</v>
      </c>
      <c r="AW56" s="231">
        <v>41718.409798557419</v>
      </c>
      <c r="AX56" s="231">
        <v>226724.41702906819</v>
      </c>
      <c r="AY56" s="412">
        <f t="shared" si="92"/>
        <v>1017583.7821921842</v>
      </c>
      <c r="AZ56" s="417">
        <v>0</v>
      </c>
      <c r="BA56" s="231">
        <v>171759.25088552316</v>
      </c>
      <c r="BB56" s="231">
        <v>0</v>
      </c>
      <c r="BC56" s="231">
        <v>172813.19588212378</v>
      </c>
      <c r="BD56" s="231">
        <v>0</v>
      </c>
      <c r="BE56" s="231">
        <v>164706.56794188253</v>
      </c>
      <c r="BF56" s="231">
        <v>0</v>
      </c>
      <c r="BG56" s="231">
        <v>177759.40361136603</v>
      </c>
      <c r="BH56" s="414">
        <f t="shared" si="93"/>
        <v>687038.41832089552</v>
      </c>
      <c r="BI56" s="415">
        <f t="shared" si="94"/>
        <v>1704622.2005130798</v>
      </c>
      <c r="BJ56" s="300">
        <v>34</v>
      </c>
      <c r="BK56" s="231">
        <v>0</v>
      </c>
      <c r="BL56" s="231">
        <v>5195.1710999066363</v>
      </c>
      <c r="BM56" s="231">
        <v>0</v>
      </c>
      <c r="BN56" s="231">
        <v>4713.8580349991335</v>
      </c>
      <c r="BO56" s="231">
        <v>0</v>
      </c>
      <c r="BP56" s="231">
        <v>3911.0505131609361</v>
      </c>
      <c r="BQ56" s="231">
        <v>304.0152623234975</v>
      </c>
      <c r="BR56" s="231">
        <v>2928.3371775958917</v>
      </c>
      <c r="BS56" s="412">
        <f t="shared" si="95"/>
        <v>17052.432087986093</v>
      </c>
      <c r="BT56" s="417">
        <v>0</v>
      </c>
      <c r="BU56" s="231">
        <v>13860.016377384598</v>
      </c>
      <c r="BV56" s="231">
        <v>0</v>
      </c>
      <c r="BW56" s="231">
        <v>15548.406488756686</v>
      </c>
      <c r="BX56" s="231">
        <v>0</v>
      </c>
      <c r="BY56" s="231">
        <v>17782.438881316128</v>
      </c>
      <c r="BZ56" s="231">
        <v>0</v>
      </c>
      <c r="CA56" s="231">
        <v>21540.346987133948</v>
      </c>
      <c r="CB56" s="414">
        <f t="shared" si="96"/>
        <v>68731.208734591361</v>
      </c>
      <c r="CC56" s="415">
        <f t="shared" si="97"/>
        <v>85783.64082257745</v>
      </c>
      <c r="CD56" s="300">
        <v>34</v>
      </c>
      <c r="CE56" s="414">
        <f t="shared" si="98"/>
        <v>302715.13205745391</v>
      </c>
      <c r="CF56" s="414">
        <f t="shared" si="99"/>
        <v>275002.63429957698</v>
      </c>
      <c r="CG56" s="414">
        <f t="shared" si="100"/>
        <v>283264.56713679613</v>
      </c>
      <c r="CH56" s="414">
        <f t="shared" si="101"/>
        <v>296224.76518192934</v>
      </c>
      <c r="CI56" s="416">
        <f t="shared" si="102"/>
        <v>1157207.0986757565</v>
      </c>
      <c r="CJ56" s="414">
        <f t="shared" si="103"/>
        <v>201892.7536431867</v>
      </c>
      <c r="CK56" s="414">
        <f t="shared" si="104"/>
        <v>251092.74197892146</v>
      </c>
      <c r="CL56" s="414">
        <f t="shared" si="105"/>
        <v>235461.27641525751</v>
      </c>
      <c r="CM56" s="414">
        <f t="shared" si="106"/>
        <v>240792.21259691881</v>
      </c>
      <c r="CN56" s="416">
        <f t="shared" si="107"/>
        <v>929238.98463428451</v>
      </c>
      <c r="CO56" s="414">
        <f t="shared" si="108"/>
        <v>504607.88570064062</v>
      </c>
      <c r="CP56" s="414">
        <f t="shared" si="109"/>
        <v>526095.37627849844</v>
      </c>
      <c r="CQ56" s="414">
        <f t="shared" si="110"/>
        <v>518725.84355205361</v>
      </c>
      <c r="CR56" s="414">
        <f t="shared" si="111"/>
        <v>537016.97777884814</v>
      </c>
      <c r="CS56" s="416">
        <f t="shared" si="112"/>
        <v>2086446.0833100411</v>
      </c>
    </row>
    <row r="57" spans="1:97" ht="15.75" customHeight="1">
      <c r="A57" s="88" t="s">
        <v>222</v>
      </c>
      <c r="B57" s="300">
        <v>35</v>
      </c>
      <c r="C57" s="231">
        <v>3104.2612805314757</v>
      </c>
      <c r="D57" s="231">
        <v>9826.5892213785319</v>
      </c>
      <c r="E57" s="231">
        <v>4832.7225219406537</v>
      </c>
      <c r="F57" s="231">
        <v>9934.4874029834282</v>
      </c>
      <c r="G57" s="231">
        <v>5506.6526181199533</v>
      </c>
      <c r="H57" s="231">
        <v>12200.515571139775</v>
      </c>
      <c r="I57" s="231">
        <v>4085.1075526895415</v>
      </c>
      <c r="J57" s="231">
        <v>5072.4580468673221</v>
      </c>
      <c r="K57" s="412">
        <f t="shared" si="86"/>
        <v>54562.794215650683</v>
      </c>
      <c r="L57" s="417">
        <v>0</v>
      </c>
      <c r="M57" s="231">
        <v>10423.582824988767</v>
      </c>
      <c r="N57" s="231">
        <v>0</v>
      </c>
      <c r="O57" s="231">
        <v>14147.789229935197</v>
      </c>
      <c r="P57" s="231">
        <v>0</v>
      </c>
      <c r="Q57" s="231">
        <v>14080.960949785118</v>
      </c>
      <c r="R57" s="231">
        <v>0</v>
      </c>
      <c r="S57" s="231">
        <v>8469.6016963848506</v>
      </c>
      <c r="T57" s="414">
        <f t="shared" si="87"/>
        <v>47121.934701093938</v>
      </c>
      <c r="U57" s="415">
        <f t="shared" si="88"/>
        <v>101684.72891674461</v>
      </c>
      <c r="V57" s="300">
        <v>35</v>
      </c>
      <c r="W57" s="231">
        <v>228.699519964318</v>
      </c>
      <c r="X57" s="231">
        <v>2485.8343067814731</v>
      </c>
      <c r="Y57" s="231">
        <v>184.84124798289088</v>
      </c>
      <c r="Z57" s="231">
        <v>971.95865087796528</v>
      </c>
      <c r="AA57" s="231">
        <v>236.52685797594955</v>
      </c>
      <c r="AB57" s="231">
        <v>1926.707309346443</v>
      </c>
      <c r="AC57" s="231">
        <v>306.60222514410947</v>
      </c>
      <c r="AD57" s="231">
        <v>1498.9930883061843</v>
      </c>
      <c r="AE57" s="412">
        <f t="shared" si="89"/>
        <v>7840.1632063793331</v>
      </c>
      <c r="AF57" s="417">
        <v>0</v>
      </c>
      <c r="AG57" s="231">
        <v>2761.6822422776263</v>
      </c>
      <c r="AH57" s="231">
        <v>0</v>
      </c>
      <c r="AI57" s="231">
        <v>1180.8137143135332</v>
      </c>
      <c r="AJ57" s="231">
        <v>0</v>
      </c>
      <c r="AK57" s="231">
        <v>2869.0083424351565</v>
      </c>
      <c r="AL57" s="231">
        <v>0</v>
      </c>
      <c r="AM57" s="231">
        <v>2674.569090544353</v>
      </c>
      <c r="AN57" s="414">
        <f t="shared" si="90"/>
        <v>9486.073389570669</v>
      </c>
      <c r="AO57" s="415">
        <f t="shared" si="91"/>
        <v>17326.236595950002</v>
      </c>
      <c r="AP57" s="300">
        <v>35</v>
      </c>
      <c r="AQ57" s="231">
        <v>39990.963426121016</v>
      </c>
      <c r="AR57" s="231">
        <v>158547.70710384857</v>
      </c>
      <c r="AS57" s="231">
        <v>23201.583571691066</v>
      </c>
      <c r="AT57" s="231">
        <v>82984.201957843601</v>
      </c>
      <c r="AU57" s="231">
        <v>43911.58627719077</v>
      </c>
      <c r="AV57" s="231">
        <v>116950.44828297534</v>
      </c>
      <c r="AW57" s="231">
        <v>30848.348126491248</v>
      </c>
      <c r="AX57" s="231">
        <v>102278.35059932152</v>
      </c>
      <c r="AY57" s="412">
        <f t="shared" si="92"/>
        <v>598713.18934548309</v>
      </c>
      <c r="AZ57" s="417">
        <v>0</v>
      </c>
      <c r="BA57" s="231">
        <v>176474.56155939586</v>
      </c>
      <c r="BB57" s="231">
        <v>0</v>
      </c>
      <c r="BC57" s="231">
        <v>160803.83197751275</v>
      </c>
      <c r="BD57" s="231">
        <v>0</v>
      </c>
      <c r="BE57" s="231">
        <v>163232.15998562038</v>
      </c>
      <c r="BF57" s="231">
        <v>0</v>
      </c>
      <c r="BG57" s="231">
        <v>160972.34680428647</v>
      </c>
      <c r="BH57" s="414">
        <f t="shared" si="93"/>
        <v>661482.90032681543</v>
      </c>
      <c r="BI57" s="415">
        <f t="shared" si="94"/>
        <v>1260196.0896722986</v>
      </c>
      <c r="BJ57" s="300">
        <v>35</v>
      </c>
      <c r="BK57" s="231">
        <v>705.92539335892673</v>
      </c>
      <c r="BL57" s="231">
        <v>2795.7237084337225</v>
      </c>
      <c r="BM57" s="231">
        <v>0</v>
      </c>
      <c r="BN57" s="231">
        <v>1266.0858198561125</v>
      </c>
      <c r="BO57" s="231">
        <v>0</v>
      </c>
      <c r="BP57" s="231">
        <v>1959.7621478214448</v>
      </c>
      <c r="BQ57" s="231">
        <v>0</v>
      </c>
      <c r="BR57" s="231">
        <v>2205.192044198508</v>
      </c>
      <c r="BS57" s="412">
        <f t="shared" si="95"/>
        <v>8932.6891136687154</v>
      </c>
      <c r="BT57" s="417">
        <v>0</v>
      </c>
      <c r="BU57" s="231">
        <v>878.6192452332142</v>
      </c>
      <c r="BV57" s="231">
        <v>0</v>
      </c>
      <c r="BW57" s="231">
        <v>886.36217927394512</v>
      </c>
      <c r="BX57" s="231">
        <v>0</v>
      </c>
      <c r="BY57" s="231">
        <v>2749.6306140821475</v>
      </c>
      <c r="BZ57" s="231">
        <v>0</v>
      </c>
      <c r="CA57" s="231">
        <v>3585.7277743364784</v>
      </c>
      <c r="CB57" s="414">
        <f t="shared" si="96"/>
        <v>8100.3398129257848</v>
      </c>
      <c r="CC57" s="415">
        <f t="shared" si="97"/>
        <v>17033.028926594499</v>
      </c>
      <c r="CD57" s="300">
        <v>35</v>
      </c>
      <c r="CE57" s="414">
        <f t="shared" si="98"/>
        <v>217685.70396041803</v>
      </c>
      <c r="CF57" s="414">
        <f t="shared" si="99"/>
        <v>123375.88117317573</v>
      </c>
      <c r="CG57" s="414">
        <f t="shared" si="100"/>
        <v>182692.19906456969</v>
      </c>
      <c r="CH57" s="414">
        <f t="shared" si="101"/>
        <v>146295.05168301845</v>
      </c>
      <c r="CI57" s="416">
        <f t="shared" si="102"/>
        <v>670048.83588118188</v>
      </c>
      <c r="CJ57" s="414">
        <f t="shared" si="103"/>
        <v>190538.44587189547</v>
      </c>
      <c r="CK57" s="414">
        <f t="shared" si="104"/>
        <v>177018.79710103542</v>
      </c>
      <c r="CL57" s="414">
        <f t="shared" si="105"/>
        <v>182931.75989192282</v>
      </c>
      <c r="CM57" s="414">
        <f t="shared" si="106"/>
        <v>175702.24536555214</v>
      </c>
      <c r="CN57" s="416">
        <f t="shared" si="107"/>
        <v>726191.24823040585</v>
      </c>
      <c r="CO57" s="414">
        <f t="shared" si="108"/>
        <v>408224.14983231353</v>
      </c>
      <c r="CP57" s="414">
        <f t="shared" si="109"/>
        <v>300394.67827421112</v>
      </c>
      <c r="CQ57" s="414">
        <f t="shared" si="110"/>
        <v>365623.95895649248</v>
      </c>
      <c r="CR57" s="414">
        <f t="shared" si="111"/>
        <v>321997.29704857059</v>
      </c>
      <c r="CS57" s="416">
        <f t="shared" si="112"/>
        <v>1396240.0841115878</v>
      </c>
    </row>
    <row r="58" spans="1:97" ht="15.75" customHeight="1">
      <c r="A58" s="88" t="s">
        <v>223</v>
      </c>
      <c r="B58" s="300">
        <v>36</v>
      </c>
      <c r="C58" s="231">
        <v>0</v>
      </c>
      <c r="D58" s="231">
        <v>0</v>
      </c>
      <c r="E58" s="231">
        <v>0</v>
      </c>
      <c r="F58" s="231">
        <v>0</v>
      </c>
      <c r="G58" s="231">
        <v>0</v>
      </c>
      <c r="H58" s="231">
        <v>0</v>
      </c>
      <c r="I58" s="231">
        <v>0</v>
      </c>
      <c r="J58" s="231">
        <v>0</v>
      </c>
      <c r="K58" s="412">
        <f t="shared" si="86"/>
        <v>0</v>
      </c>
      <c r="L58" s="417">
        <v>0</v>
      </c>
      <c r="M58" s="231">
        <v>0</v>
      </c>
      <c r="N58" s="231">
        <v>0</v>
      </c>
      <c r="O58" s="231">
        <v>0</v>
      </c>
      <c r="P58" s="231">
        <v>0</v>
      </c>
      <c r="Q58" s="231">
        <v>0</v>
      </c>
      <c r="R58" s="231">
        <v>0</v>
      </c>
      <c r="S58" s="231">
        <v>0</v>
      </c>
      <c r="T58" s="414">
        <f t="shared" si="87"/>
        <v>0</v>
      </c>
      <c r="U58" s="415">
        <f t="shared" si="88"/>
        <v>0</v>
      </c>
      <c r="V58" s="300">
        <v>36</v>
      </c>
      <c r="W58" s="231">
        <v>0</v>
      </c>
      <c r="X58" s="231">
        <v>0</v>
      </c>
      <c r="Y58" s="231">
        <v>0</v>
      </c>
      <c r="Z58" s="231">
        <v>0</v>
      </c>
      <c r="AA58" s="231">
        <v>0</v>
      </c>
      <c r="AB58" s="231">
        <v>0</v>
      </c>
      <c r="AC58" s="231">
        <v>0</v>
      </c>
      <c r="AD58" s="231">
        <v>0</v>
      </c>
      <c r="AE58" s="412">
        <f t="shared" si="89"/>
        <v>0</v>
      </c>
      <c r="AF58" s="417">
        <v>0</v>
      </c>
      <c r="AG58" s="231">
        <v>0</v>
      </c>
      <c r="AH58" s="231">
        <v>0</v>
      </c>
      <c r="AI58" s="231">
        <v>0</v>
      </c>
      <c r="AJ58" s="231">
        <v>0</v>
      </c>
      <c r="AK58" s="231">
        <v>0</v>
      </c>
      <c r="AL58" s="231">
        <v>0</v>
      </c>
      <c r="AM58" s="231">
        <v>0</v>
      </c>
      <c r="AN58" s="414">
        <f t="shared" si="90"/>
        <v>0</v>
      </c>
      <c r="AO58" s="415">
        <f t="shared" si="91"/>
        <v>0</v>
      </c>
      <c r="AP58" s="300">
        <v>36</v>
      </c>
      <c r="AQ58" s="231">
        <v>7050.9126445604006</v>
      </c>
      <c r="AR58" s="231">
        <v>0</v>
      </c>
      <c r="AS58" s="231">
        <v>16678.740640878466</v>
      </c>
      <c r="AT58" s="231">
        <v>0</v>
      </c>
      <c r="AU58" s="231">
        <v>29278.588934060102</v>
      </c>
      <c r="AV58" s="231">
        <v>0</v>
      </c>
      <c r="AW58" s="231">
        <v>29837.369340316294</v>
      </c>
      <c r="AX58" s="231">
        <v>0</v>
      </c>
      <c r="AY58" s="412">
        <f t="shared" si="92"/>
        <v>82845.611559815268</v>
      </c>
      <c r="AZ58" s="417">
        <v>0</v>
      </c>
      <c r="BA58" s="231">
        <v>0</v>
      </c>
      <c r="BB58" s="231">
        <v>0</v>
      </c>
      <c r="BC58" s="231">
        <v>0</v>
      </c>
      <c r="BD58" s="231">
        <v>0</v>
      </c>
      <c r="BE58" s="231">
        <v>0</v>
      </c>
      <c r="BF58" s="231">
        <v>0</v>
      </c>
      <c r="BG58" s="231">
        <v>0</v>
      </c>
      <c r="BH58" s="414">
        <f t="shared" si="93"/>
        <v>0</v>
      </c>
      <c r="BI58" s="415">
        <f t="shared" si="94"/>
        <v>82845.611559815268</v>
      </c>
      <c r="BJ58" s="300">
        <v>36</v>
      </c>
      <c r="BK58" s="231">
        <v>0</v>
      </c>
      <c r="BL58" s="231">
        <v>0</v>
      </c>
      <c r="BM58" s="231">
        <v>0</v>
      </c>
      <c r="BN58" s="231">
        <v>0</v>
      </c>
      <c r="BO58" s="231">
        <v>0</v>
      </c>
      <c r="BP58" s="231">
        <v>0</v>
      </c>
      <c r="BQ58" s="231">
        <v>0</v>
      </c>
      <c r="BR58" s="231">
        <v>0</v>
      </c>
      <c r="BS58" s="412">
        <f t="shared" si="95"/>
        <v>0</v>
      </c>
      <c r="BT58" s="417">
        <v>0</v>
      </c>
      <c r="BU58" s="231">
        <v>0</v>
      </c>
      <c r="BV58" s="231">
        <v>0</v>
      </c>
      <c r="BW58" s="231">
        <v>0</v>
      </c>
      <c r="BX58" s="231">
        <v>0</v>
      </c>
      <c r="BY58" s="231">
        <v>0</v>
      </c>
      <c r="BZ58" s="231">
        <v>0</v>
      </c>
      <c r="CA58" s="231">
        <v>0</v>
      </c>
      <c r="CB58" s="414">
        <f t="shared" si="96"/>
        <v>0</v>
      </c>
      <c r="CC58" s="415">
        <f t="shared" si="97"/>
        <v>0</v>
      </c>
      <c r="CD58" s="300">
        <v>36</v>
      </c>
      <c r="CE58" s="414">
        <f t="shared" si="98"/>
        <v>7050.9126445604006</v>
      </c>
      <c r="CF58" s="414">
        <f t="shared" si="99"/>
        <v>16678.740640878466</v>
      </c>
      <c r="CG58" s="414">
        <f t="shared" si="100"/>
        <v>29278.588934060102</v>
      </c>
      <c r="CH58" s="414">
        <f t="shared" si="101"/>
        <v>29837.369340316294</v>
      </c>
      <c r="CI58" s="416">
        <f t="shared" si="102"/>
        <v>82845.611559815268</v>
      </c>
      <c r="CJ58" s="414">
        <f t="shared" si="103"/>
        <v>0</v>
      </c>
      <c r="CK58" s="414">
        <f t="shared" si="104"/>
        <v>0</v>
      </c>
      <c r="CL58" s="414">
        <f t="shared" si="105"/>
        <v>0</v>
      </c>
      <c r="CM58" s="414">
        <f t="shared" si="106"/>
        <v>0</v>
      </c>
      <c r="CN58" s="416">
        <f t="shared" si="107"/>
        <v>0</v>
      </c>
      <c r="CO58" s="414">
        <f t="shared" si="108"/>
        <v>7050.9126445604006</v>
      </c>
      <c r="CP58" s="414">
        <f t="shared" si="109"/>
        <v>16678.740640878466</v>
      </c>
      <c r="CQ58" s="414">
        <f t="shared" si="110"/>
        <v>29278.588934060102</v>
      </c>
      <c r="CR58" s="414">
        <f t="shared" si="111"/>
        <v>29837.369340316294</v>
      </c>
      <c r="CS58" s="416">
        <f t="shared" si="112"/>
        <v>82845.611559815268</v>
      </c>
    </row>
    <row r="59" spans="1:97" ht="15.75" customHeight="1">
      <c r="A59" s="88" t="s">
        <v>468</v>
      </c>
      <c r="B59" s="300">
        <v>37</v>
      </c>
      <c r="C59" s="231">
        <v>275.37268702739811</v>
      </c>
      <c r="D59" s="231">
        <v>1955.1460778945266</v>
      </c>
      <c r="E59" s="231">
        <v>193.07580572308046</v>
      </c>
      <c r="F59" s="231">
        <v>758.51209391210182</v>
      </c>
      <c r="G59" s="231">
        <v>222.72785496172969</v>
      </c>
      <c r="H59" s="231">
        <v>1565.2200007435554</v>
      </c>
      <c r="I59" s="231">
        <v>907.26985560936282</v>
      </c>
      <c r="J59" s="231">
        <v>1348.7293005032691</v>
      </c>
      <c r="K59" s="412">
        <f t="shared" si="86"/>
        <v>7226.0536763750242</v>
      </c>
      <c r="L59" s="417">
        <v>0</v>
      </c>
      <c r="M59" s="231">
        <v>0</v>
      </c>
      <c r="N59" s="231">
        <v>0</v>
      </c>
      <c r="O59" s="231">
        <v>0</v>
      </c>
      <c r="P59" s="231">
        <v>0</v>
      </c>
      <c r="Q59" s="231">
        <v>51.267315419895205</v>
      </c>
      <c r="R59" s="231">
        <v>0</v>
      </c>
      <c r="S59" s="231">
        <v>158.64167096887371</v>
      </c>
      <c r="T59" s="414">
        <f t="shared" si="87"/>
        <v>209.90898638876891</v>
      </c>
      <c r="U59" s="415">
        <f t="shared" si="88"/>
        <v>7435.9626627637936</v>
      </c>
      <c r="V59" s="300">
        <v>37</v>
      </c>
      <c r="W59" s="231">
        <v>0</v>
      </c>
      <c r="X59" s="231">
        <v>495.67083664931664</v>
      </c>
      <c r="Y59" s="231">
        <v>0</v>
      </c>
      <c r="Z59" s="231">
        <v>0</v>
      </c>
      <c r="AA59" s="231">
        <v>0</v>
      </c>
      <c r="AB59" s="231">
        <v>1225.0032022895132</v>
      </c>
      <c r="AC59" s="231">
        <v>293.25894322726879</v>
      </c>
      <c r="AD59" s="231">
        <v>532.84102631026065</v>
      </c>
      <c r="AE59" s="412">
        <f t="shared" si="89"/>
        <v>2546.7740084763591</v>
      </c>
      <c r="AF59" s="417">
        <v>0</v>
      </c>
      <c r="AG59" s="231">
        <v>0</v>
      </c>
      <c r="AH59" s="231">
        <v>0</v>
      </c>
      <c r="AI59" s="231">
        <v>0</v>
      </c>
      <c r="AJ59" s="231">
        <v>0</v>
      </c>
      <c r="AK59" s="231">
        <v>0</v>
      </c>
      <c r="AL59" s="231">
        <v>0</v>
      </c>
      <c r="AM59" s="231">
        <v>0</v>
      </c>
      <c r="AN59" s="414">
        <f t="shared" si="90"/>
        <v>0</v>
      </c>
      <c r="AO59" s="415">
        <f t="shared" si="91"/>
        <v>2546.7740084763591</v>
      </c>
      <c r="AP59" s="300">
        <v>37</v>
      </c>
      <c r="AQ59" s="231">
        <v>2602.2718924089122</v>
      </c>
      <c r="AR59" s="231">
        <v>11455.503780339763</v>
      </c>
      <c r="AS59" s="231">
        <v>1048.1258024967224</v>
      </c>
      <c r="AT59" s="231">
        <v>3144.1768092504553</v>
      </c>
      <c r="AU59" s="231">
        <v>4162.2267895973237</v>
      </c>
      <c r="AV59" s="231">
        <v>13900.242948293402</v>
      </c>
      <c r="AW59" s="231">
        <v>4393.4902785603881</v>
      </c>
      <c r="AX59" s="231">
        <v>16808.712375423678</v>
      </c>
      <c r="AY59" s="412">
        <f t="shared" si="92"/>
        <v>57514.750676370648</v>
      </c>
      <c r="AZ59" s="417">
        <v>0</v>
      </c>
      <c r="BA59" s="231">
        <v>160.17122326738041</v>
      </c>
      <c r="BB59" s="231">
        <v>0</v>
      </c>
      <c r="BC59" s="231">
        <v>0</v>
      </c>
      <c r="BD59" s="231">
        <v>0</v>
      </c>
      <c r="BE59" s="231">
        <v>95.750886283143885</v>
      </c>
      <c r="BF59" s="231">
        <v>0</v>
      </c>
      <c r="BG59" s="231">
        <v>887.56022370818448</v>
      </c>
      <c r="BH59" s="414">
        <f t="shared" si="93"/>
        <v>1143.4823332587089</v>
      </c>
      <c r="BI59" s="415">
        <f t="shared" si="94"/>
        <v>58658.233009629359</v>
      </c>
      <c r="BJ59" s="300">
        <v>37</v>
      </c>
      <c r="BK59" s="231">
        <v>0</v>
      </c>
      <c r="BL59" s="231">
        <v>0</v>
      </c>
      <c r="BM59" s="231">
        <v>0</v>
      </c>
      <c r="BN59" s="231">
        <v>0</v>
      </c>
      <c r="BO59" s="231">
        <v>0</v>
      </c>
      <c r="BP59" s="231">
        <v>0</v>
      </c>
      <c r="BQ59" s="231">
        <v>0</v>
      </c>
      <c r="BR59" s="231">
        <v>0</v>
      </c>
      <c r="BS59" s="412">
        <f t="shared" si="95"/>
        <v>0</v>
      </c>
      <c r="BT59" s="417">
        <v>0</v>
      </c>
      <c r="BU59" s="231">
        <v>0</v>
      </c>
      <c r="BV59" s="231">
        <v>0</v>
      </c>
      <c r="BW59" s="231">
        <v>0</v>
      </c>
      <c r="BX59" s="231">
        <v>0</v>
      </c>
      <c r="BY59" s="231">
        <v>0</v>
      </c>
      <c r="BZ59" s="231">
        <v>0</v>
      </c>
      <c r="CA59" s="231">
        <v>0</v>
      </c>
      <c r="CB59" s="414">
        <f t="shared" si="96"/>
        <v>0</v>
      </c>
      <c r="CC59" s="415">
        <f t="shared" si="97"/>
        <v>0</v>
      </c>
      <c r="CD59" s="300">
        <v>37</v>
      </c>
      <c r="CE59" s="414">
        <f t="shared" si="98"/>
        <v>16783.965274319919</v>
      </c>
      <c r="CF59" s="414">
        <f t="shared" si="99"/>
        <v>5143.8905113823603</v>
      </c>
      <c r="CG59" s="414">
        <f t="shared" si="100"/>
        <v>21075.420795885526</v>
      </c>
      <c r="CH59" s="414">
        <f t="shared" si="101"/>
        <v>24284.301779634228</v>
      </c>
      <c r="CI59" s="416">
        <f t="shared" si="102"/>
        <v>67287.578361222026</v>
      </c>
      <c r="CJ59" s="414">
        <f t="shared" si="103"/>
        <v>160.17122326738041</v>
      </c>
      <c r="CK59" s="414">
        <f t="shared" si="104"/>
        <v>0</v>
      </c>
      <c r="CL59" s="414">
        <f t="shared" si="105"/>
        <v>147.0182017030391</v>
      </c>
      <c r="CM59" s="414">
        <f t="shared" si="106"/>
        <v>1046.2018946770581</v>
      </c>
      <c r="CN59" s="416">
        <f t="shared" si="107"/>
        <v>1353.3913196474778</v>
      </c>
      <c r="CO59" s="414">
        <f t="shared" si="108"/>
        <v>16944.1364975873</v>
      </c>
      <c r="CP59" s="414">
        <f t="shared" si="109"/>
        <v>5143.8905113823603</v>
      </c>
      <c r="CQ59" s="414">
        <f t="shared" si="110"/>
        <v>21222.438997588564</v>
      </c>
      <c r="CR59" s="414">
        <f t="shared" si="111"/>
        <v>25330.503674311287</v>
      </c>
      <c r="CS59" s="416">
        <f t="shared" si="112"/>
        <v>68640.969680869515</v>
      </c>
    </row>
    <row r="60" spans="1:97" ht="15.75" customHeight="1">
      <c r="A60" s="932" t="s">
        <v>372</v>
      </c>
      <c r="B60" s="933">
        <v>38</v>
      </c>
      <c r="C60" s="420">
        <v>11097.199941404049</v>
      </c>
      <c r="D60" s="420">
        <v>72054.735730644345</v>
      </c>
      <c r="E60" s="420">
        <v>16897.135616754334</v>
      </c>
      <c r="F60" s="420">
        <v>94438.785364873547</v>
      </c>
      <c r="G60" s="420">
        <v>18336.763650853987</v>
      </c>
      <c r="H60" s="420">
        <v>86598.83337630202</v>
      </c>
      <c r="I60" s="420">
        <v>15393.809598273152</v>
      </c>
      <c r="J60" s="420">
        <v>77046.017039357132</v>
      </c>
      <c r="K60" s="412">
        <f>SUM(C60:J60)</f>
        <v>391863.28031846252</v>
      </c>
      <c r="L60" s="421">
        <v>0</v>
      </c>
      <c r="M60" s="420">
        <v>0</v>
      </c>
      <c r="N60" s="420">
        <v>0</v>
      </c>
      <c r="O60" s="420">
        <v>0</v>
      </c>
      <c r="P60" s="420">
        <v>0</v>
      </c>
      <c r="Q60" s="420">
        <v>0</v>
      </c>
      <c r="R60" s="420">
        <v>0</v>
      </c>
      <c r="S60" s="420">
        <v>0</v>
      </c>
      <c r="T60" s="414">
        <f>SUM(L60:S60)</f>
        <v>0</v>
      </c>
      <c r="U60" s="415">
        <f>SUM(T60,K60)</f>
        <v>391863.28031846252</v>
      </c>
      <c r="V60" s="933">
        <v>38</v>
      </c>
      <c r="W60" s="420">
        <v>462.38333089183539</v>
      </c>
      <c r="X60" s="420">
        <v>23987.486281005993</v>
      </c>
      <c r="Y60" s="420">
        <v>462.93522237683112</v>
      </c>
      <c r="Z60" s="420">
        <v>21271.073500767696</v>
      </c>
      <c r="AA60" s="420">
        <v>462.2713525425375</v>
      </c>
      <c r="AB60" s="420">
        <v>21849.324283254566</v>
      </c>
      <c r="AC60" s="420">
        <v>692.72143192229191</v>
      </c>
      <c r="AD60" s="420">
        <v>23475.559637366558</v>
      </c>
      <c r="AE60" s="412">
        <f>SUM(W60:AD60)</f>
        <v>92663.755040128322</v>
      </c>
      <c r="AF60" s="421">
        <v>0</v>
      </c>
      <c r="AG60" s="420">
        <v>0</v>
      </c>
      <c r="AH60" s="420">
        <v>0</v>
      </c>
      <c r="AI60" s="420">
        <v>0</v>
      </c>
      <c r="AJ60" s="420">
        <v>0</v>
      </c>
      <c r="AK60" s="420">
        <v>0</v>
      </c>
      <c r="AL60" s="420">
        <v>0</v>
      </c>
      <c r="AM60" s="420">
        <v>0</v>
      </c>
      <c r="AN60" s="414">
        <f>SUM(AF60:AM60)</f>
        <v>0</v>
      </c>
      <c r="AO60" s="415">
        <f>SUM(AN60,AE60)</f>
        <v>92663.755040128322</v>
      </c>
      <c r="AP60" s="933">
        <v>38</v>
      </c>
      <c r="AQ60" s="420">
        <v>36236.77828105486</v>
      </c>
      <c r="AR60" s="420">
        <v>273728.44805050321</v>
      </c>
      <c r="AS60" s="420">
        <v>34650.729508393924</v>
      </c>
      <c r="AT60" s="420">
        <v>262103.95531804996</v>
      </c>
      <c r="AU60" s="420">
        <v>39678.291093234468</v>
      </c>
      <c r="AV60" s="420">
        <v>275421.4281094257</v>
      </c>
      <c r="AW60" s="420">
        <v>45135.317692522833</v>
      </c>
      <c r="AX60" s="420">
        <v>291586.15460217762</v>
      </c>
      <c r="AY60" s="412">
        <f>SUM(AQ60:AX60)</f>
        <v>1258541.1026553626</v>
      </c>
      <c r="AZ60" s="421">
        <v>0</v>
      </c>
      <c r="BA60" s="420">
        <v>0</v>
      </c>
      <c r="BB60" s="420">
        <v>0</v>
      </c>
      <c r="BC60" s="420">
        <v>0</v>
      </c>
      <c r="BD60" s="420">
        <v>0</v>
      </c>
      <c r="BE60" s="420">
        <v>0</v>
      </c>
      <c r="BF60" s="420">
        <v>0</v>
      </c>
      <c r="BG60" s="420">
        <v>0</v>
      </c>
      <c r="BH60" s="414">
        <f>SUM(AZ60:BG60)</f>
        <v>0</v>
      </c>
      <c r="BI60" s="415">
        <f>SUM(BH60,AY60)</f>
        <v>1258541.1026553626</v>
      </c>
      <c r="BJ60" s="933">
        <v>38</v>
      </c>
      <c r="BK60" s="420">
        <v>231.19166544591769</v>
      </c>
      <c r="BL60" s="420">
        <v>11834.013788719485</v>
      </c>
      <c r="BM60" s="420">
        <v>0</v>
      </c>
      <c r="BN60" s="420">
        <v>11228.296957950875</v>
      </c>
      <c r="BO60" s="420">
        <v>77.04522542375625</v>
      </c>
      <c r="BP60" s="420">
        <v>11741.602532121731</v>
      </c>
      <c r="BQ60" s="420">
        <v>307.87619196546308</v>
      </c>
      <c r="BR60" s="420">
        <v>14170.451197277436</v>
      </c>
      <c r="BS60" s="412">
        <f>SUM(BK60:BR60)</f>
        <v>49590.477558904662</v>
      </c>
      <c r="BT60" s="421">
        <v>0</v>
      </c>
      <c r="BU60" s="420">
        <v>0</v>
      </c>
      <c r="BV60" s="420">
        <v>0</v>
      </c>
      <c r="BW60" s="420">
        <v>0</v>
      </c>
      <c r="BX60" s="420">
        <v>0</v>
      </c>
      <c r="BY60" s="420">
        <v>0</v>
      </c>
      <c r="BZ60" s="420">
        <v>0</v>
      </c>
      <c r="CA60" s="420">
        <v>0</v>
      </c>
      <c r="CB60" s="414">
        <f>SUM(BT60:CA60)</f>
        <v>0</v>
      </c>
      <c r="CC60" s="415">
        <f>SUM(CB60,BS60)</f>
        <v>49590.477558904662</v>
      </c>
      <c r="CD60" s="933">
        <v>38</v>
      </c>
      <c r="CE60" s="414">
        <f t="shared" si="98"/>
        <v>429632.2370696697</v>
      </c>
      <c r="CF60" s="414">
        <f t="shared" si="99"/>
        <v>441052.91148916719</v>
      </c>
      <c r="CG60" s="414">
        <f t="shared" si="100"/>
        <v>454165.55962315877</v>
      </c>
      <c r="CH60" s="414">
        <f t="shared" si="101"/>
        <v>467807.90739086253</v>
      </c>
      <c r="CI60" s="416">
        <f t="shared" si="102"/>
        <v>1792658.6155728579</v>
      </c>
      <c r="CJ60" s="414">
        <f t="shared" si="103"/>
        <v>0</v>
      </c>
      <c r="CK60" s="414">
        <f t="shared" si="104"/>
        <v>0</v>
      </c>
      <c r="CL60" s="414">
        <f t="shared" si="105"/>
        <v>0</v>
      </c>
      <c r="CM60" s="414">
        <f t="shared" si="106"/>
        <v>0</v>
      </c>
      <c r="CN60" s="416">
        <f t="shared" si="107"/>
        <v>0</v>
      </c>
      <c r="CO60" s="414">
        <f t="shared" si="108"/>
        <v>429632.2370696697</v>
      </c>
      <c r="CP60" s="414">
        <f t="shared" si="109"/>
        <v>441052.91148916719</v>
      </c>
      <c r="CQ60" s="414">
        <f t="shared" si="110"/>
        <v>454165.55962315877</v>
      </c>
      <c r="CR60" s="414">
        <f t="shared" si="111"/>
        <v>467807.90739086253</v>
      </c>
      <c r="CS60" s="416">
        <f t="shared" si="112"/>
        <v>1792658.6155728579</v>
      </c>
    </row>
    <row r="61" spans="1:97" ht="15.75" customHeight="1">
      <c r="A61" s="88" t="s">
        <v>226</v>
      </c>
      <c r="B61" s="933">
        <v>39</v>
      </c>
      <c r="C61" s="231">
        <v>3828.45</v>
      </c>
      <c r="D61" s="231">
        <v>24860.33</v>
      </c>
      <c r="E61" s="231">
        <v>6295.69</v>
      </c>
      <c r="F61" s="231">
        <v>34380.54</v>
      </c>
      <c r="G61" s="231">
        <v>6889.57</v>
      </c>
      <c r="H61" s="231">
        <v>32055.1</v>
      </c>
      <c r="I61" s="231">
        <v>4459.29</v>
      </c>
      <c r="J61" s="231">
        <v>21948.02</v>
      </c>
      <c r="K61" s="412">
        <f t="shared" si="86"/>
        <v>134716.99000000002</v>
      </c>
      <c r="L61" s="417">
        <v>0</v>
      </c>
      <c r="M61" s="231">
        <v>128505.8</v>
      </c>
      <c r="N61" s="231">
        <v>0</v>
      </c>
      <c r="O61" s="231">
        <v>180422.42</v>
      </c>
      <c r="P61" s="231">
        <v>0</v>
      </c>
      <c r="Q61" s="231">
        <v>165188.12</v>
      </c>
      <c r="R61" s="231">
        <v>0</v>
      </c>
      <c r="S61" s="231">
        <v>149709.04</v>
      </c>
      <c r="T61" s="414">
        <f t="shared" si="87"/>
        <v>623825.38</v>
      </c>
      <c r="U61" s="415">
        <f t="shared" si="88"/>
        <v>758542.37</v>
      </c>
      <c r="V61" s="933">
        <v>39</v>
      </c>
      <c r="W61" s="231">
        <v>160.47999999999999</v>
      </c>
      <c r="X61" s="231">
        <v>8262.7000000000007</v>
      </c>
      <c r="Y61" s="231">
        <v>165.24</v>
      </c>
      <c r="Z61" s="231">
        <v>7626.45</v>
      </c>
      <c r="AA61" s="231">
        <v>167.7</v>
      </c>
      <c r="AB61" s="231">
        <v>7973.26</v>
      </c>
      <c r="AC61" s="231">
        <v>201.92</v>
      </c>
      <c r="AD61" s="231">
        <v>6644.67</v>
      </c>
      <c r="AE61" s="412">
        <f t="shared" si="89"/>
        <v>31202.42</v>
      </c>
      <c r="AF61" s="417">
        <v>0</v>
      </c>
      <c r="AG61" s="231">
        <v>42878.36</v>
      </c>
      <c r="AH61" s="231">
        <v>0</v>
      </c>
      <c r="AI61" s="231">
        <v>40688.61</v>
      </c>
      <c r="AJ61" s="231">
        <v>0</v>
      </c>
      <c r="AK61" s="231">
        <v>41547.08</v>
      </c>
      <c r="AL61" s="231">
        <v>0</v>
      </c>
      <c r="AM61" s="231">
        <v>45652.32</v>
      </c>
      <c r="AN61" s="414">
        <f t="shared" si="90"/>
        <v>170766.37</v>
      </c>
      <c r="AO61" s="415">
        <f t="shared" si="91"/>
        <v>201968.78999999998</v>
      </c>
      <c r="AP61" s="933">
        <v>39</v>
      </c>
      <c r="AQ61" s="231">
        <v>14665.03</v>
      </c>
      <c r="AR61" s="231">
        <v>99496.55</v>
      </c>
      <c r="AS61" s="231">
        <v>14384.22</v>
      </c>
      <c r="AT61" s="231">
        <v>99319.99</v>
      </c>
      <c r="AU61" s="231">
        <v>16600.71</v>
      </c>
      <c r="AV61" s="231">
        <v>106223.94</v>
      </c>
      <c r="AW61" s="231">
        <v>15503.04</v>
      </c>
      <c r="AX61" s="231">
        <v>88581.7</v>
      </c>
      <c r="AY61" s="412">
        <f t="shared" si="92"/>
        <v>454775.18</v>
      </c>
      <c r="AZ61" s="417">
        <v>0</v>
      </c>
      <c r="BA61" s="231">
        <v>492229.32</v>
      </c>
      <c r="BB61" s="231">
        <v>0</v>
      </c>
      <c r="BC61" s="231">
        <v>502858.75</v>
      </c>
      <c r="BD61" s="231">
        <v>0</v>
      </c>
      <c r="BE61" s="231">
        <v>527617.84000000008</v>
      </c>
      <c r="BF61" s="231">
        <v>0</v>
      </c>
      <c r="BG61" s="231">
        <v>570047.31000000006</v>
      </c>
      <c r="BH61" s="414">
        <f t="shared" si="93"/>
        <v>2092753.2200000002</v>
      </c>
      <c r="BI61" s="415">
        <f t="shared" si="94"/>
        <v>2547528.4000000004</v>
      </c>
      <c r="BJ61" s="933">
        <v>39</v>
      </c>
      <c r="BK61" s="231">
        <v>103.24</v>
      </c>
      <c r="BL61" s="231">
        <v>5104.8</v>
      </c>
      <c r="BM61" s="231">
        <v>0</v>
      </c>
      <c r="BN61" s="231">
        <v>4824.5200000000004</v>
      </c>
      <c r="BO61" s="231">
        <v>35.78</v>
      </c>
      <c r="BP61" s="231">
        <v>5068.2299999999996</v>
      </c>
      <c r="BQ61" s="231">
        <v>123.19</v>
      </c>
      <c r="BR61" s="231">
        <v>5015.83</v>
      </c>
      <c r="BS61" s="412">
        <f t="shared" si="95"/>
        <v>20275.590000000004</v>
      </c>
      <c r="BT61" s="417">
        <v>0</v>
      </c>
      <c r="BU61" s="231">
        <v>21397.79</v>
      </c>
      <c r="BV61" s="231">
        <v>0</v>
      </c>
      <c r="BW61" s="231">
        <v>21771.279999999999</v>
      </c>
      <c r="BX61" s="231">
        <v>0</v>
      </c>
      <c r="BY61" s="231">
        <v>22550.67</v>
      </c>
      <c r="BZ61" s="231">
        <v>0</v>
      </c>
      <c r="CA61" s="231">
        <v>27864.02</v>
      </c>
      <c r="CB61" s="414">
        <f t="shared" si="96"/>
        <v>93583.76</v>
      </c>
      <c r="CC61" s="415">
        <f t="shared" si="97"/>
        <v>113859.35</v>
      </c>
      <c r="CD61" s="933">
        <v>39</v>
      </c>
      <c r="CE61" s="414">
        <f t="shared" si="98"/>
        <v>156481.57999999999</v>
      </c>
      <c r="CF61" s="414">
        <f t="shared" si="99"/>
        <v>166996.65</v>
      </c>
      <c r="CG61" s="414">
        <f t="shared" si="100"/>
        <v>175014.29</v>
      </c>
      <c r="CH61" s="414">
        <f t="shared" si="101"/>
        <v>142477.66</v>
      </c>
      <c r="CI61" s="416">
        <f t="shared" si="102"/>
        <v>640970.18000000005</v>
      </c>
      <c r="CJ61" s="414">
        <f t="shared" si="103"/>
        <v>685011.27</v>
      </c>
      <c r="CK61" s="414">
        <f t="shared" si="104"/>
        <v>745741.06</v>
      </c>
      <c r="CL61" s="414">
        <f t="shared" si="105"/>
        <v>756903.71000000008</v>
      </c>
      <c r="CM61" s="414">
        <f t="shared" si="106"/>
        <v>793272.69000000006</v>
      </c>
      <c r="CN61" s="416">
        <f t="shared" si="107"/>
        <v>2980928.73</v>
      </c>
      <c r="CO61" s="414">
        <f t="shared" si="108"/>
        <v>841492.85000000009</v>
      </c>
      <c r="CP61" s="414">
        <f t="shared" si="109"/>
        <v>912737.71</v>
      </c>
      <c r="CQ61" s="414">
        <f t="shared" si="110"/>
        <v>931918.00000000012</v>
      </c>
      <c r="CR61" s="414">
        <f t="shared" si="111"/>
        <v>935750.35</v>
      </c>
      <c r="CS61" s="416">
        <f t="shared" si="112"/>
        <v>3621898.9100000006</v>
      </c>
    </row>
    <row r="62" spans="1:97" ht="15.75" customHeight="1">
      <c r="A62" s="88" t="s">
        <v>227</v>
      </c>
      <c r="B62" s="933">
        <v>40</v>
      </c>
      <c r="C62" s="231"/>
      <c r="D62" s="231"/>
      <c r="E62" s="231"/>
      <c r="F62" s="231"/>
      <c r="G62" s="231"/>
      <c r="H62" s="231"/>
      <c r="I62" s="231"/>
      <c r="J62" s="231"/>
      <c r="K62" s="412">
        <f t="shared" si="86"/>
        <v>0</v>
      </c>
      <c r="L62" s="417"/>
      <c r="M62" s="231"/>
      <c r="N62" s="231"/>
      <c r="O62" s="231"/>
      <c r="P62" s="231"/>
      <c r="Q62" s="231"/>
      <c r="R62" s="231"/>
      <c r="S62" s="231"/>
      <c r="T62" s="414">
        <f t="shared" si="87"/>
        <v>0</v>
      </c>
      <c r="U62" s="415">
        <f t="shared" si="88"/>
        <v>0</v>
      </c>
      <c r="V62" s="933">
        <v>40</v>
      </c>
      <c r="W62" s="231"/>
      <c r="X62" s="231"/>
      <c r="Y62" s="231"/>
      <c r="Z62" s="231"/>
      <c r="AA62" s="231"/>
      <c r="AB62" s="231"/>
      <c r="AC62" s="231"/>
      <c r="AD62" s="231"/>
      <c r="AE62" s="412">
        <f t="shared" si="89"/>
        <v>0</v>
      </c>
      <c r="AF62" s="417"/>
      <c r="AG62" s="231"/>
      <c r="AH62" s="231"/>
      <c r="AI62" s="231"/>
      <c r="AJ62" s="231"/>
      <c r="AK62" s="231"/>
      <c r="AL62" s="231"/>
      <c r="AM62" s="231"/>
      <c r="AN62" s="414">
        <f t="shared" si="90"/>
        <v>0</v>
      </c>
      <c r="AO62" s="415">
        <f t="shared" si="91"/>
        <v>0</v>
      </c>
      <c r="AP62" s="933">
        <v>40</v>
      </c>
      <c r="AQ62" s="231"/>
      <c r="AR62" s="231"/>
      <c r="AS62" s="231"/>
      <c r="AT62" s="231"/>
      <c r="AU62" s="231"/>
      <c r="AV62" s="231"/>
      <c r="AW62" s="231"/>
      <c r="AX62" s="231"/>
      <c r="AY62" s="412">
        <f t="shared" si="92"/>
        <v>0</v>
      </c>
      <c r="AZ62" s="417"/>
      <c r="BA62" s="231"/>
      <c r="BB62" s="231"/>
      <c r="BC62" s="231"/>
      <c r="BD62" s="231"/>
      <c r="BE62" s="231"/>
      <c r="BF62" s="231"/>
      <c r="BG62" s="231"/>
      <c r="BH62" s="414">
        <f t="shared" si="93"/>
        <v>0</v>
      </c>
      <c r="BI62" s="415">
        <f t="shared" si="94"/>
        <v>0</v>
      </c>
      <c r="BJ62" s="933">
        <v>40</v>
      </c>
      <c r="BK62" s="231"/>
      <c r="BL62" s="231"/>
      <c r="BM62" s="231"/>
      <c r="BN62" s="231"/>
      <c r="BO62" s="231"/>
      <c r="BP62" s="231"/>
      <c r="BQ62" s="231"/>
      <c r="BR62" s="231"/>
      <c r="BS62" s="412">
        <f t="shared" si="95"/>
        <v>0</v>
      </c>
      <c r="BT62" s="417"/>
      <c r="BU62" s="231"/>
      <c r="BV62" s="231"/>
      <c r="BW62" s="231"/>
      <c r="BX62" s="231"/>
      <c r="BY62" s="231"/>
      <c r="BZ62" s="231"/>
      <c r="CA62" s="231"/>
      <c r="CB62" s="414">
        <f t="shared" si="96"/>
        <v>0</v>
      </c>
      <c r="CC62" s="415">
        <f t="shared" si="97"/>
        <v>0</v>
      </c>
      <c r="CD62" s="933">
        <v>40</v>
      </c>
      <c r="CE62" s="414">
        <f t="shared" si="98"/>
        <v>0</v>
      </c>
      <c r="CF62" s="414">
        <f t="shared" si="99"/>
        <v>0</v>
      </c>
      <c r="CG62" s="414">
        <f t="shared" si="100"/>
        <v>0</v>
      </c>
      <c r="CH62" s="414">
        <f t="shared" si="101"/>
        <v>0</v>
      </c>
      <c r="CI62" s="416">
        <f t="shared" si="102"/>
        <v>0</v>
      </c>
      <c r="CJ62" s="414">
        <f t="shared" si="103"/>
        <v>0</v>
      </c>
      <c r="CK62" s="414">
        <f t="shared" si="104"/>
        <v>0</v>
      </c>
      <c r="CL62" s="414">
        <f t="shared" si="105"/>
        <v>0</v>
      </c>
      <c r="CM62" s="414">
        <f t="shared" si="106"/>
        <v>0</v>
      </c>
      <c r="CN62" s="416">
        <f t="shared" si="107"/>
        <v>0</v>
      </c>
      <c r="CO62" s="414">
        <f t="shared" si="108"/>
        <v>0</v>
      </c>
      <c r="CP62" s="414">
        <f t="shared" si="109"/>
        <v>0</v>
      </c>
      <c r="CQ62" s="414">
        <f t="shared" si="110"/>
        <v>0</v>
      </c>
      <c r="CR62" s="414">
        <f t="shared" si="111"/>
        <v>0</v>
      </c>
      <c r="CS62" s="416">
        <f t="shared" si="112"/>
        <v>0</v>
      </c>
    </row>
    <row r="63" spans="1:97" ht="15.75" customHeight="1">
      <c r="A63" s="88" t="s">
        <v>229</v>
      </c>
      <c r="B63" s="933">
        <v>41</v>
      </c>
      <c r="C63" s="231"/>
      <c r="D63" s="231"/>
      <c r="E63" s="231"/>
      <c r="F63" s="231"/>
      <c r="G63" s="231"/>
      <c r="H63" s="231"/>
      <c r="I63" s="231"/>
      <c r="J63" s="231"/>
      <c r="K63" s="412">
        <f t="shared" si="86"/>
        <v>0</v>
      </c>
      <c r="L63" s="417"/>
      <c r="M63" s="231"/>
      <c r="N63" s="231"/>
      <c r="O63" s="231"/>
      <c r="P63" s="231"/>
      <c r="Q63" s="231"/>
      <c r="R63" s="231"/>
      <c r="S63" s="231"/>
      <c r="T63" s="414">
        <f t="shared" si="87"/>
        <v>0</v>
      </c>
      <c r="U63" s="415">
        <f t="shared" si="88"/>
        <v>0</v>
      </c>
      <c r="V63" s="933">
        <v>41</v>
      </c>
      <c r="W63" s="231"/>
      <c r="X63" s="231"/>
      <c r="Y63" s="231"/>
      <c r="Z63" s="231"/>
      <c r="AA63" s="231"/>
      <c r="AB63" s="231"/>
      <c r="AC63" s="231"/>
      <c r="AD63" s="231"/>
      <c r="AE63" s="412">
        <f t="shared" si="89"/>
        <v>0</v>
      </c>
      <c r="AF63" s="417"/>
      <c r="AG63" s="231"/>
      <c r="AH63" s="231"/>
      <c r="AI63" s="231"/>
      <c r="AJ63" s="231"/>
      <c r="AK63" s="231"/>
      <c r="AL63" s="231"/>
      <c r="AM63" s="231"/>
      <c r="AN63" s="414">
        <f t="shared" si="90"/>
        <v>0</v>
      </c>
      <c r="AO63" s="415">
        <f t="shared" si="91"/>
        <v>0</v>
      </c>
      <c r="AP63" s="933">
        <v>41</v>
      </c>
      <c r="AQ63" s="231"/>
      <c r="AR63" s="231"/>
      <c r="AS63" s="231"/>
      <c r="AT63" s="231"/>
      <c r="AU63" s="231"/>
      <c r="AV63" s="231"/>
      <c r="AW63" s="231"/>
      <c r="AX63" s="231"/>
      <c r="AY63" s="412">
        <f t="shared" si="92"/>
        <v>0</v>
      </c>
      <c r="AZ63" s="417"/>
      <c r="BA63" s="231"/>
      <c r="BB63" s="231"/>
      <c r="BC63" s="231"/>
      <c r="BD63" s="231"/>
      <c r="BE63" s="231"/>
      <c r="BF63" s="231"/>
      <c r="BG63" s="231"/>
      <c r="BH63" s="414">
        <f t="shared" si="93"/>
        <v>0</v>
      </c>
      <c r="BI63" s="415">
        <f t="shared" si="94"/>
        <v>0</v>
      </c>
      <c r="BJ63" s="933">
        <v>41</v>
      </c>
      <c r="BK63" s="231"/>
      <c r="BL63" s="231"/>
      <c r="BM63" s="231"/>
      <c r="BN63" s="231"/>
      <c r="BO63" s="231"/>
      <c r="BP63" s="231"/>
      <c r="BQ63" s="231"/>
      <c r="BR63" s="231"/>
      <c r="BS63" s="412">
        <f t="shared" si="95"/>
        <v>0</v>
      </c>
      <c r="BT63" s="417"/>
      <c r="BU63" s="231"/>
      <c r="BV63" s="231"/>
      <c r="BW63" s="231"/>
      <c r="BX63" s="231"/>
      <c r="BY63" s="231"/>
      <c r="BZ63" s="231"/>
      <c r="CA63" s="231"/>
      <c r="CB63" s="414">
        <f t="shared" si="96"/>
        <v>0</v>
      </c>
      <c r="CC63" s="415">
        <f t="shared" si="97"/>
        <v>0</v>
      </c>
      <c r="CD63" s="933">
        <v>41</v>
      </c>
      <c r="CE63" s="414">
        <f t="shared" si="98"/>
        <v>0</v>
      </c>
      <c r="CF63" s="414">
        <f t="shared" si="99"/>
        <v>0</v>
      </c>
      <c r="CG63" s="414">
        <f t="shared" si="100"/>
        <v>0</v>
      </c>
      <c r="CH63" s="414">
        <f t="shared" si="101"/>
        <v>0</v>
      </c>
      <c r="CI63" s="416">
        <f t="shared" si="102"/>
        <v>0</v>
      </c>
      <c r="CJ63" s="414">
        <f t="shared" si="103"/>
        <v>0</v>
      </c>
      <c r="CK63" s="414">
        <f t="shared" si="104"/>
        <v>0</v>
      </c>
      <c r="CL63" s="414">
        <f t="shared" si="105"/>
        <v>0</v>
      </c>
      <c r="CM63" s="414">
        <f t="shared" si="106"/>
        <v>0</v>
      </c>
      <c r="CN63" s="416">
        <f t="shared" si="107"/>
        <v>0</v>
      </c>
      <c r="CO63" s="414">
        <f t="shared" si="108"/>
        <v>0</v>
      </c>
      <c r="CP63" s="414">
        <f t="shared" si="109"/>
        <v>0</v>
      </c>
      <c r="CQ63" s="414">
        <f t="shared" si="110"/>
        <v>0</v>
      </c>
      <c r="CR63" s="414">
        <f t="shared" si="111"/>
        <v>0</v>
      </c>
      <c r="CS63" s="416">
        <f t="shared" si="112"/>
        <v>0</v>
      </c>
    </row>
    <row r="64" spans="1:97" ht="15.75" customHeight="1">
      <c r="A64" s="932" t="s">
        <v>231</v>
      </c>
      <c r="B64" s="933">
        <v>42</v>
      </c>
      <c r="C64" s="231"/>
      <c r="D64" s="231"/>
      <c r="E64" s="231"/>
      <c r="F64" s="231"/>
      <c r="G64" s="231"/>
      <c r="H64" s="231"/>
      <c r="I64" s="231"/>
      <c r="J64" s="231"/>
      <c r="K64" s="412">
        <f t="shared" si="86"/>
        <v>0</v>
      </c>
      <c r="L64" s="417"/>
      <c r="M64" s="231"/>
      <c r="N64" s="231"/>
      <c r="O64" s="231"/>
      <c r="P64" s="231"/>
      <c r="Q64" s="231"/>
      <c r="R64" s="231"/>
      <c r="S64" s="231"/>
      <c r="T64" s="414">
        <f t="shared" si="87"/>
        <v>0</v>
      </c>
      <c r="U64" s="415">
        <f t="shared" si="88"/>
        <v>0</v>
      </c>
      <c r="V64" s="933">
        <v>42</v>
      </c>
      <c r="W64" s="231"/>
      <c r="X64" s="231"/>
      <c r="Y64" s="231"/>
      <c r="Z64" s="231"/>
      <c r="AA64" s="231"/>
      <c r="AB64" s="231"/>
      <c r="AC64" s="231"/>
      <c r="AD64" s="231"/>
      <c r="AE64" s="412">
        <f t="shared" si="89"/>
        <v>0</v>
      </c>
      <c r="AF64" s="417"/>
      <c r="AG64" s="231"/>
      <c r="AH64" s="231"/>
      <c r="AI64" s="231"/>
      <c r="AJ64" s="231"/>
      <c r="AK64" s="231"/>
      <c r="AL64" s="231"/>
      <c r="AM64" s="231"/>
      <c r="AN64" s="414">
        <f t="shared" si="90"/>
        <v>0</v>
      </c>
      <c r="AO64" s="415">
        <f t="shared" si="91"/>
        <v>0</v>
      </c>
      <c r="AP64" s="933">
        <v>42</v>
      </c>
      <c r="AQ64" s="231"/>
      <c r="AR64" s="231"/>
      <c r="AS64" s="231"/>
      <c r="AT64" s="231"/>
      <c r="AU64" s="231"/>
      <c r="AV64" s="231"/>
      <c r="AW64" s="231"/>
      <c r="AX64" s="231"/>
      <c r="AY64" s="412">
        <f t="shared" si="92"/>
        <v>0</v>
      </c>
      <c r="AZ64" s="417"/>
      <c r="BA64" s="231"/>
      <c r="BB64" s="231"/>
      <c r="BC64" s="231"/>
      <c r="BD64" s="231"/>
      <c r="BE64" s="231"/>
      <c r="BF64" s="231"/>
      <c r="BG64" s="231"/>
      <c r="BH64" s="414">
        <f t="shared" si="93"/>
        <v>0</v>
      </c>
      <c r="BI64" s="415">
        <f t="shared" si="94"/>
        <v>0</v>
      </c>
      <c r="BJ64" s="933">
        <v>42</v>
      </c>
      <c r="BK64" s="231"/>
      <c r="BL64" s="231"/>
      <c r="BM64" s="231"/>
      <c r="BN64" s="231"/>
      <c r="BO64" s="231"/>
      <c r="BP64" s="231"/>
      <c r="BQ64" s="231"/>
      <c r="BR64" s="231"/>
      <c r="BS64" s="412">
        <f t="shared" si="95"/>
        <v>0</v>
      </c>
      <c r="BT64" s="417"/>
      <c r="BU64" s="231"/>
      <c r="BV64" s="231"/>
      <c r="BW64" s="231"/>
      <c r="BX64" s="231"/>
      <c r="BY64" s="231"/>
      <c r="BZ64" s="231"/>
      <c r="CA64" s="231"/>
      <c r="CB64" s="414">
        <f t="shared" si="96"/>
        <v>0</v>
      </c>
      <c r="CC64" s="415">
        <f t="shared" si="97"/>
        <v>0</v>
      </c>
      <c r="CD64" s="933">
        <v>42</v>
      </c>
      <c r="CE64" s="414">
        <f t="shared" si="98"/>
        <v>0</v>
      </c>
      <c r="CF64" s="414">
        <f t="shared" si="99"/>
        <v>0</v>
      </c>
      <c r="CG64" s="414">
        <f t="shared" si="100"/>
        <v>0</v>
      </c>
      <c r="CH64" s="414">
        <f t="shared" si="101"/>
        <v>0</v>
      </c>
      <c r="CI64" s="416">
        <f t="shared" si="102"/>
        <v>0</v>
      </c>
      <c r="CJ64" s="414">
        <f t="shared" si="103"/>
        <v>0</v>
      </c>
      <c r="CK64" s="414">
        <f t="shared" si="104"/>
        <v>0</v>
      </c>
      <c r="CL64" s="414">
        <f t="shared" si="105"/>
        <v>0</v>
      </c>
      <c r="CM64" s="414">
        <f t="shared" si="106"/>
        <v>0</v>
      </c>
      <c r="CN64" s="416">
        <f t="shared" si="107"/>
        <v>0</v>
      </c>
      <c r="CO64" s="414">
        <f t="shared" si="108"/>
        <v>0</v>
      </c>
      <c r="CP64" s="414">
        <f t="shared" si="109"/>
        <v>0</v>
      </c>
      <c r="CQ64" s="414">
        <f t="shared" si="110"/>
        <v>0</v>
      </c>
      <c r="CR64" s="414">
        <f t="shared" si="111"/>
        <v>0</v>
      </c>
      <c r="CS64" s="416">
        <f t="shared" si="112"/>
        <v>0</v>
      </c>
    </row>
    <row r="65" spans="1:131" ht="15.75" customHeight="1">
      <c r="A65" s="88"/>
      <c r="B65" s="933"/>
      <c r="C65" s="187" t="s">
        <v>1315</v>
      </c>
      <c r="D65" s="187" t="s">
        <v>1315</v>
      </c>
      <c r="E65" s="187" t="s">
        <v>1315</v>
      </c>
      <c r="F65" s="187" t="s">
        <v>1315</v>
      </c>
      <c r="G65" s="187" t="s">
        <v>1315</v>
      </c>
      <c r="H65" s="187" t="s">
        <v>1315</v>
      </c>
      <c r="I65" s="187" t="s">
        <v>1315</v>
      </c>
      <c r="J65" s="187" t="s">
        <v>1315</v>
      </c>
      <c r="K65" s="378"/>
      <c r="L65" s="379" t="s">
        <v>1315</v>
      </c>
      <c r="M65" s="187" t="s">
        <v>1315</v>
      </c>
      <c r="N65" s="187" t="s">
        <v>1315</v>
      </c>
      <c r="O65" s="187" t="s">
        <v>1315</v>
      </c>
      <c r="P65" s="187" t="s">
        <v>1315</v>
      </c>
      <c r="Q65" s="187" t="s">
        <v>1315</v>
      </c>
      <c r="R65" s="187" t="s">
        <v>1315</v>
      </c>
      <c r="S65" s="187" t="s">
        <v>1315</v>
      </c>
      <c r="T65" s="380"/>
      <c r="U65" s="379" t="s">
        <v>1315</v>
      </c>
      <c r="V65" s="933"/>
      <c r="W65" s="187" t="s">
        <v>1315</v>
      </c>
      <c r="X65" s="187" t="s">
        <v>1315</v>
      </c>
      <c r="Y65" s="187" t="s">
        <v>1315</v>
      </c>
      <c r="Z65" s="187" t="s">
        <v>1315</v>
      </c>
      <c r="AA65" s="187" t="s">
        <v>1315</v>
      </c>
      <c r="AB65" s="187" t="s">
        <v>1315</v>
      </c>
      <c r="AC65" s="187" t="s">
        <v>1315</v>
      </c>
      <c r="AD65" s="187" t="s">
        <v>1315</v>
      </c>
      <c r="AE65" s="378"/>
      <c r="AF65" s="379" t="s">
        <v>1315</v>
      </c>
      <c r="AG65" s="187" t="s">
        <v>1315</v>
      </c>
      <c r="AH65" s="187" t="s">
        <v>1315</v>
      </c>
      <c r="AI65" s="187" t="s">
        <v>1315</v>
      </c>
      <c r="AJ65" s="187" t="s">
        <v>1315</v>
      </c>
      <c r="AK65" s="187" t="s">
        <v>1315</v>
      </c>
      <c r="AL65" s="187" t="s">
        <v>1315</v>
      </c>
      <c r="AM65" s="187" t="s">
        <v>1315</v>
      </c>
      <c r="AN65" s="380"/>
      <c r="AO65" s="379" t="s">
        <v>1315</v>
      </c>
      <c r="AP65" s="933"/>
      <c r="AQ65" s="187" t="s">
        <v>1315</v>
      </c>
      <c r="AR65" s="187" t="s">
        <v>1315</v>
      </c>
      <c r="AS65" s="187" t="s">
        <v>1315</v>
      </c>
      <c r="AT65" s="187" t="s">
        <v>1315</v>
      </c>
      <c r="AU65" s="187" t="s">
        <v>1315</v>
      </c>
      <c r="AV65" s="187" t="s">
        <v>1315</v>
      </c>
      <c r="AW65" s="187" t="s">
        <v>1315</v>
      </c>
      <c r="AX65" s="187" t="s">
        <v>1315</v>
      </c>
      <c r="AY65" s="378"/>
      <c r="AZ65" s="379" t="s">
        <v>1315</v>
      </c>
      <c r="BA65" s="187" t="s">
        <v>1315</v>
      </c>
      <c r="BB65" s="187" t="s">
        <v>1315</v>
      </c>
      <c r="BC65" s="187" t="s">
        <v>1315</v>
      </c>
      <c r="BD65" s="187" t="s">
        <v>1315</v>
      </c>
      <c r="BE65" s="187" t="s">
        <v>1315</v>
      </c>
      <c r="BF65" s="187" t="s">
        <v>1315</v>
      </c>
      <c r="BG65" s="187" t="s">
        <v>1315</v>
      </c>
      <c r="BH65" s="380"/>
      <c r="BI65" s="379" t="s">
        <v>1315</v>
      </c>
      <c r="BJ65" s="933"/>
      <c r="BK65" s="187" t="s">
        <v>1315</v>
      </c>
      <c r="BL65" s="187" t="s">
        <v>1315</v>
      </c>
      <c r="BM65" s="187" t="s">
        <v>1315</v>
      </c>
      <c r="BN65" s="187" t="s">
        <v>1315</v>
      </c>
      <c r="BO65" s="187" t="s">
        <v>1315</v>
      </c>
      <c r="BP65" s="187" t="s">
        <v>1315</v>
      </c>
      <c r="BQ65" s="187" t="s">
        <v>1315</v>
      </c>
      <c r="BR65" s="187" t="s">
        <v>1315</v>
      </c>
      <c r="BS65" s="378"/>
      <c r="BT65" s="379" t="s">
        <v>1315</v>
      </c>
      <c r="BU65" s="187" t="s">
        <v>1315</v>
      </c>
      <c r="BV65" s="187" t="s">
        <v>1315</v>
      </c>
      <c r="BW65" s="187" t="s">
        <v>1315</v>
      </c>
      <c r="BX65" s="187" t="s">
        <v>1315</v>
      </c>
      <c r="BY65" s="187" t="s">
        <v>1315</v>
      </c>
      <c r="BZ65" s="187" t="s">
        <v>1315</v>
      </c>
      <c r="CA65" s="187" t="s">
        <v>1315</v>
      </c>
      <c r="CB65" s="380"/>
      <c r="CC65" s="379" t="s">
        <v>1315</v>
      </c>
      <c r="CD65" s="933"/>
      <c r="CE65" s="380"/>
      <c r="CF65" s="380"/>
      <c r="CG65" s="380"/>
      <c r="CH65" s="380"/>
      <c r="CI65" s="187"/>
      <c r="CJ65" s="380"/>
      <c r="CK65" s="380"/>
      <c r="CL65" s="380"/>
      <c r="CM65" s="380"/>
      <c r="CN65" s="187"/>
      <c r="CO65" s="380"/>
      <c r="CP65" s="380"/>
      <c r="CQ65" s="380"/>
      <c r="CR65" s="380"/>
      <c r="CS65" s="187"/>
    </row>
    <row r="66" spans="1:131" s="14" customFormat="1" ht="15.75" customHeight="1">
      <c r="A66" s="16" t="s">
        <v>233</v>
      </c>
      <c r="B66" s="933">
        <v>43</v>
      </c>
      <c r="C66" s="216">
        <f>SUM(C35:C64)-C44-C46</f>
        <v>108264.98633364416</v>
      </c>
      <c r="D66" s="216">
        <f t="shared" ref="D66:U66" si="118">SUM(D35:D64)-D44-D46</f>
        <v>624266.01537545666</v>
      </c>
      <c r="E66" s="216">
        <f t="shared" si="118"/>
        <v>377604.0176699463</v>
      </c>
      <c r="F66" s="216">
        <f t="shared" si="118"/>
        <v>1099451.0358125023</v>
      </c>
      <c r="G66" s="216">
        <f t="shared" si="118"/>
        <v>369529.73881260882</v>
      </c>
      <c r="H66" s="216">
        <f t="shared" si="118"/>
        <v>1034093.0463472207</v>
      </c>
      <c r="I66" s="216">
        <f t="shared" si="118"/>
        <v>209963.28010004555</v>
      </c>
      <c r="J66" s="216">
        <f t="shared" si="118"/>
        <v>519949.89301895897</v>
      </c>
      <c r="K66" s="221">
        <f t="shared" si="118"/>
        <v>4343122.0134703843</v>
      </c>
      <c r="L66" s="218">
        <f t="shared" si="118"/>
        <v>0</v>
      </c>
      <c r="M66" s="218">
        <f t="shared" si="118"/>
        <v>993677.15502208564</v>
      </c>
      <c r="N66" s="218">
        <f t="shared" si="118"/>
        <v>0</v>
      </c>
      <c r="O66" s="218">
        <f t="shared" si="118"/>
        <v>1951651.036461175</v>
      </c>
      <c r="P66" s="218">
        <f t="shared" si="118"/>
        <v>0</v>
      </c>
      <c r="Q66" s="218">
        <f t="shared" si="118"/>
        <v>1798651.5247523792</v>
      </c>
      <c r="R66" s="218">
        <f t="shared" si="118"/>
        <v>0</v>
      </c>
      <c r="S66" s="218">
        <f t="shared" si="118"/>
        <v>1403553.7646622991</v>
      </c>
      <c r="T66" s="219">
        <f t="shared" si="118"/>
        <v>6147533.4808979379</v>
      </c>
      <c r="U66" s="218">
        <f t="shared" si="118"/>
        <v>10490655.494368324</v>
      </c>
      <c r="V66" s="933">
        <v>43</v>
      </c>
      <c r="W66" s="216">
        <f>SUM(W35:W64)-W44-W46</f>
        <v>6030.5898872227363</v>
      </c>
      <c r="X66" s="216">
        <f t="shared" ref="X66:AO66" si="119">SUM(X35:X64)-X44-X46</f>
        <v>193374.55518860777</v>
      </c>
      <c r="Y66" s="216">
        <f t="shared" si="119"/>
        <v>1512.9568651099385</v>
      </c>
      <c r="Z66" s="216">
        <f t="shared" si="119"/>
        <v>116999.16868789033</v>
      </c>
      <c r="AA66" s="216">
        <f t="shared" si="119"/>
        <v>2426.0575980168419</v>
      </c>
      <c r="AB66" s="216">
        <f t="shared" si="119"/>
        <v>134078.98163186203</v>
      </c>
      <c r="AC66" s="216">
        <f t="shared" si="119"/>
        <v>11975.259803786787</v>
      </c>
      <c r="AD66" s="216">
        <f t="shared" si="119"/>
        <v>111259.84823953432</v>
      </c>
      <c r="AE66" s="221">
        <f t="shared" si="119"/>
        <v>577657.41790203087</v>
      </c>
      <c r="AF66" s="218">
        <f t="shared" si="119"/>
        <v>0</v>
      </c>
      <c r="AG66" s="218">
        <f t="shared" si="119"/>
        <v>449943.1489496936</v>
      </c>
      <c r="AH66" s="218">
        <f t="shared" si="119"/>
        <v>0</v>
      </c>
      <c r="AI66" s="218">
        <f t="shared" si="119"/>
        <v>554872.72814872907</v>
      </c>
      <c r="AJ66" s="218">
        <f t="shared" si="119"/>
        <v>0</v>
      </c>
      <c r="AK66" s="218">
        <f t="shared" si="119"/>
        <v>433807.99221273232</v>
      </c>
      <c r="AL66" s="218">
        <f t="shared" si="119"/>
        <v>0</v>
      </c>
      <c r="AM66" s="218">
        <f t="shared" si="119"/>
        <v>526353.28746609262</v>
      </c>
      <c r="AN66" s="219">
        <f t="shared" si="119"/>
        <v>1964977.1567772476</v>
      </c>
      <c r="AO66" s="218">
        <f t="shared" si="119"/>
        <v>2542634.5746792778</v>
      </c>
      <c r="AP66" s="933">
        <v>43</v>
      </c>
      <c r="AQ66" s="216">
        <f>SUM(AQ35:AQ64)-AQ44-AQ46</f>
        <v>2911621.6535083265</v>
      </c>
      <c r="AR66" s="216">
        <f t="shared" ref="AR66:BI66" si="120">SUM(AR35:AR64)-AR44-AR46</f>
        <v>7978021.611828262</v>
      </c>
      <c r="AS66" s="216">
        <f t="shared" si="120"/>
        <v>2590787.1063839137</v>
      </c>
      <c r="AT66" s="216">
        <f t="shared" si="120"/>
        <v>7377657.1379575431</v>
      </c>
      <c r="AU66" s="216">
        <f t="shared" si="120"/>
        <v>2907646.0306144478</v>
      </c>
      <c r="AV66" s="216">
        <f t="shared" si="120"/>
        <v>8029586.2048537042</v>
      </c>
      <c r="AW66" s="216">
        <f t="shared" si="120"/>
        <v>3588507.4959444548</v>
      </c>
      <c r="AX66" s="216">
        <f t="shared" si="120"/>
        <v>8087965.0937921023</v>
      </c>
      <c r="AY66" s="221">
        <f t="shared" si="120"/>
        <v>43471792.334882759</v>
      </c>
      <c r="AZ66" s="218">
        <f t="shared" si="120"/>
        <v>0</v>
      </c>
      <c r="BA66" s="218">
        <f t="shared" si="120"/>
        <v>9049159.6956297271</v>
      </c>
      <c r="BB66" s="218">
        <f t="shared" si="120"/>
        <v>0</v>
      </c>
      <c r="BC66" s="218">
        <f t="shared" si="120"/>
        <v>9070142.657003982</v>
      </c>
      <c r="BD66" s="218">
        <f t="shared" si="120"/>
        <v>0</v>
      </c>
      <c r="BE66" s="218">
        <f t="shared" si="120"/>
        <v>9590178.8800584469</v>
      </c>
      <c r="BF66" s="218">
        <f t="shared" si="120"/>
        <v>0</v>
      </c>
      <c r="BG66" s="218">
        <f t="shared" si="120"/>
        <v>10423410.660700651</v>
      </c>
      <c r="BH66" s="219">
        <f t="shared" si="120"/>
        <v>38132891.893392801</v>
      </c>
      <c r="BI66" s="218">
        <f t="shared" si="120"/>
        <v>81604684.228275567</v>
      </c>
      <c r="BJ66" s="933">
        <v>43</v>
      </c>
      <c r="BK66" s="216">
        <f>SUM(BK35:BK64)-BK44-BK46</f>
        <v>28151.527818007475</v>
      </c>
      <c r="BL66" s="216">
        <f t="shared" ref="BL66:CR66" si="121">SUM(BL35:BL64)-BL44-BL46</f>
        <v>1236193.779667649</v>
      </c>
      <c r="BM66" s="216">
        <f t="shared" si="121"/>
        <v>0</v>
      </c>
      <c r="BN66" s="216">
        <f t="shared" si="121"/>
        <v>947970.87729878782</v>
      </c>
      <c r="BO66" s="216">
        <f t="shared" si="121"/>
        <v>9065.1910748751343</v>
      </c>
      <c r="BP66" s="216">
        <f t="shared" si="121"/>
        <v>940797.18400667689</v>
      </c>
      <c r="BQ66" s="216">
        <f t="shared" si="121"/>
        <v>41677.952984689589</v>
      </c>
      <c r="BR66" s="216">
        <f t="shared" si="121"/>
        <v>1181451.7538150158</v>
      </c>
      <c r="BS66" s="221">
        <f t="shared" si="121"/>
        <v>4385308.2666656999</v>
      </c>
      <c r="BT66" s="218">
        <f t="shared" si="121"/>
        <v>0</v>
      </c>
      <c r="BU66" s="218">
        <f t="shared" si="121"/>
        <v>548071.65115737729</v>
      </c>
      <c r="BV66" s="218">
        <f t="shared" si="121"/>
        <v>0</v>
      </c>
      <c r="BW66" s="218">
        <f t="shared" si="121"/>
        <v>692926.77069777646</v>
      </c>
      <c r="BX66" s="218">
        <f t="shared" si="121"/>
        <v>0</v>
      </c>
      <c r="BY66" s="218">
        <f t="shared" si="121"/>
        <v>497566.15987650759</v>
      </c>
      <c r="BZ66" s="218">
        <f t="shared" si="121"/>
        <v>0</v>
      </c>
      <c r="CA66" s="218">
        <f t="shared" si="121"/>
        <v>643990.77470806497</v>
      </c>
      <c r="CB66" s="219">
        <f t="shared" si="121"/>
        <v>2382555.356439726</v>
      </c>
      <c r="CC66" s="218">
        <f t="shared" si="121"/>
        <v>6767863.6231054263</v>
      </c>
      <c r="CD66" s="933">
        <v>43</v>
      </c>
      <c r="CE66" s="219">
        <f t="shared" ref="CE66:CH66" si="122">SUM(CE35:CE64)-CE44-CE46</f>
        <v>13085924.719607178</v>
      </c>
      <c r="CF66" s="219">
        <f t="shared" si="122"/>
        <v>12511982.300675692</v>
      </c>
      <c r="CG66" s="219">
        <f t="shared" si="122"/>
        <v>13427222.434939414</v>
      </c>
      <c r="CH66" s="219">
        <f t="shared" si="122"/>
        <v>13752750.577698585</v>
      </c>
      <c r="CI66" s="216">
        <f>SUM(BS66,AY66,AE66,K66)</f>
        <v>52777880.032920867</v>
      </c>
      <c r="CJ66" s="219">
        <f t="shared" ref="CJ66:CM66" si="123">SUM(CJ35:CJ64)-CJ44-CJ46</f>
        <v>11040851.650758887</v>
      </c>
      <c r="CK66" s="219">
        <f t="shared" si="123"/>
        <v>12269593.192311661</v>
      </c>
      <c r="CL66" s="219">
        <f t="shared" si="123"/>
        <v>12320204.556900065</v>
      </c>
      <c r="CM66" s="219">
        <f t="shared" si="123"/>
        <v>12997308.487537108</v>
      </c>
      <c r="CN66" s="216">
        <f>SUM(BX66,BD66,AJ66,P66)</f>
        <v>0</v>
      </c>
      <c r="CO66" s="219">
        <f t="shared" si="121"/>
        <v>24126776.370366059</v>
      </c>
      <c r="CP66" s="219">
        <f t="shared" si="121"/>
        <v>24781575.49298735</v>
      </c>
      <c r="CQ66" s="219">
        <f t="shared" si="121"/>
        <v>25747426.99183948</v>
      </c>
      <c r="CR66" s="219">
        <f t="shared" si="121"/>
        <v>26750059.0652357</v>
      </c>
      <c r="CS66" s="216">
        <f>SUM(CC66,BI66,AO66,U66)</f>
        <v>101405837.92042859</v>
      </c>
      <c r="CT66" s="318"/>
      <c r="CU66" s="318"/>
      <c r="CV66" s="318"/>
      <c r="CW66" s="318"/>
      <c r="CX66" s="318"/>
      <c r="CY66" s="318"/>
      <c r="CZ66" s="318"/>
      <c r="DA66" s="318"/>
      <c r="DB66" s="318"/>
      <c r="DC66" s="318"/>
      <c r="DD66" s="318"/>
      <c r="DE66" s="318"/>
      <c r="DF66" s="318"/>
      <c r="DG66" s="318"/>
      <c r="DH66" s="318"/>
      <c r="DI66" s="318"/>
      <c r="DJ66" s="318"/>
      <c r="DK66" s="318"/>
      <c r="DL66" s="318"/>
      <c r="DM66" s="318"/>
      <c r="DN66" s="318"/>
      <c r="DO66" s="318"/>
      <c r="DP66" s="318"/>
      <c r="DQ66" s="318"/>
      <c r="DR66" s="318"/>
      <c r="DS66" s="318"/>
      <c r="DT66" s="318"/>
      <c r="DU66" s="318"/>
      <c r="DV66" s="318"/>
      <c r="DW66" s="318"/>
      <c r="DX66" s="318"/>
      <c r="DY66" s="318"/>
      <c r="DZ66" s="318"/>
      <c r="EA66" s="318"/>
    </row>
    <row r="67" spans="1:131" ht="15.75" customHeight="1">
      <c r="B67" s="933"/>
      <c r="C67" s="178"/>
      <c r="D67" s="178"/>
      <c r="E67" s="178"/>
      <c r="F67" s="178"/>
      <c r="G67" s="178"/>
      <c r="H67" s="178"/>
      <c r="I67" s="178"/>
      <c r="J67" s="178"/>
      <c r="K67" s="381"/>
      <c r="L67" s="382"/>
      <c r="M67" s="178"/>
      <c r="N67" s="178"/>
      <c r="O67" s="178"/>
      <c r="P67" s="178"/>
      <c r="Q67" s="178"/>
      <c r="R67" s="178"/>
      <c r="S67" s="178"/>
      <c r="T67" s="178"/>
      <c r="U67" s="383"/>
      <c r="V67" s="933"/>
      <c r="W67" s="178"/>
      <c r="X67" s="178"/>
      <c r="Y67" s="178"/>
      <c r="Z67" s="178"/>
      <c r="AA67" s="178"/>
      <c r="AB67" s="178"/>
      <c r="AC67" s="178"/>
      <c r="AD67" s="178"/>
      <c r="AE67" s="381"/>
      <c r="AF67" s="382"/>
      <c r="AG67" s="178"/>
      <c r="AH67" s="178"/>
      <c r="AI67" s="178"/>
      <c r="AJ67" s="178"/>
      <c r="AK67" s="178"/>
      <c r="AL67" s="178"/>
      <c r="AM67" s="178"/>
      <c r="AN67" s="178"/>
      <c r="AO67" s="383"/>
      <c r="AP67" s="933"/>
      <c r="AQ67" s="178"/>
      <c r="AR67" s="178"/>
      <c r="AS67" s="178"/>
      <c r="AT67" s="178"/>
      <c r="AU67" s="178"/>
      <c r="AV67" s="178"/>
      <c r="AW67" s="178"/>
      <c r="AX67" s="178"/>
      <c r="AY67" s="381"/>
      <c r="AZ67" s="382"/>
      <c r="BA67" s="178"/>
      <c r="BB67" s="178"/>
      <c r="BC67" s="178"/>
      <c r="BD67" s="178"/>
      <c r="BE67" s="178"/>
      <c r="BF67" s="178"/>
      <c r="BG67" s="178"/>
      <c r="BH67" s="178"/>
      <c r="BI67" s="383"/>
      <c r="BJ67" s="933"/>
      <c r="BK67" s="178"/>
      <c r="BL67" s="178"/>
      <c r="BM67" s="178"/>
      <c r="BN67" s="178"/>
      <c r="BO67" s="178"/>
      <c r="BP67" s="178"/>
      <c r="BQ67" s="178"/>
      <c r="BR67" s="178"/>
      <c r="BS67" s="381"/>
      <c r="BT67" s="382"/>
      <c r="BU67" s="178"/>
      <c r="BV67" s="178"/>
      <c r="BW67" s="178"/>
      <c r="BX67" s="178"/>
      <c r="BY67" s="178"/>
      <c r="BZ67" s="178"/>
      <c r="CA67" s="178"/>
      <c r="CB67" s="178"/>
      <c r="CC67" s="383"/>
      <c r="CD67" s="933"/>
      <c r="CE67" s="178"/>
      <c r="CF67" s="178"/>
      <c r="CG67" s="178"/>
      <c r="CH67" s="178"/>
      <c r="CI67" s="419"/>
      <c r="CJ67" s="178"/>
      <c r="CK67" s="178"/>
      <c r="CL67" s="178"/>
      <c r="CM67" s="178"/>
      <c r="CN67" s="419"/>
      <c r="CO67" s="178"/>
      <c r="CP67" s="178"/>
      <c r="CQ67" s="178"/>
      <c r="CR67" s="178"/>
      <c r="CS67" s="419"/>
    </row>
    <row r="68" spans="1:131" ht="15.75" customHeight="1">
      <c r="A68" s="16" t="s">
        <v>235</v>
      </c>
      <c r="B68" s="933"/>
      <c r="C68" s="187" t="s">
        <v>1315</v>
      </c>
      <c r="D68" s="187" t="s">
        <v>1315</v>
      </c>
      <c r="E68" s="187" t="s">
        <v>1315</v>
      </c>
      <c r="F68" s="187" t="s">
        <v>1315</v>
      </c>
      <c r="G68" s="187" t="s">
        <v>1315</v>
      </c>
      <c r="H68" s="187" t="s">
        <v>1315</v>
      </c>
      <c r="I68" s="187" t="s">
        <v>1315</v>
      </c>
      <c r="J68" s="187" t="s">
        <v>1315</v>
      </c>
      <c r="K68" s="378"/>
      <c r="L68" s="379" t="s">
        <v>1315</v>
      </c>
      <c r="M68" s="187" t="s">
        <v>1315</v>
      </c>
      <c r="N68" s="187" t="s">
        <v>1315</v>
      </c>
      <c r="O68" s="187" t="s">
        <v>1315</v>
      </c>
      <c r="P68" s="187" t="s">
        <v>1315</v>
      </c>
      <c r="Q68" s="187" t="s">
        <v>1315</v>
      </c>
      <c r="R68" s="187" t="s">
        <v>1315</v>
      </c>
      <c r="S68" s="187" t="s">
        <v>1315</v>
      </c>
      <c r="T68" s="380"/>
      <c r="U68" s="379" t="s">
        <v>1315</v>
      </c>
      <c r="V68" s="933"/>
      <c r="W68" s="187" t="s">
        <v>1315</v>
      </c>
      <c r="X68" s="187" t="s">
        <v>1315</v>
      </c>
      <c r="Y68" s="187" t="s">
        <v>1315</v>
      </c>
      <c r="Z68" s="187" t="s">
        <v>1315</v>
      </c>
      <c r="AA68" s="187" t="s">
        <v>1315</v>
      </c>
      <c r="AB68" s="187" t="s">
        <v>1315</v>
      </c>
      <c r="AC68" s="187" t="s">
        <v>1315</v>
      </c>
      <c r="AD68" s="187" t="s">
        <v>1315</v>
      </c>
      <c r="AE68" s="378"/>
      <c r="AF68" s="379" t="s">
        <v>1315</v>
      </c>
      <c r="AG68" s="187" t="s">
        <v>1315</v>
      </c>
      <c r="AH68" s="187" t="s">
        <v>1315</v>
      </c>
      <c r="AI68" s="187" t="s">
        <v>1315</v>
      </c>
      <c r="AJ68" s="187" t="s">
        <v>1315</v>
      </c>
      <c r="AK68" s="187" t="s">
        <v>1315</v>
      </c>
      <c r="AL68" s="187" t="s">
        <v>1315</v>
      </c>
      <c r="AM68" s="187" t="s">
        <v>1315</v>
      </c>
      <c r="AN68" s="380"/>
      <c r="AO68" s="379" t="s">
        <v>1315</v>
      </c>
      <c r="AP68" s="933"/>
      <c r="AQ68" s="187" t="s">
        <v>1315</v>
      </c>
      <c r="AR68" s="187" t="s">
        <v>1315</v>
      </c>
      <c r="AS68" s="187" t="s">
        <v>1315</v>
      </c>
      <c r="AT68" s="187" t="s">
        <v>1315</v>
      </c>
      <c r="AU68" s="187" t="s">
        <v>1315</v>
      </c>
      <c r="AV68" s="187" t="s">
        <v>1315</v>
      </c>
      <c r="AW68" s="187" t="s">
        <v>1315</v>
      </c>
      <c r="AX68" s="187" t="s">
        <v>1315</v>
      </c>
      <c r="AY68" s="378"/>
      <c r="AZ68" s="379" t="s">
        <v>1315</v>
      </c>
      <c r="BA68" s="187" t="s">
        <v>1315</v>
      </c>
      <c r="BB68" s="187" t="s">
        <v>1315</v>
      </c>
      <c r="BC68" s="187" t="s">
        <v>1315</v>
      </c>
      <c r="BD68" s="187" t="s">
        <v>1315</v>
      </c>
      <c r="BE68" s="187" t="s">
        <v>1315</v>
      </c>
      <c r="BF68" s="187" t="s">
        <v>1315</v>
      </c>
      <c r="BG68" s="187" t="s">
        <v>1315</v>
      </c>
      <c r="BH68" s="380"/>
      <c r="BI68" s="379" t="s">
        <v>1315</v>
      </c>
      <c r="BJ68" s="933"/>
      <c r="BK68" s="187" t="s">
        <v>1315</v>
      </c>
      <c r="BL68" s="187" t="s">
        <v>1315</v>
      </c>
      <c r="BM68" s="187" t="s">
        <v>1315</v>
      </c>
      <c r="BN68" s="187" t="s">
        <v>1315</v>
      </c>
      <c r="BO68" s="187" t="s">
        <v>1315</v>
      </c>
      <c r="BP68" s="187" t="s">
        <v>1315</v>
      </c>
      <c r="BQ68" s="187" t="s">
        <v>1315</v>
      </c>
      <c r="BR68" s="187" t="s">
        <v>1315</v>
      </c>
      <c r="BS68" s="378"/>
      <c r="BT68" s="379" t="s">
        <v>1315</v>
      </c>
      <c r="BU68" s="187" t="s">
        <v>1315</v>
      </c>
      <c r="BV68" s="187" t="s">
        <v>1315</v>
      </c>
      <c r="BW68" s="187" t="s">
        <v>1315</v>
      </c>
      <c r="BX68" s="187" t="s">
        <v>1315</v>
      </c>
      <c r="BY68" s="187" t="s">
        <v>1315</v>
      </c>
      <c r="BZ68" s="187" t="s">
        <v>1315</v>
      </c>
      <c r="CA68" s="187" t="s">
        <v>1315</v>
      </c>
      <c r="CB68" s="380"/>
      <c r="CC68" s="379" t="s">
        <v>1315</v>
      </c>
      <c r="CD68" s="933"/>
      <c r="CE68" s="178"/>
      <c r="CF68" s="178"/>
      <c r="CG68" s="178"/>
      <c r="CH68" s="178"/>
      <c r="CI68" s="419"/>
      <c r="CJ68" s="178"/>
      <c r="CK68" s="178"/>
      <c r="CL68" s="178"/>
      <c r="CM68" s="178"/>
      <c r="CN68" s="419"/>
      <c r="CO68" s="178"/>
      <c r="CP68" s="178"/>
      <c r="CQ68" s="178"/>
      <c r="CR68" s="178"/>
      <c r="CS68" s="419"/>
    </row>
    <row r="69" spans="1:131" ht="15.75" customHeight="1">
      <c r="A69" s="88" t="s">
        <v>236</v>
      </c>
      <c r="B69" s="933">
        <v>44</v>
      </c>
      <c r="C69" s="420">
        <v>544.08529166317112</v>
      </c>
      <c r="D69" s="420">
        <v>1932.7171916435223</v>
      </c>
      <c r="E69" s="420">
        <v>652.42927120583761</v>
      </c>
      <c r="F69" s="420">
        <v>1994.0065584921604</v>
      </c>
      <c r="G69" s="420">
        <v>788.66767619395398</v>
      </c>
      <c r="H69" s="420">
        <v>2008.3036259870948</v>
      </c>
      <c r="I69" s="420">
        <v>762.51208050652258</v>
      </c>
      <c r="J69" s="420">
        <v>1955.3399460968833</v>
      </c>
      <c r="K69" s="412">
        <f>SUM(C69:J69)</f>
        <v>10638.061641789147</v>
      </c>
      <c r="L69" s="421">
        <v>0</v>
      </c>
      <c r="M69" s="420">
        <v>3898.5806790531974</v>
      </c>
      <c r="N69" s="420">
        <v>0</v>
      </c>
      <c r="O69" s="420">
        <v>3687.2746468193345</v>
      </c>
      <c r="P69" s="420">
        <v>0</v>
      </c>
      <c r="Q69" s="420">
        <v>3870.523109089871</v>
      </c>
      <c r="R69" s="420">
        <v>0</v>
      </c>
      <c r="S69" s="420">
        <v>3680.5018465100993</v>
      </c>
      <c r="T69" s="414">
        <f>SUM(L69:S69)</f>
        <v>15136.880281472502</v>
      </c>
      <c r="U69" s="415">
        <f>SUM(T69,K69)</f>
        <v>25774.941923261649</v>
      </c>
      <c r="V69" s="933">
        <v>44</v>
      </c>
      <c r="W69" s="420">
        <v>112.69203284292726</v>
      </c>
      <c r="X69" s="420">
        <v>1517.412675511147</v>
      </c>
      <c r="Y69" s="420">
        <v>85.679536737155274</v>
      </c>
      <c r="Z69" s="420">
        <v>1537.6096629028002</v>
      </c>
      <c r="AA69" s="420">
        <v>69.547346097716485</v>
      </c>
      <c r="AB69" s="420">
        <v>1540.3066028597427</v>
      </c>
      <c r="AC69" s="420">
        <v>135.66324898365343</v>
      </c>
      <c r="AD69" s="420">
        <v>1587.4423118587874</v>
      </c>
      <c r="AE69" s="412">
        <f>SUM(W69:AD69)</f>
        <v>6586.3534177939309</v>
      </c>
      <c r="AF69" s="421">
        <v>0</v>
      </c>
      <c r="AG69" s="420">
        <v>1659.5334261762948</v>
      </c>
      <c r="AH69" s="420">
        <v>0</v>
      </c>
      <c r="AI69" s="420">
        <v>1630.7655303451752</v>
      </c>
      <c r="AJ69" s="420">
        <v>0</v>
      </c>
      <c r="AK69" s="420">
        <v>1778.0107920821274</v>
      </c>
      <c r="AL69" s="420">
        <v>0</v>
      </c>
      <c r="AM69" s="420">
        <v>1826.8700565762665</v>
      </c>
      <c r="AN69" s="414">
        <f>SUM(AF69:AM69)</f>
        <v>6895.1798051798642</v>
      </c>
      <c r="AO69" s="415">
        <f>SUM(AN69,AE69)</f>
        <v>13481.533222973794</v>
      </c>
      <c r="AP69" s="933">
        <v>44</v>
      </c>
      <c r="AQ69" s="420">
        <v>13912.37100961077</v>
      </c>
      <c r="AR69" s="420">
        <v>44177.59629640491</v>
      </c>
      <c r="AS69" s="420">
        <v>15313.8521067703</v>
      </c>
      <c r="AT69" s="420">
        <v>46710.225970504936</v>
      </c>
      <c r="AU69" s="420">
        <v>15777.758730145906</v>
      </c>
      <c r="AV69" s="420">
        <v>48624.687562201201</v>
      </c>
      <c r="AW69" s="420">
        <v>15942.478603696569</v>
      </c>
      <c r="AX69" s="420">
        <v>47420.173859152659</v>
      </c>
      <c r="AY69" s="412">
        <f>SUM(AQ69:AX69)</f>
        <v>247879.14413848723</v>
      </c>
      <c r="AZ69" s="421">
        <v>0</v>
      </c>
      <c r="BA69" s="420">
        <v>35046.671313882514</v>
      </c>
      <c r="BB69" s="420">
        <v>0</v>
      </c>
      <c r="BC69" s="420">
        <v>30069.154060908983</v>
      </c>
      <c r="BD69" s="420">
        <v>0</v>
      </c>
      <c r="BE69" s="420">
        <v>33842.133481353158</v>
      </c>
      <c r="BF69" s="420">
        <v>0</v>
      </c>
      <c r="BG69" s="420">
        <v>32215.088256861382</v>
      </c>
      <c r="BH69" s="414">
        <f>SUM(AZ69:BG69)</f>
        <v>131173.04711300603</v>
      </c>
      <c r="BI69" s="415">
        <f>SUM(BH69,AY69)</f>
        <v>379052.19125149329</v>
      </c>
      <c r="BJ69" s="933">
        <v>44</v>
      </c>
      <c r="BK69" s="420">
        <v>193.45165427336261</v>
      </c>
      <c r="BL69" s="420">
        <v>5663.3724718923622</v>
      </c>
      <c r="BM69" s="420">
        <v>129.44665308289069</v>
      </c>
      <c r="BN69" s="420">
        <v>5852.8806186416523</v>
      </c>
      <c r="BO69" s="420">
        <v>292.27523418405121</v>
      </c>
      <c r="BP69" s="420">
        <v>5812.4435202290206</v>
      </c>
      <c r="BQ69" s="420">
        <v>419.68235815048496</v>
      </c>
      <c r="BR69" s="420">
        <v>5855.4792420684189</v>
      </c>
      <c r="BS69" s="412">
        <f>SUM(BK69:BR69)</f>
        <v>24219.031752522242</v>
      </c>
      <c r="BT69" s="421">
        <v>0</v>
      </c>
      <c r="BU69" s="420">
        <v>1318.0122503726539</v>
      </c>
      <c r="BV69" s="420">
        <v>0</v>
      </c>
      <c r="BW69" s="420">
        <v>1399.9312543948638</v>
      </c>
      <c r="BX69" s="420">
        <v>0</v>
      </c>
      <c r="BY69" s="420">
        <v>1458.5384001149237</v>
      </c>
      <c r="BZ69" s="420">
        <v>0</v>
      </c>
      <c r="CA69" s="420">
        <v>1711.216506054358</v>
      </c>
      <c r="CB69" s="414">
        <f>SUM(BT69:CA69)</f>
        <v>5887.6984109367986</v>
      </c>
      <c r="CC69" s="415">
        <f>SUM(CB69,BS69)</f>
        <v>30106.73016345904</v>
      </c>
      <c r="CD69" s="933">
        <v>44</v>
      </c>
      <c r="CE69" s="414">
        <f t="shared" ref="CE69:CE71" si="124">+C69+D69+W69+X69+AQ69+AR69+BK69+BL69</f>
        <v>68053.698623842181</v>
      </c>
      <c r="CF69" s="414">
        <f t="shared" ref="CF69:CF71" si="125">+E69+F69+Y69+Z69+AS69+AT69+BM69+BN69</f>
        <v>72276.130378337737</v>
      </c>
      <c r="CG69" s="414">
        <f t="shared" ref="CG69:CG71" si="126">+G69+H69+AA69+AB69+AU69+AV69+BO69+BP69</f>
        <v>74913.990297898679</v>
      </c>
      <c r="CH69" s="414">
        <f t="shared" ref="CH69:CH71" si="127">+I69+J69+AC69+AD69+AW69+AX69+BQ69+BR69</f>
        <v>74078.771650513983</v>
      </c>
      <c r="CI69" s="416">
        <f t="shared" ref="CI69:CI71" si="128">SUM(K69,AE69,AY69,BS69)</f>
        <v>289322.59095059254</v>
      </c>
      <c r="CJ69" s="414">
        <f t="shared" ref="CJ69:CJ71" si="129">L69+M69+AF69+AG69+AZ69+BA69+BT69+BU69</f>
        <v>41922.797669484658</v>
      </c>
      <c r="CK69" s="414">
        <f t="shared" ref="CK69:CK71" si="130">N69+O69+AH69+AI69+BB69+BC69+BV69+BW69</f>
        <v>36787.125492468353</v>
      </c>
      <c r="CL69" s="414">
        <f t="shared" ref="CL69:CL71" si="131">P69+Q69+AJ69+AK69+BD69+BE69+BX69+BY69</f>
        <v>40949.205782640078</v>
      </c>
      <c r="CM69" s="414">
        <f t="shared" ref="CM69:CM71" si="132">+R69+S69+AL69+AM69+BF69+BG69+BZ69+CA69</f>
        <v>39433.676666002102</v>
      </c>
      <c r="CN69" s="416">
        <f t="shared" ref="CN69:CN71" si="133">SUM(T69,AN69,BH69,CB69)</f>
        <v>159092.80561059521</v>
      </c>
      <c r="CO69" s="414">
        <f t="shared" ref="CO69:CO71" si="134">+C69+D69+L69+M69+W69+X69+AF69+AG69+AQ69+AR69+AZ69+BA69+BK69+BL69+BT69+BU69</f>
        <v>109976.49629332684</v>
      </c>
      <c r="CP69" s="414">
        <f t="shared" ref="CP69:CP71" si="135">+E69+F69+N69+O69+Y69+Z69+AH69+AI69+AS69+AT69+BB69+BC69+BM69+BN69+BV69+BW69</f>
        <v>109063.2558708061</v>
      </c>
      <c r="CQ69" s="414">
        <f t="shared" ref="CQ69:CQ71" si="136">+G69+H69+P69+Q69+AA69+AB69+AJ69+AK69+AU69+AV69+BD69+BE69+BO69+BP69+BX69+BY69</f>
        <v>115863.19608053876</v>
      </c>
      <c r="CR69" s="414">
        <f t="shared" ref="CR69:CR71" si="137">+I69+J69+R69+S69+AC69+AD69+AL69+AM69+AW69+AX69+BF69+BG69+BQ69+BR69+BZ69+CA69</f>
        <v>113512.44831651609</v>
      </c>
      <c r="CS69" s="416">
        <f t="shared" ref="CS69:CS71" si="138">SUM(CC69,BI69,AO69,U69)</f>
        <v>448415.39656118781</v>
      </c>
    </row>
    <row r="70" spans="1:131" ht="15.75" customHeight="1">
      <c r="A70" s="88" t="s">
        <v>238</v>
      </c>
      <c r="B70" s="933">
        <v>45</v>
      </c>
      <c r="C70" s="232">
        <f t="shared" ref="C70:J70" si="139">IF(ABS(C62)&lt;C83, -C62, C83)</f>
        <v>0</v>
      </c>
      <c r="D70" s="232">
        <f t="shared" si="139"/>
        <v>0</v>
      </c>
      <c r="E70" s="232">
        <f t="shared" si="139"/>
        <v>0</v>
      </c>
      <c r="F70" s="232">
        <f t="shared" si="139"/>
        <v>0</v>
      </c>
      <c r="G70" s="232">
        <f t="shared" si="139"/>
        <v>0</v>
      </c>
      <c r="H70" s="232">
        <f t="shared" si="139"/>
        <v>0</v>
      </c>
      <c r="I70" s="232">
        <f t="shared" si="139"/>
        <v>0</v>
      </c>
      <c r="J70" s="232">
        <f t="shared" si="139"/>
        <v>0</v>
      </c>
      <c r="K70" s="412">
        <f t="shared" ref="K70" si="140">SUM(C70:J70)</f>
        <v>0</v>
      </c>
      <c r="L70" s="418">
        <f t="shared" ref="L70:S70" si="141">IF(ABS(L62)&lt;L83, -L62, L83)</f>
        <v>0</v>
      </c>
      <c r="M70" s="232">
        <f t="shared" si="141"/>
        <v>0</v>
      </c>
      <c r="N70" s="232">
        <f t="shared" si="141"/>
        <v>0</v>
      </c>
      <c r="O70" s="232">
        <f t="shared" si="141"/>
        <v>0</v>
      </c>
      <c r="P70" s="232">
        <f t="shared" si="141"/>
        <v>0</v>
      </c>
      <c r="Q70" s="232">
        <f t="shared" si="141"/>
        <v>0</v>
      </c>
      <c r="R70" s="232">
        <f t="shared" si="141"/>
        <v>0</v>
      </c>
      <c r="S70" s="232">
        <f t="shared" si="141"/>
        <v>0</v>
      </c>
      <c r="T70" s="414">
        <f t="shared" ref="T70" si="142">SUM(L70:S70)</f>
        <v>0</v>
      </c>
      <c r="U70" s="415">
        <f t="shared" ref="U70" si="143">SUM(T70,K70)</f>
        <v>0</v>
      </c>
      <c r="V70" s="933">
        <v>45</v>
      </c>
      <c r="W70" s="232">
        <f t="shared" ref="W70:AD70" si="144">IF(ABS(W62)&lt;W83, -W62, W83)</f>
        <v>0</v>
      </c>
      <c r="X70" s="232">
        <f t="shared" si="144"/>
        <v>0</v>
      </c>
      <c r="Y70" s="232">
        <f t="shared" si="144"/>
        <v>0</v>
      </c>
      <c r="Z70" s="232">
        <f t="shared" si="144"/>
        <v>0</v>
      </c>
      <c r="AA70" s="232">
        <f t="shared" si="144"/>
        <v>0</v>
      </c>
      <c r="AB70" s="232">
        <f t="shared" si="144"/>
        <v>0</v>
      </c>
      <c r="AC70" s="232">
        <f t="shared" si="144"/>
        <v>0</v>
      </c>
      <c r="AD70" s="232">
        <f t="shared" si="144"/>
        <v>0</v>
      </c>
      <c r="AE70" s="412">
        <f t="shared" ref="AE70" si="145">SUM(W70:AD70)</f>
        <v>0</v>
      </c>
      <c r="AF70" s="418">
        <f t="shared" ref="AF70:AM70" si="146">IF(ABS(AF62)&lt;AF83, -AF62, AF83)</f>
        <v>0</v>
      </c>
      <c r="AG70" s="232">
        <f t="shared" si="146"/>
        <v>0</v>
      </c>
      <c r="AH70" s="232">
        <f t="shared" si="146"/>
        <v>0</v>
      </c>
      <c r="AI70" s="232">
        <f t="shared" si="146"/>
        <v>0</v>
      </c>
      <c r="AJ70" s="232">
        <f t="shared" si="146"/>
        <v>0</v>
      </c>
      <c r="AK70" s="232">
        <f t="shared" si="146"/>
        <v>0</v>
      </c>
      <c r="AL70" s="232">
        <f t="shared" si="146"/>
        <v>0</v>
      </c>
      <c r="AM70" s="232">
        <f t="shared" si="146"/>
        <v>0</v>
      </c>
      <c r="AN70" s="414">
        <f t="shared" ref="AN70" si="147">SUM(AF70:AM70)</f>
        <v>0</v>
      </c>
      <c r="AO70" s="415">
        <f t="shared" ref="AO70" si="148">SUM(AN70,AE70)</f>
        <v>0</v>
      </c>
      <c r="AP70" s="933">
        <v>45</v>
      </c>
      <c r="AQ70" s="232">
        <f t="shared" ref="AQ70:AX70" si="149">IF(ABS(AQ62)&lt;AQ83, -AQ62, AQ83)</f>
        <v>0</v>
      </c>
      <c r="AR70" s="232">
        <f t="shared" si="149"/>
        <v>0</v>
      </c>
      <c r="AS70" s="232">
        <f t="shared" si="149"/>
        <v>0</v>
      </c>
      <c r="AT70" s="232">
        <f t="shared" si="149"/>
        <v>0</v>
      </c>
      <c r="AU70" s="232">
        <f t="shared" si="149"/>
        <v>0</v>
      </c>
      <c r="AV70" s="232">
        <f t="shared" si="149"/>
        <v>0</v>
      </c>
      <c r="AW70" s="232">
        <f t="shared" si="149"/>
        <v>0</v>
      </c>
      <c r="AX70" s="232">
        <f t="shared" si="149"/>
        <v>0</v>
      </c>
      <c r="AY70" s="412">
        <f t="shared" ref="AY70" si="150">SUM(AQ70:AX70)</f>
        <v>0</v>
      </c>
      <c r="AZ70" s="418">
        <f t="shared" ref="AZ70:BG70" si="151">IF(ABS(AZ62)&lt;AZ83, -AZ62, AZ83)</f>
        <v>0</v>
      </c>
      <c r="BA70" s="232">
        <f t="shared" si="151"/>
        <v>0</v>
      </c>
      <c r="BB70" s="232">
        <f t="shared" si="151"/>
        <v>0</v>
      </c>
      <c r="BC70" s="232">
        <f t="shared" si="151"/>
        <v>0</v>
      </c>
      <c r="BD70" s="232">
        <f t="shared" si="151"/>
        <v>0</v>
      </c>
      <c r="BE70" s="232">
        <f t="shared" si="151"/>
        <v>0</v>
      </c>
      <c r="BF70" s="232">
        <f t="shared" si="151"/>
        <v>0</v>
      </c>
      <c r="BG70" s="232">
        <f t="shared" si="151"/>
        <v>0</v>
      </c>
      <c r="BH70" s="414">
        <f t="shared" ref="BH70" si="152">SUM(AZ70:BG70)</f>
        <v>0</v>
      </c>
      <c r="BI70" s="415">
        <f t="shared" ref="BI70" si="153">SUM(BH70,AY70)</f>
        <v>0</v>
      </c>
      <c r="BJ70" s="933">
        <v>45</v>
      </c>
      <c r="BK70" s="232">
        <f t="shared" ref="BK70:BR70" si="154">IF(ABS(BK62)&lt;BK83, -BK62, BK83)</f>
        <v>0</v>
      </c>
      <c r="BL70" s="232">
        <f t="shared" si="154"/>
        <v>0</v>
      </c>
      <c r="BM70" s="232">
        <f t="shared" si="154"/>
        <v>0</v>
      </c>
      <c r="BN70" s="232">
        <f t="shared" si="154"/>
        <v>0</v>
      </c>
      <c r="BO70" s="232">
        <f t="shared" si="154"/>
        <v>0</v>
      </c>
      <c r="BP70" s="232">
        <f t="shared" si="154"/>
        <v>0</v>
      </c>
      <c r="BQ70" s="232">
        <f t="shared" si="154"/>
        <v>0</v>
      </c>
      <c r="BR70" s="232">
        <f t="shared" si="154"/>
        <v>0</v>
      </c>
      <c r="BS70" s="412">
        <f t="shared" ref="BS70" si="155">SUM(BK70:BR70)</f>
        <v>0</v>
      </c>
      <c r="BT70" s="418">
        <f t="shared" ref="BT70:CA70" si="156">IF(ABS(BT62)&lt;BT83, -BT62, BT83)</f>
        <v>0</v>
      </c>
      <c r="BU70" s="232">
        <f t="shared" si="156"/>
        <v>0</v>
      </c>
      <c r="BV70" s="232">
        <f t="shared" si="156"/>
        <v>0</v>
      </c>
      <c r="BW70" s="232">
        <f t="shared" si="156"/>
        <v>0</v>
      </c>
      <c r="BX70" s="232">
        <f t="shared" si="156"/>
        <v>0</v>
      </c>
      <c r="BY70" s="232">
        <f t="shared" si="156"/>
        <v>0</v>
      </c>
      <c r="BZ70" s="232">
        <f t="shared" si="156"/>
        <v>0</v>
      </c>
      <c r="CA70" s="232">
        <f t="shared" si="156"/>
        <v>0</v>
      </c>
      <c r="CB70" s="414">
        <f t="shared" ref="CB70" si="157">SUM(BT70:CA70)</f>
        <v>0</v>
      </c>
      <c r="CC70" s="415">
        <f t="shared" ref="CC70" si="158">SUM(CB70,BS70)</f>
        <v>0</v>
      </c>
      <c r="CD70" s="933">
        <v>45</v>
      </c>
      <c r="CE70" s="414">
        <f t="shared" si="124"/>
        <v>0</v>
      </c>
      <c r="CF70" s="414">
        <f t="shared" si="125"/>
        <v>0</v>
      </c>
      <c r="CG70" s="414">
        <f t="shared" si="126"/>
        <v>0</v>
      </c>
      <c r="CH70" s="414">
        <f t="shared" si="127"/>
        <v>0</v>
      </c>
      <c r="CI70" s="416">
        <f t="shared" si="128"/>
        <v>0</v>
      </c>
      <c r="CJ70" s="414">
        <f t="shared" si="129"/>
        <v>0</v>
      </c>
      <c r="CK70" s="414">
        <f t="shared" si="130"/>
        <v>0</v>
      </c>
      <c r="CL70" s="414">
        <f t="shared" si="131"/>
        <v>0</v>
      </c>
      <c r="CM70" s="414">
        <f t="shared" si="132"/>
        <v>0</v>
      </c>
      <c r="CN70" s="416">
        <f t="shared" si="133"/>
        <v>0</v>
      </c>
      <c r="CO70" s="414">
        <f t="shared" si="134"/>
        <v>0</v>
      </c>
      <c r="CP70" s="414">
        <f t="shared" si="135"/>
        <v>0</v>
      </c>
      <c r="CQ70" s="414">
        <f t="shared" si="136"/>
        <v>0</v>
      </c>
      <c r="CR70" s="414">
        <f t="shared" si="137"/>
        <v>0</v>
      </c>
      <c r="CS70" s="416">
        <f t="shared" si="138"/>
        <v>0</v>
      </c>
    </row>
    <row r="71" spans="1:131" ht="15.75" customHeight="1">
      <c r="A71" s="88" t="s">
        <v>1342</v>
      </c>
      <c r="B71" s="300">
        <v>46</v>
      </c>
      <c r="C71" s="420">
        <v>3582.5516174387026</v>
      </c>
      <c r="D71" s="420">
        <v>12726.054548926477</v>
      </c>
      <c r="E71" s="420">
        <v>4560.1967172255463</v>
      </c>
      <c r="F71" s="420">
        <v>13937.238201094369</v>
      </c>
      <c r="G71" s="420">
        <v>5227.3319856667631</v>
      </c>
      <c r="H71" s="420">
        <v>13311.144982783764</v>
      </c>
      <c r="I71" s="420">
        <v>5262.0052484190792</v>
      </c>
      <c r="J71" s="420">
        <v>13493.568589720548</v>
      </c>
      <c r="K71" s="412">
        <f>SUM(C71:J71)</f>
        <v>72100.091891275253</v>
      </c>
      <c r="L71" s="421">
        <v>0</v>
      </c>
      <c r="M71" s="420">
        <v>34037.741421588071</v>
      </c>
      <c r="N71" s="420">
        <v>0</v>
      </c>
      <c r="O71" s="420">
        <v>32977.693021959894</v>
      </c>
      <c r="P71" s="420">
        <v>0</v>
      </c>
      <c r="Q71" s="420">
        <v>32623.623219097179</v>
      </c>
      <c r="R71" s="420">
        <v>0</v>
      </c>
      <c r="S71" s="420">
        <v>32162.208696033136</v>
      </c>
      <c r="T71" s="414">
        <f>SUM(L71:S71)</f>
        <v>131801.26635867829</v>
      </c>
      <c r="U71" s="415">
        <f>SUM(T71,K71)</f>
        <v>203901.35824995354</v>
      </c>
      <c r="V71" s="300">
        <v>46</v>
      </c>
      <c r="W71" s="420">
        <v>742.02524993787188</v>
      </c>
      <c r="X71" s="420">
        <v>9991.4651586278542</v>
      </c>
      <c r="Y71" s="420">
        <v>598.86268045584438</v>
      </c>
      <c r="Z71" s="420">
        <v>10747.222490775472</v>
      </c>
      <c r="AA71" s="420">
        <v>460.96356900193814</v>
      </c>
      <c r="AB71" s="420">
        <v>10209.235418039782</v>
      </c>
      <c r="AC71" s="420">
        <v>936.19595862056917</v>
      </c>
      <c r="AD71" s="420">
        <v>10954.750737869788</v>
      </c>
      <c r="AE71" s="412">
        <f>SUM(W71:AD71)</f>
        <v>44640.72126332912</v>
      </c>
      <c r="AF71" s="421">
        <v>0</v>
      </c>
      <c r="AG71" s="420">
        <v>14489.060068493725</v>
      </c>
      <c r="AH71" s="420">
        <v>0</v>
      </c>
      <c r="AI71" s="420">
        <v>14584.995749342079</v>
      </c>
      <c r="AJ71" s="420">
        <v>0</v>
      </c>
      <c r="AK71" s="420">
        <v>14986.386213313528</v>
      </c>
      <c r="AL71" s="420">
        <v>0</v>
      </c>
      <c r="AM71" s="420">
        <v>15964.175123523746</v>
      </c>
      <c r="AN71" s="414">
        <f>SUM(AF71:AM71)</f>
        <v>60024.617154673077</v>
      </c>
      <c r="AO71" s="415">
        <f>SUM(AN71,AE71)</f>
        <v>104665.3384180022</v>
      </c>
      <c r="AP71" s="300">
        <v>46</v>
      </c>
      <c r="AQ71" s="420">
        <v>91606.569827555853</v>
      </c>
      <c r="AR71" s="420">
        <v>290889.17030350328</v>
      </c>
      <c r="AS71" s="420">
        <v>107037.1627813418</v>
      </c>
      <c r="AT71" s="420">
        <v>326484.1547312449</v>
      </c>
      <c r="AU71" s="420">
        <v>104575.83765857523</v>
      </c>
      <c r="AV71" s="420">
        <v>322287.05734915694</v>
      </c>
      <c r="AW71" s="420">
        <v>110017.15019352092</v>
      </c>
      <c r="AX71" s="420">
        <v>327240.98425044172</v>
      </c>
      <c r="AY71" s="412">
        <f>SUM(AQ71:AX71)</f>
        <v>1680138.0870953407</v>
      </c>
      <c r="AZ71" s="421">
        <v>0</v>
      </c>
      <c r="BA71" s="420">
        <v>305985.59682982607</v>
      </c>
      <c r="BB71" s="420">
        <v>0</v>
      </c>
      <c r="BC71" s="420">
        <v>268927.98259713175</v>
      </c>
      <c r="BD71" s="420">
        <v>0</v>
      </c>
      <c r="BE71" s="420">
        <v>285246.45907247148</v>
      </c>
      <c r="BF71" s="420">
        <v>0</v>
      </c>
      <c r="BG71" s="420">
        <v>281512.80311426922</v>
      </c>
      <c r="BH71" s="414">
        <f>SUM(AZ71:BG71)</f>
        <v>1141672.8416136985</v>
      </c>
      <c r="BI71" s="415">
        <f>SUM(BH71,AY71)</f>
        <v>2821810.9287090395</v>
      </c>
      <c r="BJ71" s="300">
        <v>46</v>
      </c>
      <c r="BK71" s="420">
        <v>1273.7902448983627</v>
      </c>
      <c r="BL71" s="420">
        <v>37290.705189465763</v>
      </c>
      <c r="BM71" s="420">
        <v>904.7757795315033</v>
      </c>
      <c r="BN71" s="420">
        <v>40909.088787682638</v>
      </c>
      <c r="BO71" s="420">
        <v>1937.216049783691</v>
      </c>
      <c r="BP71" s="420">
        <v>38525.18981734274</v>
      </c>
      <c r="BQ71" s="420">
        <v>2896.1780773227456</v>
      </c>
      <c r="BR71" s="420">
        <v>40407.966367307185</v>
      </c>
      <c r="BS71" s="412">
        <f>SUM(BK71:BR71)</f>
        <v>164144.91031333464</v>
      </c>
      <c r="BT71" s="421">
        <v>0</v>
      </c>
      <c r="BU71" s="420">
        <v>11507.305827916054</v>
      </c>
      <c r="BV71" s="420">
        <v>0</v>
      </c>
      <c r="BW71" s="420">
        <v>12520.494831895576</v>
      </c>
      <c r="BX71" s="420">
        <v>0</v>
      </c>
      <c r="BY71" s="420">
        <v>12293.637287473235</v>
      </c>
      <c r="BZ71" s="420">
        <v>0</v>
      </c>
      <c r="CA71" s="420">
        <v>14953.532069003919</v>
      </c>
      <c r="CB71" s="414">
        <f>SUM(BT71:CA71)</f>
        <v>51274.970016288789</v>
      </c>
      <c r="CC71" s="415">
        <f>SUM(CB71,BS71)</f>
        <v>215419.88032962341</v>
      </c>
      <c r="CD71" s="300">
        <v>46</v>
      </c>
      <c r="CE71" s="414">
        <f t="shared" si="124"/>
        <v>448102.33214035415</v>
      </c>
      <c r="CF71" s="414">
        <f t="shared" si="125"/>
        <v>505178.70216935209</v>
      </c>
      <c r="CG71" s="414">
        <f t="shared" si="126"/>
        <v>496533.97683035082</v>
      </c>
      <c r="CH71" s="414">
        <f t="shared" si="127"/>
        <v>511208.79942322255</v>
      </c>
      <c r="CI71" s="416">
        <f t="shared" si="128"/>
        <v>1961023.8105632795</v>
      </c>
      <c r="CJ71" s="414">
        <f t="shared" si="129"/>
        <v>366019.70414782391</v>
      </c>
      <c r="CK71" s="414">
        <f t="shared" si="130"/>
        <v>329011.16620032932</v>
      </c>
      <c r="CL71" s="414">
        <f t="shared" si="131"/>
        <v>345150.10579235543</v>
      </c>
      <c r="CM71" s="414">
        <f t="shared" si="132"/>
        <v>344592.71900282998</v>
      </c>
      <c r="CN71" s="416">
        <f t="shared" si="133"/>
        <v>1384773.6951433388</v>
      </c>
      <c r="CO71" s="414">
        <f t="shared" si="134"/>
        <v>814122.03628817806</v>
      </c>
      <c r="CP71" s="414">
        <f t="shared" si="135"/>
        <v>834189.8683696813</v>
      </c>
      <c r="CQ71" s="414">
        <f t="shared" si="136"/>
        <v>841684.08262270631</v>
      </c>
      <c r="CR71" s="414">
        <f t="shared" si="137"/>
        <v>855801.51842605264</v>
      </c>
      <c r="CS71" s="416">
        <f t="shared" si="138"/>
        <v>3345797.5057066185</v>
      </c>
    </row>
    <row r="72" spans="1:131" s="14" customFormat="1" ht="15.75" customHeight="1">
      <c r="A72" s="103"/>
      <c r="B72" s="300"/>
      <c r="C72" s="187" t="s">
        <v>1315</v>
      </c>
      <c r="D72" s="187" t="s">
        <v>1315</v>
      </c>
      <c r="E72" s="187" t="s">
        <v>1315</v>
      </c>
      <c r="F72" s="187" t="s">
        <v>1315</v>
      </c>
      <c r="G72" s="187" t="s">
        <v>1315</v>
      </c>
      <c r="H72" s="187" t="s">
        <v>1315</v>
      </c>
      <c r="I72" s="187" t="s">
        <v>1315</v>
      </c>
      <c r="J72" s="187" t="s">
        <v>1315</v>
      </c>
      <c r="K72" s="378"/>
      <c r="L72" s="379" t="s">
        <v>1315</v>
      </c>
      <c r="M72" s="187" t="s">
        <v>1315</v>
      </c>
      <c r="N72" s="187" t="s">
        <v>1315</v>
      </c>
      <c r="O72" s="187" t="s">
        <v>1315</v>
      </c>
      <c r="P72" s="187" t="s">
        <v>1315</v>
      </c>
      <c r="Q72" s="187" t="s">
        <v>1315</v>
      </c>
      <c r="R72" s="187" t="s">
        <v>1315</v>
      </c>
      <c r="S72" s="187" t="s">
        <v>1315</v>
      </c>
      <c r="T72" s="380"/>
      <c r="U72" s="379" t="s">
        <v>1315</v>
      </c>
      <c r="V72" s="300"/>
      <c r="W72" s="187" t="s">
        <v>1315</v>
      </c>
      <c r="X72" s="187" t="s">
        <v>1315</v>
      </c>
      <c r="Y72" s="187" t="s">
        <v>1315</v>
      </c>
      <c r="Z72" s="187" t="s">
        <v>1315</v>
      </c>
      <c r="AA72" s="187" t="s">
        <v>1315</v>
      </c>
      <c r="AB72" s="187" t="s">
        <v>1315</v>
      </c>
      <c r="AC72" s="187" t="s">
        <v>1315</v>
      </c>
      <c r="AD72" s="187" t="s">
        <v>1315</v>
      </c>
      <c r="AE72" s="378"/>
      <c r="AF72" s="379" t="s">
        <v>1315</v>
      </c>
      <c r="AG72" s="187" t="s">
        <v>1315</v>
      </c>
      <c r="AH72" s="187" t="s">
        <v>1315</v>
      </c>
      <c r="AI72" s="187" t="s">
        <v>1315</v>
      </c>
      <c r="AJ72" s="187" t="s">
        <v>1315</v>
      </c>
      <c r="AK72" s="187" t="s">
        <v>1315</v>
      </c>
      <c r="AL72" s="187" t="s">
        <v>1315</v>
      </c>
      <c r="AM72" s="187" t="s">
        <v>1315</v>
      </c>
      <c r="AN72" s="380"/>
      <c r="AO72" s="379" t="s">
        <v>1315</v>
      </c>
      <c r="AP72" s="300"/>
      <c r="AQ72" s="187" t="s">
        <v>1315</v>
      </c>
      <c r="AR72" s="187" t="s">
        <v>1315</v>
      </c>
      <c r="AS72" s="187" t="s">
        <v>1315</v>
      </c>
      <c r="AT72" s="187" t="s">
        <v>1315</v>
      </c>
      <c r="AU72" s="187" t="s">
        <v>1315</v>
      </c>
      <c r="AV72" s="187" t="s">
        <v>1315</v>
      </c>
      <c r="AW72" s="187" t="s">
        <v>1315</v>
      </c>
      <c r="AX72" s="187" t="s">
        <v>1315</v>
      </c>
      <c r="AY72" s="378"/>
      <c r="AZ72" s="379" t="s">
        <v>1315</v>
      </c>
      <c r="BA72" s="187" t="s">
        <v>1315</v>
      </c>
      <c r="BB72" s="187" t="s">
        <v>1315</v>
      </c>
      <c r="BC72" s="187" t="s">
        <v>1315</v>
      </c>
      <c r="BD72" s="187" t="s">
        <v>1315</v>
      </c>
      <c r="BE72" s="187" t="s">
        <v>1315</v>
      </c>
      <c r="BF72" s="187" t="s">
        <v>1315</v>
      </c>
      <c r="BG72" s="187" t="s">
        <v>1315</v>
      </c>
      <c r="BH72" s="380"/>
      <c r="BI72" s="379" t="s">
        <v>1315</v>
      </c>
      <c r="BJ72" s="300"/>
      <c r="BK72" s="187" t="s">
        <v>1315</v>
      </c>
      <c r="BL72" s="187" t="s">
        <v>1315</v>
      </c>
      <c r="BM72" s="187" t="s">
        <v>1315</v>
      </c>
      <c r="BN72" s="187" t="s">
        <v>1315</v>
      </c>
      <c r="BO72" s="187" t="s">
        <v>1315</v>
      </c>
      <c r="BP72" s="187" t="s">
        <v>1315</v>
      </c>
      <c r="BQ72" s="187" t="s">
        <v>1315</v>
      </c>
      <c r="BR72" s="187" t="s">
        <v>1315</v>
      </c>
      <c r="BS72" s="378"/>
      <c r="BT72" s="379" t="s">
        <v>1315</v>
      </c>
      <c r="BU72" s="187" t="s">
        <v>1315</v>
      </c>
      <c r="BV72" s="187" t="s">
        <v>1315</v>
      </c>
      <c r="BW72" s="187" t="s">
        <v>1315</v>
      </c>
      <c r="BX72" s="187" t="s">
        <v>1315</v>
      </c>
      <c r="BY72" s="187" t="s">
        <v>1315</v>
      </c>
      <c r="BZ72" s="187" t="s">
        <v>1315</v>
      </c>
      <c r="CA72" s="187" t="s">
        <v>1315</v>
      </c>
      <c r="CB72" s="380"/>
      <c r="CC72" s="379" t="s">
        <v>1315</v>
      </c>
      <c r="CD72" s="300"/>
      <c r="CE72" s="380"/>
      <c r="CF72" s="380"/>
      <c r="CG72" s="380"/>
      <c r="CH72" s="380"/>
      <c r="CI72" s="187"/>
      <c r="CJ72" s="380"/>
      <c r="CK72" s="380"/>
      <c r="CL72" s="380"/>
      <c r="CM72" s="380"/>
      <c r="CN72" s="187"/>
      <c r="CO72" s="380"/>
      <c r="CP72" s="380"/>
      <c r="CQ72" s="380"/>
      <c r="CR72" s="380"/>
      <c r="CS72" s="187"/>
      <c r="CT72" s="318"/>
      <c r="CU72" s="318"/>
      <c r="CV72" s="318"/>
      <c r="CW72" s="318"/>
      <c r="CX72" s="318"/>
      <c r="CY72" s="318"/>
      <c r="CZ72" s="318"/>
      <c r="DA72" s="318"/>
      <c r="DB72" s="318"/>
      <c r="DC72" s="318"/>
      <c r="DD72" s="318"/>
      <c r="DE72" s="318"/>
      <c r="DF72" s="318"/>
      <c r="DG72" s="318"/>
      <c r="DH72" s="318"/>
      <c r="DI72" s="318"/>
      <c r="DJ72" s="318"/>
      <c r="DK72" s="318"/>
      <c r="DL72" s="318"/>
      <c r="DM72" s="318"/>
      <c r="DN72" s="318"/>
      <c r="DO72" s="318"/>
      <c r="DP72" s="318"/>
      <c r="DQ72" s="318"/>
      <c r="DR72" s="318"/>
      <c r="DS72" s="318"/>
      <c r="DT72" s="318"/>
      <c r="DU72" s="318"/>
      <c r="DV72" s="318"/>
      <c r="DW72" s="318"/>
      <c r="DX72" s="318"/>
      <c r="DY72" s="318"/>
      <c r="DZ72" s="318"/>
      <c r="EA72" s="318"/>
    </row>
    <row r="73" spans="1:131" s="14" customFormat="1">
      <c r="A73" s="16" t="s">
        <v>241</v>
      </c>
      <c r="B73" s="300">
        <v>47</v>
      </c>
      <c r="C73" s="216">
        <f t="shared" ref="C73:U73" si="159">SUM(C69:C71)</f>
        <v>4126.6369091018732</v>
      </c>
      <c r="D73" s="216">
        <f t="shared" si="159"/>
        <v>14658.771740569999</v>
      </c>
      <c r="E73" s="216">
        <f t="shared" si="159"/>
        <v>5212.625988431384</v>
      </c>
      <c r="F73" s="216">
        <f t="shared" si="159"/>
        <v>15931.244759586531</v>
      </c>
      <c r="G73" s="216">
        <f t="shared" si="159"/>
        <v>6015.9996618607174</v>
      </c>
      <c r="H73" s="216">
        <f t="shared" si="159"/>
        <v>15319.448608770859</v>
      </c>
      <c r="I73" s="216">
        <f t="shared" si="159"/>
        <v>6024.5173289256018</v>
      </c>
      <c r="J73" s="216">
        <f t="shared" si="159"/>
        <v>15448.908535817431</v>
      </c>
      <c r="K73" s="221">
        <f t="shared" si="159"/>
        <v>82738.153533064396</v>
      </c>
      <c r="L73" s="218">
        <f t="shared" si="159"/>
        <v>0</v>
      </c>
      <c r="M73" s="216">
        <f t="shared" si="159"/>
        <v>37936.322100641271</v>
      </c>
      <c r="N73" s="216">
        <f t="shared" si="159"/>
        <v>0</v>
      </c>
      <c r="O73" s="216">
        <f t="shared" si="159"/>
        <v>36664.967668779231</v>
      </c>
      <c r="P73" s="216">
        <f t="shared" si="159"/>
        <v>0</v>
      </c>
      <c r="Q73" s="216">
        <f t="shared" si="159"/>
        <v>36494.146328187053</v>
      </c>
      <c r="R73" s="216">
        <f t="shared" si="159"/>
        <v>0</v>
      </c>
      <c r="S73" s="216">
        <f t="shared" si="159"/>
        <v>35842.710542543238</v>
      </c>
      <c r="T73" s="219">
        <f t="shared" si="159"/>
        <v>146938.14664015078</v>
      </c>
      <c r="U73" s="218">
        <f t="shared" si="159"/>
        <v>229676.30017321519</v>
      </c>
      <c r="V73" s="300">
        <v>47</v>
      </c>
      <c r="W73" s="216">
        <f t="shared" ref="W73:AO73" si="160">SUM(W69:W71)</f>
        <v>854.71728278079911</v>
      </c>
      <c r="X73" s="216">
        <f t="shared" si="160"/>
        <v>11508.877834139001</v>
      </c>
      <c r="Y73" s="216">
        <f t="shared" si="160"/>
        <v>684.54221719299971</v>
      </c>
      <c r="Z73" s="216">
        <f t="shared" si="160"/>
        <v>12284.832153678271</v>
      </c>
      <c r="AA73" s="216">
        <f t="shared" si="160"/>
        <v>530.51091509965465</v>
      </c>
      <c r="AB73" s="216">
        <f t="shared" si="160"/>
        <v>11749.542020899524</v>
      </c>
      <c r="AC73" s="216">
        <f t="shared" si="160"/>
        <v>1071.8592076042225</v>
      </c>
      <c r="AD73" s="216">
        <f t="shared" si="160"/>
        <v>12542.193049728576</v>
      </c>
      <c r="AE73" s="221">
        <f t="shared" si="160"/>
        <v>51227.074681123049</v>
      </c>
      <c r="AF73" s="218">
        <f t="shared" si="160"/>
        <v>0</v>
      </c>
      <c r="AG73" s="216">
        <f t="shared" si="160"/>
        <v>16148.59349467002</v>
      </c>
      <c r="AH73" s="216">
        <f t="shared" si="160"/>
        <v>0</v>
      </c>
      <c r="AI73" s="216">
        <f t="shared" si="160"/>
        <v>16215.761279687255</v>
      </c>
      <c r="AJ73" s="216">
        <f t="shared" si="160"/>
        <v>0</v>
      </c>
      <c r="AK73" s="216">
        <f t="shared" si="160"/>
        <v>16764.397005395655</v>
      </c>
      <c r="AL73" s="216">
        <f t="shared" si="160"/>
        <v>0</v>
      </c>
      <c r="AM73" s="216">
        <f t="shared" si="160"/>
        <v>17791.045180100013</v>
      </c>
      <c r="AN73" s="219">
        <f t="shared" si="160"/>
        <v>66919.796959852945</v>
      </c>
      <c r="AO73" s="218">
        <f t="shared" si="160"/>
        <v>118146.87164097599</v>
      </c>
      <c r="AP73" s="300">
        <v>47</v>
      </c>
      <c r="AQ73" s="216">
        <f t="shared" ref="AQ73:BI73" si="161">SUM(AQ69:AQ71)</f>
        <v>105518.94083716662</v>
      </c>
      <c r="AR73" s="216">
        <f t="shared" si="161"/>
        <v>335066.76659990818</v>
      </c>
      <c r="AS73" s="216">
        <f t="shared" si="161"/>
        <v>122351.0148881121</v>
      </c>
      <c r="AT73" s="216">
        <f t="shared" si="161"/>
        <v>373194.38070174982</v>
      </c>
      <c r="AU73" s="216">
        <f t="shared" si="161"/>
        <v>120353.59638872114</v>
      </c>
      <c r="AV73" s="216">
        <f t="shared" si="161"/>
        <v>370911.74491135811</v>
      </c>
      <c r="AW73" s="216">
        <f t="shared" si="161"/>
        <v>125959.62879721749</v>
      </c>
      <c r="AX73" s="216">
        <f t="shared" si="161"/>
        <v>374661.15810959437</v>
      </c>
      <c r="AY73" s="221">
        <f t="shared" si="161"/>
        <v>1928017.231233828</v>
      </c>
      <c r="AZ73" s="218">
        <f t="shared" si="161"/>
        <v>0</v>
      </c>
      <c r="BA73" s="216">
        <f t="shared" si="161"/>
        <v>341032.26814370858</v>
      </c>
      <c r="BB73" s="216">
        <f t="shared" si="161"/>
        <v>0</v>
      </c>
      <c r="BC73" s="216">
        <f t="shared" si="161"/>
        <v>298997.13665804075</v>
      </c>
      <c r="BD73" s="216">
        <f t="shared" si="161"/>
        <v>0</v>
      </c>
      <c r="BE73" s="216">
        <f t="shared" si="161"/>
        <v>319088.59255382465</v>
      </c>
      <c r="BF73" s="216">
        <f t="shared" si="161"/>
        <v>0</v>
      </c>
      <c r="BG73" s="216">
        <f t="shared" si="161"/>
        <v>313727.89137113059</v>
      </c>
      <c r="BH73" s="219">
        <f t="shared" si="161"/>
        <v>1272845.8887267045</v>
      </c>
      <c r="BI73" s="218">
        <f t="shared" si="161"/>
        <v>3200863.1199605325</v>
      </c>
      <c r="BJ73" s="300">
        <v>47</v>
      </c>
      <c r="BK73" s="216">
        <f t="shared" ref="BK73:CC73" si="162">SUM(BK69:BK71)</f>
        <v>1467.2418991717254</v>
      </c>
      <c r="BL73" s="216">
        <f t="shared" si="162"/>
        <v>42954.077661358126</v>
      </c>
      <c r="BM73" s="216">
        <f t="shared" si="162"/>
        <v>1034.2224326143939</v>
      </c>
      <c r="BN73" s="216">
        <f t="shared" si="162"/>
        <v>46761.969406324293</v>
      </c>
      <c r="BO73" s="216">
        <f t="shared" si="162"/>
        <v>2229.4912839677422</v>
      </c>
      <c r="BP73" s="216">
        <f t="shared" si="162"/>
        <v>44337.633337571759</v>
      </c>
      <c r="BQ73" s="216">
        <f t="shared" si="162"/>
        <v>3315.8604354732306</v>
      </c>
      <c r="BR73" s="216">
        <f t="shared" si="162"/>
        <v>46263.445609375602</v>
      </c>
      <c r="BS73" s="221">
        <f t="shared" si="162"/>
        <v>188363.94206585689</v>
      </c>
      <c r="BT73" s="218">
        <f t="shared" si="162"/>
        <v>0</v>
      </c>
      <c r="BU73" s="216">
        <f t="shared" si="162"/>
        <v>12825.318078288708</v>
      </c>
      <c r="BV73" s="216">
        <f t="shared" si="162"/>
        <v>0</v>
      </c>
      <c r="BW73" s="216">
        <f t="shared" si="162"/>
        <v>13920.426086290439</v>
      </c>
      <c r="BX73" s="216">
        <f t="shared" si="162"/>
        <v>0</v>
      </c>
      <c r="BY73" s="216">
        <f t="shared" si="162"/>
        <v>13752.175687588158</v>
      </c>
      <c r="BZ73" s="216">
        <f t="shared" si="162"/>
        <v>0</v>
      </c>
      <c r="CA73" s="216">
        <f t="shared" si="162"/>
        <v>16664.748575058278</v>
      </c>
      <c r="CB73" s="219">
        <f t="shared" si="162"/>
        <v>57162.668427225588</v>
      </c>
      <c r="CC73" s="218">
        <f t="shared" si="162"/>
        <v>245526.61049308244</v>
      </c>
      <c r="CD73" s="300">
        <v>47</v>
      </c>
      <c r="CE73" s="219">
        <f>SUM(CE69:CE71)</f>
        <v>516156.0307641963</v>
      </c>
      <c r="CF73" s="219">
        <f>SUM(CF69:CF71)</f>
        <v>577454.83254768979</v>
      </c>
      <c r="CG73" s="219">
        <f>SUM(CG69:CG71)</f>
        <v>571447.96712824947</v>
      </c>
      <c r="CH73" s="219">
        <f>SUM(CH69:CH71)</f>
        <v>585287.57107373653</v>
      </c>
      <c r="CI73" s="216">
        <f>SUM(BS73,AY73,AE73,K73)</f>
        <v>2250346.4015138727</v>
      </c>
      <c r="CJ73" s="219">
        <f>SUM(CJ69:CJ71)</f>
        <v>407942.5018173086</v>
      </c>
      <c r="CK73" s="219">
        <f>SUM(CK69:CK71)</f>
        <v>365798.29169279768</v>
      </c>
      <c r="CL73" s="219">
        <f>SUM(CL69:CL71)</f>
        <v>386099.31157499552</v>
      </c>
      <c r="CM73" s="219">
        <f>SUM(CM69:CM71)</f>
        <v>384026.39566883206</v>
      </c>
      <c r="CN73" s="216">
        <f>SUM(BX73,BD73,AJ73,P73)</f>
        <v>0</v>
      </c>
      <c r="CO73" s="219">
        <f>SUM(CO69:CO71)</f>
        <v>924098.5325815049</v>
      </c>
      <c r="CP73" s="219">
        <f>SUM(CP69:CP71)</f>
        <v>943253.12424048735</v>
      </c>
      <c r="CQ73" s="219">
        <f>SUM(CQ69:CQ71)</f>
        <v>957547.2787032451</v>
      </c>
      <c r="CR73" s="219">
        <f>SUM(CR69:CR71)</f>
        <v>969313.96674256877</v>
      </c>
      <c r="CS73" s="216">
        <f>SUM(CC73,BI73,AO73,U73)</f>
        <v>3794212.9022678062</v>
      </c>
      <c r="CT73" s="318"/>
      <c r="CU73" s="318"/>
      <c r="CV73" s="318"/>
      <c r="CW73" s="318"/>
      <c r="CX73" s="318"/>
      <c r="CY73" s="318"/>
      <c r="CZ73" s="318"/>
      <c r="DA73" s="318"/>
      <c r="DB73" s="318"/>
      <c r="DC73" s="318"/>
      <c r="DD73" s="318"/>
      <c r="DE73" s="318"/>
      <c r="DF73" s="318"/>
      <c r="DG73" s="318"/>
      <c r="DH73" s="318"/>
      <c r="DI73" s="318"/>
      <c r="DJ73" s="318"/>
      <c r="DK73" s="318"/>
      <c r="DL73" s="318"/>
      <c r="DM73" s="318"/>
      <c r="DN73" s="318"/>
      <c r="DO73" s="318"/>
      <c r="DP73" s="318"/>
      <c r="DQ73" s="318"/>
      <c r="DR73" s="318"/>
      <c r="DS73" s="318"/>
      <c r="DT73" s="318"/>
      <c r="DU73" s="318"/>
      <c r="DV73" s="318"/>
      <c r="DW73" s="318"/>
      <c r="DX73" s="318"/>
      <c r="DY73" s="318"/>
      <c r="DZ73" s="318"/>
      <c r="EA73" s="318"/>
    </row>
    <row r="74" spans="1:131" ht="15.75" customHeight="1">
      <c r="B74" s="300"/>
      <c r="C74" s="178"/>
      <c r="D74" s="178"/>
      <c r="E74" s="178"/>
      <c r="F74" s="178"/>
      <c r="G74" s="178"/>
      <c r="H74" s="178"/>
      <c r="I74" s="178"/>
      <c r="J74" s="178"/>
      <c r="K74" s="381"/>
      <c r="L74" s="382"/>
      <c r="M74" s="178"/>
      <c r="N74" s="178"/>
      <c r="O74" s="178"/>
      <c r="P74" s="178"/>
      <c r="Q74" s="178"/>
      <c r="R74" s="178"/>
      <c r="S74" s="178"/>
      <c r="T74" s="178"/>
      <c r="U74" s="383"/>
      <c r="V74" s="300"/>
      <c r="W74" s="178"/>
      <c r="X74" s="178"/>
      <c r="Y74" s="178"/>
      <c r="Z74" s="178"/>
      <c r="AA74" s="178"/>
      <c r="AB74" s="178"/>
      <c r="AC74" s="178"/>
      <c r="AD74" s="178"/>
      <c r="AE74" s="381"/>
      <c r="AF74" s="382"/>
      <c r="AG74" s="178"/>
      <c r="AH74" s="178"/>
      <c r="AI74" s="178"/>
      <c r="AJ74" s="178"/>
      <c r="AK74" s="178"/>
      <c r="AL74" s="178"/>
      <c r="AM74" s="178"/>
      <c r="AN74" s="178"/>
      <c r="AO74" s="383"/>
      <c r="AP74" s="300"/>
      <c r="AQ74" s="178"/>
      <c r="AR74" s="178"/>
      <c r="AS74" s="178"/>
      <c r="AT74" s="178"/>
      <c r="AU74" s="178"/>
      <c r="AV74" s="178"/>
      <c r="AW74" s="178"/>
      <c r="AX74" s="178"/>
      <c r="AY74" s="381"/>
      <c r="AZ74" s="382"/>
      <c r="BA74" s="178"/>
      <c r="BB74" s="178"/>
      <c r="BC74" s="178"/>
      <c r="BD74" s="178"/>
      <c r="BE74" s="178"/>
      <c r="BF74" s="178"/>
      <c r="BG74" s="178"/>
      <c r="BH74" s="178"/>
      <c r="BI74" s="383"/>
      <c r="BJ74" s="300"/>
      <c r="BK74" s="178"/>
      <c r="BL74" s="178"/>
      <c r="BM74" s="178"/>
      <c r="BN74" s="178"/>
      <c r="BO74" s="178"/>
      <c r="BP74" s="178"/>
      <c r="BQ74" s="178"/>
      <c r="BR74" s="178"/>
      <c r="BS74" s="381"/>
      <c r="BT74" s="382"/>
      <c r="BU74" s="178"/>
      <c r="BV74" s="178"/>
      <c r="BW74" s="178"/>
      <c r="BX74" s="178"/>
      <c r="BY74" s="178"/>
      <c r="BZ74" s="178"/>
      <c r="CA74" s="178"/>
      <c r="CB74" s="178"/>
      <c r="CC74" s="383"/>
      <c r="CD74" s="300"/>
      <c r="CE74" s="178"/>
      <c r="CF74" s="178"/>
      <c r="CG74" s="178"/>
      <c r="CH74" s="178"/>
      <c r="CI74" s="419"/>
      <c r="CJ74" s="178"/>
      <c r="CK74" s="178"/>
      <c r="CL74" s="178"/>
      <c r="CM74" s="178"/>
      <c r="CN74" s="419"/>
      <c r="CO74" s="178"/>
      <c r="CP74" s="178"/>
      <c r="CQ74" s="178"/>
      <c r="CR74" s="178"/>
      <c r="CS74" s="419"/>
    </row>
    <row r="75" spans="1:131" ht="15.75" customHeight="1">
      <c r="A75" s="16" t="s">
        <v>243</v>
      </c>
      <c r="B75" s="300"/>
      <c r="C75" s="178"/>
      <c r="D75" s="178"/>
      <c r="E75" s="178"/>
      <c r="F75" s="178"/>
      <c r="G75" s="178"/>
      <c r="H75" s="178"/>
      <c r="I75" s="178"/>
      <c r="J75" s="178"/>
      <c r="K75" s="381"/>
      <c r="L75" s="382"/>
      <c r="M75" s="178"/>
      <c r="N75" s="178"/>
      <c r="O75" s="178"/>
      <c r="P75" s="178"/>
      <c r="Q75" s="178"/>
      <c r="R75" s="178"/>
      <c r="S75" s="178"/>
      <c r="T75" s="178"/>
      <c r="U75" s="383"/>
      <c r="V75" s="300"/>
      <c r="W75" s="178"/>
      <c r="X75" s="178"/>
      <c r="Y75" s="178"/>
      <c r="Z75" s="178"/>
      <c r="AA75" s="178"/>
      <c r="AB75" s="178"/>
      <c r="AC75" s="178"/>
      <c r="AD75" s="178"/>
      <c r="AE75" s="381"/>
      <c r="AF75" s="382"/>
      <c r="AG75" s="178"/>
      <c r="AH75" s="178"/>
      <c r="AI75" s="178"/>
      <c r="AJ75" s="178"/>
      <c r="AK75" s="178"/>
      <c r="AL75" s="178"/>
      <c r="AM75" s="178"/>
      <c r="AN75" s="178"/>
      <c r="AO75" s="383"/>
      <c r="AP75" s="300"/>
      <c r="AQ75" s="178"/>
      <c r="AR75" s="178"/>
      <c r="AS75" s="178"/>
      <c r="AT75" s="178"/>
      <c r="AU75" s="178"/>
      <c r="AV75" s="178"/>
      <c r="AW75" s="178"/>
      <c r="AX75" s="178"/>
      <c r="AY75" s="381"/>
      <c r="AZ75" s="382"/>
      <c r="BA75" s="178"/>
      <c r="BB75" s="178"/>
      <c r="BC75" s="178"/>
      <c r="BD75" s="178"/>
      <c r="BE75" s="178"/>
      <c r="BF75" s="178"/>
      <c r="BG75" s="178"/>
      <c r="BH75" s="178"/>
      <c r="BI75" s="383"/>
      <c r="BJ75" s="300"/>
      <c r="BK75" s="178"/>
      <c r="BL75" s="178"/>
      <c r="BM75" s="178"/>
      <c r="BN75" s="178"/>
      <c r="BO75" s="178"/>
      <c r="BP75" s="178"/>
      <c r="BQ75" s="178"/>
      <c r="BR75" s="178"/>
      <c r="BS75" s="381"/>
      <c r="BT75" s="382"/>
      <c r="BU75" s="178"/>
      <c r="BV75" s="178"/>
      <c r="BW75" s="178"/>
      <c r="BX75" s="178"/>
      <c r="BY75" s="178"/>
      <c r="BZ75" s="178"/>
      <c r="CA75" s="178"/>
      <c r="CB75" s="178"/>
      <c r="CC75" s="383"/>
      <c r="CD75" s="300"/>
      <c r="CE75" s="178"/>
      <c r="CF75" s="178"/>
      <c r="CG75" s="178"/>
      <c r="CH75" s="178"/>
      <c r="CI75" s="419"/>
      <c r="CJ75" s="178"/>
      <c r="CK75" s="178"/>
      <c r="CL75" s="178"/>
      <c r="CM75" s="178"/>
      <c r="CN75" s="419"/>
      <c r="CO75" s="178"/>
      <c r="CP75" s="178"/>
      <c r="CQ75" s="178"/>
      <c r="CR75" s="178"/>
      <c r="CS75" s="419"/>
    </row>
    <row r="76" spans="1:131" s="14" customFormat="1" ht="15.75" customHeight="1">
      <c r="A76" s="88" t="s">
        <v>244</v>
      </c>
      <c r="B76" s="300">
        <v>48</v>
      </c>
      <c r="C76" s="420"/>
      <c r="D76" s="420"/>
      <c r="E76" s="420"/>
      <c r="F76" s="420"/>
      <c r="G76" s="420"/>
      <c r="H76" s="420"/>
      <c r="I76" s="420"/>
      <c r="J76" s="420"/>
      <c r="K76" s="412">
        <f t="shared" ref="K76:K86" si="163">SUM(C76:J76)</f>
        <v>0</v>
      </c>
      <c r="L76" s="421"/>
      <c r="M76" s="420"/>
      <c r="N76" s="420"/>
      <c r="O76" s="420"/>
      <c r="P76" s="420"/>
      <c r="Q76" s="420"/>
      <c r="R76" s="420"/>
      <c r="S76" s="420"/>
      <c r="T76" s="414">
        <f t="shared" ref="T76:T86" si="164">SUM(L76:S76)</f>
        <v>0</v>
      </c>
      <c r="U76" s="415">
        <f t="shared" ref="U76:U86" si="165">SUM(T76,K76)</f>
        <v>0</v>
      </c>
      <c r="V76" s="300">
        <v>48</v>
      </c>
      <c r="W76" s="420"/>
      <c r="X76" s="420"/>
      <c r="Y76" s="420"/>
      <c r="Z76" s="420"/>
      <c r="AA76" s="420"/>
      <c r="AB76" s="420"/>
      <c r="AC76" s="420"/>
      <c r="AD76" s="420"/>
      <c r="AE76" s="412">
        <f t="shared" ref="AE76:AE86" si="166">SUM(W76:AD76)</f>
        <v>0</v>
      </c>
      <c r="AF76" s="421"/>
      <c r="AG76" s="420"/>
      <c r="AH76" s="420"/>
      <c r="AI76" s="420"/>
      <c r="AJ76" s="420"/>
      <c r="AK76" s="420"/>
      <c r="AL76" s="420"/>
      <c r="AM76" s="420"/>
      <c r="AN76" s="414">
        <f t="shared" ref="AN76:AN86" si="167">SUM(AF76:AM76)</f>
        <v>0</v>
      </c>
      <c r="AO76" s="415">
        <f t="shared" ref="AO76:AO86" si="168">SUM(AN76,AE76)</f>
        <v>0</v>
      </c>
      <c r="AP76" s="300">
        <v>48</v>
      </c>
      <c r="AQ76" s="420"/>
      <c r="AR76" s="420"/>
      <c r="AS76" s="420"/>
      <c r="AT76" s="420"/>
      <c r="AU76" s="420"/>
      <c r="AV76" s="420"/>
      <c r="AW76" s="420"/>
      <c r="AX76" s="420"/>
      <c r="AY76" s="412">
        <f t="shared" ref="AY76:AY86" si="169">SUM(AQ76:AX76)</f>
        <v>0</v>
      </c>
      <c r="AZ76" s="421"/>
      <c r="BA76" s="420"/>
      <c r="BB76" s="420"/>
      <c r="BC76" s="420"/>
      <c r="BD76" s="420"/>
      <c r="BE76" s="420"/>
      <c r="BF76" s="420"/>
      <c r="BG76" s="420"/>
      <c r="BH76" s="414">
        <f t="shared" ref="BH76:BH86" si="170">SUM(AZ76:BG76)</f>
        <v>0</v>
      </c>
      <c r="BI76" s="415">
        <f t="shared" ref="BI76:BI86" si="171">SUM(BH76,AY76)</f>
        <v>0</v>
      </c>
      <c r="BJ76" s="300">
        <v>48</v>
      </c>
      <c r="BK76" s="420"/>
      <c r="BL76" s="420"/>
      <c r="BM76" s="420"/>
      <c r="BN76" s="420"/>
      <c r="BO76" s="420"/>
      <c r="BP76" s="420"/>
      <c r="BQ76" s="420"/>
      <c r="BR76" s="420"/>
      <c r="BS76" s="412">
        <f t="shared" ref="BS76:BS86" si="172">SUM(BK76:BR76)</f>
        <v>0</v>
      </c>
      <c r="BT76" s="421"/>
      <c r="BU76" s="420"/>
      <c r="BV76" s="420"/>
      <c r="BW76" s="420"/>
      <c r="BX76" s="420"/>
      <c r="BY76" s="420"/>
      <c r="BZ76" s="420"/>
      <c r="CA76" s="420"/>
      <c r="CB76" s="414">
        <f t="shared" ref="CB76:CB86" si="173">SUM(BT76:CA76)</f>
        <v>0</v>
      </c>
      <c r="CC76" s="415">
        <f t="shared" ref="CC76:CC86" si="174">SUM(CB76,BS76)</f>
        <v>0</v>
      </c>
      <c r="CD76" s="300">
        <v>48</v>
      </c>
      <c r="CE76" s="414">
        <f t="shared" ref="CE76:CE86" si="175">+C76+D76+W76+X76+AQ76+AR76+BK76+BL76</f>
        <v>0</v>
      </c>
      <c r="CF76" s="414">
        <f t="shared" ref="CF76:CF86" si="176">+E76+F76+Y76+Z76+AS76+AT76+BM76+BN76</f>
        <v>0</v>
      </c>
      <c r="CG76" s="414">
        <f t="shared" ref="CG76:CG86" si="177">+G76+H76+AA76+AB76+AU76+AV76+BO76+BP76</f>
        <v>0</v>
      </c>
      <c r="CH76" s="414">
        <f t="shared" ref="CH76:CH86" si="178">+I76+J76+AC76+AD76+AW76+AX76+BQ76+BR76</f>
        <v>0</v>
      </c>
      <c r="CI76" s="416">
        <f t="shared" ref="CI76:CI86" si="179">SUM(K76,AE76,AY76,BS76)</f>
        <v>0</v>
      </c>
      <c r="CJ76" s="414">
        <f t="shared" ref="CJ76:CJ86" si="180">L76+M76+AF76+AG76+AZ76+BA76+BT76+BU76</f>
        <v>0</v>
      </c>
      <c r="CK76" s="414">
        <f t="shared" ref="CK76:CK86" si="181">N76+O76+AH76+AI76+BB76+BC76+BV76+BW76</f>
        <v>0</v>
      </c>
      <c r="CL76" s="414">
        <f t="shared" ref="CL76:CL86" si="182">P76+Q76+AJ76+AK76+BD76+BE76+BX76+BY76</f>
        <v>0</v>
      </c>
      <c r="CM76" s="414">
        <f t="shared" ref="CM76:CM86" si="183">+R76+S76+AL76+AM76+BF76+BG76+BZ76+CA76</f>
        <v>0</v>
      </c>
      <c r="CN76" s="416">
        <f t="shared" ref="CN76:CN86" si="184">SUM(T76,AN76,BH76,CB76)</f>
        <v>0</v>
      </c>
      <c r="CO76" s="414">
        <f t="shared" ref="CO76:CO86" si="185">+C76+D76+L76+M76+W76+X76+AF76+AG76+AQ76+AR76+AZ76+BA76+BK76+BL76+BT76+BU76</f>
        <v>0</v>
      </c>
      <c r="CP76" s="414">
        <f t="shared" ref="CP76:CP86" si="186">+E76+F76+N76+O76+Y76+Z76+AH76+AI76+AS76+AT76+BB76+BC76+BM76+BN76+BV76+BW76</f>
        <v>0</v>
      </c>
      <c r="CQ76" s="414">
        <f t="shared" ref="CQ76:CQ86" si="187">+G76+H76+P76+Q76+AA76+AB76+AJ76+AK76+AU76+AV76+BD76+BE76+BO76+BP76+BX76+BY76</f>
        <v>0</v>
      </c>
      <c r="CR76" s="414">
        <f t="shared" ref="CR76:CR86" si="188">+I76+J76+R76+S76+AC76+AD76+AL76+AM76+AW76+AX76+BF76+BG76+BQ76+BR76+BZ76+CA76</f>
        <v>0</v>
      </c>
      <c r="CS76" s="416">
        <f t="shared" ref="CS76:CS86" si="189">SUM(CC76,BI76,AO76,U76)</f>
        <v>0</v>
      </c>
      <c r="CT76" s="318"/>
      <c r="CU76" s="318"/>
      <c r="CV76" s="318"/>
      <c r="CW76" s="318"/>
      <c r="CX76" s="318"/>
      <c r="CY76" s="318"/>
      <c r="CZ76" s="318"/>
      <c r="DA76" s="318"/>
      <c r="DB76" s="318"/>
      <c r="DC76" s="318"/>
      <c r="DD76" s="318"/>
      <c r="DE76" s="318"/>
      <c r="DF76" s="318"/>
      <c r="DG76" s="318"/>
      <c r="DH76" s="318"/>
      <c r="DI76" s="318"/>
      <c r="DJ76" s="318"/>
      <c r="DK76" s="318"/>
      <c r="DL76" s="318"/>
      <c r="DM76" s="318"/>
      <c r="DN76" s="318"/>
      <c r="DO76" s="318"/>
      <c r="DP76" s="318"/>
      <c r="DQ76" s="318"/>
      <c r="DR76" s="318"/>
      <c r="DS76" s="318"/>
      <c r="DT76" s="318"/>
      <c r="DU76" s="318"/>
      <c r="DV76" s="318"/>
      <c r="DW76" s="318"/>
      <c r="DX76" s="318"/>
      <c r="DY76" s="318"/>
      <c r="DZ76" s="318"/>
      <c r="EA76" s="318"/>
    </row>
    <row r="77" spans="1:131" ht="15.75" customHeight="1">
      <c r="A77" s="88" t="s">
        <v>246</v>
      </c>
      <c r="B77" s="300">
        <v>49</v>
      </c>
      <c r="C77" s="420"/>
      <c r="D77" s="420"/>
      <c r="E77" s="420"/>
      <c r="F77" s="420"/>
      <c r="G77" s="420"/>
      <c r="H77" s="420"/>
      <c r="I77" s="420"/>
      <c r="J77" s="420"/>
      <c r="K77" s="412">
        <f t="shared" si="163"/>
        <v>0</v>
      </c>
      <c r="L77" s="421"/>
      <c r="M77" s="420"/>
      <c r="N77" s="420"/>
      <c r="O77" s="420"/>
      <c r="P77" s="420"/>
      <c r="Q77" s="420"/>
      <c r="R77" s="420"/>
      <c r="S77" s="420"/>
      <c r="T77" s="414">
        <f t="shared" si="164"/>
        <v>0</v>
      </c>
      <c r="U77" s="415">
        <f t="shared" si="165"/>
        <v>0</v>
      </c>
      <c r="V77" s="300">
        <v>49</v>
      </c>
      <c r="W77" s="420"/>
      <c r="X77" s="420"/>
      <c r="Y77" s="420"/>
      <c r="Z77" s="420"/>
      <c r="AA77" s="420"/>
      <c r="AB77" s="420"/>
      <c r="AC77" s="420"/>
      <c r="AD77" s="420"/>
      <c r="AE77" s="412">
        <f t="shared" si="166"/>
        <v>0</v>
      </c>
      <c r="AF77" s="421"/>
      <c r="AG77" s="420"/>
      <c r="AH77" s="420"/>
      <c r="AI77" s="420"/>
      <c r="AJ77" s="420"/>
      <c r="AK77" s="420"/>
      <c r="AL77" s="420"/>
      <c r="AM77" s="420"/>
      <c r="AN77" s="414">
        <f t="shared" si="167"/>
        <v>0</v>
      </c>
      <c r="AO77" s="415">
        <f t="shared" si="168"/>
        <v>0</v>
      </c>
      <c r="AP77" s="300">
        <v>49</v>
      </c>
      <c r="AQ77" s="420"/>
      <c r="AR77" s="420"/>
      <c r="AS77" s="420"/>
      <c r="AT77" s="420"/>
      <c r="AU77" s="420"/>
      <c r="AV77" s="420"/>
      <c r="AW77" s="420"/>
      <c r="AX77" s="420"/>
      <c r="AY77" s="412">
        <f t="shared" si="169"/>
        <v>0</v>
      </c>
      <c r="AZ77" s="421"/>
      <c r="BA77" s="420"/>
      <c r="BB77" s="420"/>
      <c r="BC77" s="420"/>
      <c r="BD77" s="420"/>
      <c r="BE77" s="420"/>
      <c r="BF77" s="420"/>
      <c r="BG77" s="420"/>
      <c r="BH77" s="414">
        <f t="shared" si="170"/>
        <v>0</v>
      </c>
      <c r="BI77" s="415">
        <f t="shared" si="171"/>
        <v>0</v>
      </c>
      <c r="BJ77" s="300">
        <v>49</v>
      </c>
      <c r="BK77" s="420"/>
      <c r="BL77" s="420"/>
      <c r="BM77" s="420"/>
      <c r="BN77" s="420"/>
      <c r="BO77" s="420"/>
      <c r="BP77" s="420"/>
      <c r="BQ77" s="420"/>
      <c r="BR77" s="420"/>
      <c r="BS77" s="412">
        <f t="shared" si="172"/>
        <v>0</v>
      </c>
      <c r="BT77" s="421"/>
      <c r="BU77" s="420"/>
      <c r="BV77" s="420"/>
      <c r="BW77" s="420"/>
      <c r="BX77" s="420"/>
      <c r="BY77" s="420"/>
      <c r="BZ77" s="420"/>
      <c r="CA77" s="420"/>
      <c r="CB77" s="414">
        <f t="shared" si="173"/>
        <v>0</v>
      </c>
      <c r="CC77" s="415">
        <f t="shared" si="174"/>
        <v>0</v>
      </c>
      <c r="CD77" s="300">
        <v>49</v>
      </c>
      <c r="CE77" s="414">
        <f t="shared" si="175"/>
        <v>0</v>
      </c>
      <c r="CF77" s="414">
        <f t="shared" si="176"/>
        <v>0</v>
      </c>
      <c r="CG77" s="414">
        <f t="shared" si="177"/>
        <v>0</v>
      </c>
      <c r="CH77" s="414">
        <f t="shared" si="178"/>
        <v>0</v>
      </c>
      <c r="CI77" s="416">
        <f t="shared" si="179"/>
        <v>0</v>
      </c>
      <c r="CJ77" s="414">
        <f t="shared" si="180"/>
        <v>0</v>
      </c>
      <c r="CK77" s="414">
        <f t="shared" si="181"/>
        <v>0</v>
      </c>
      <c r="CL77" s="414">
        <f t="shared" si="182"/>
        <v>0</v>
      </c>
      <c r="CM77" s="414">
        <f t="shared" si="183"/>
        <v>0</v>
      </c>
      <c r="CN77" s="416">
        <f t="shared" si="184"/>
        <v>0</v>
      </c>
      <c r="CO77" s="414">
        <f t="shared" si="185"/>
        <v>0</v>
      </c>
      <c r="CP77" s="414">
        <f t="shared" si="186"/>
        <v>0</v>
      </c>
      <c r="CQ77" s="414">
        <f t="shared" si="187"/>
        <v>0</v>
      </c>
      <c r="CR77" s="414">
        <f t="shared" si="188"/>
        <v>0</v>
      </c>
      <c r="CS77" s="416">
        <f t="shared" si="189"/>
        <v>0</v>
      </c>
    </row>
    <row r="78" spans="1:131" ht="15.75" customHeight="1">
      <c r="A78" s="88" t="s">
        <v>248</v>
      </c>
      <c r="B78" s="300">
        <v>50</v>
      </c>
      <c r="C78" s="420"/>
      <c r="D78" s="420"/>
      <c r="E78" s="420"/>
      <c r="F78" s="420"/>
      <c r="G78" s="420"/>
      <c r="H78" s="420"/>
      <c r="I78" s="420"/>
      <c r="J78" s="420"/>
      <c r="K78" s="412">
        <f t="shared" si="163"/>
        <v>0</v>
      </c>
      <c r="L78" s="421"/>
      <c r="M78" s="420"/>
      <c r="N78" s="420"/>
      <c r="O78" s="420"/>
      <c r="P78" s="420"/>
      <c r="Q78" s="420"/>
      <c r="R78" s="420"/>
      <c r="S78" s="420"/>
      <c r="T78" s="414">
        <f t="shared" si="164"/>
        <v>0</v>
      </c>
      <c r="U78" s="415">
        <f t="shared" si="165"/>
        <v>0</v>
      </c>
      <c r="V78" s="300">
        <v>50</v>
      </c>
      <c r="W78" s="420"/>
      <c r="X78" s="420"/>
      <c r="Y78" s="420"/>
      <c r="Z78" s="420"/>
      <c r="AA78" s="420"/>
      <c r="AB78" s="420"/>
      <c r="AC78" s="420"/>
      <c r="AD78" s="420"/>
      <c r="AE78" s="412">
        <f t="shared" si="166"/>
        <v>0</v>
      </c>
      <c r="AF78" s="421"/>
      <c r="AG78" s="420"/>
      <c r="AH78" s="420"/>
      <c r="AI78" s="420"/>
      <c r="AJ78" s="420"/>
      <c r="AK78" s="420"/>
      <c r="AL78" s="420"/>
      <c r="AM78" s="420"/>
      <c r="AN78" s="414">
        <f t="shared" si="167"/>
        <v>0</v>
      </c>
      <c r="AO78" s="415">
        <f t="shared" si="168"/>
        <v>0</v>
      </c>
      <c r="AP78" s="300">
        <v>50</v>
      </c>
      <c r="AQ78" s="420"/>
      <c r="AR78" s="420"/>
      <c r="AS78" s="420"/>
      <c r="AT78" s="420"/>
      <c r="AU78" s="420"/>
      <c r="AV78" s="420"/>
      <c r="AW78" s="420"/>
      <c r="AX78" s="420"/>
      <c r="AY78" s="412">
        <f t="shared" si="169"/>
        <v>0</v>
      </c>
      <c r="AZ78" s="421"/>
      <c r="BA78" s="420"/>
      <c r="BB78" s="420"/>
      <c r="BC78" s="420"/>
      <c r="BD78" s="420"/>
      <c r="BE78" s="420"/>
      <c r="BF78" s="420"/>
      <c r="BG78" s="420"/>
      <c r="BH78" s="414">
        <f t="shared" si="170"/>
        <v>0</v>
      </c>
      <c r="BI78" s="415">
        <f t="shared" si="171"/>
        <v>0</v>
      </c>
      <c r="BJ78" s="300">
        <v>50</v>
      </c>
      <c r="BK78" s="420"/>
      <c r="BL78" s="420"/>
      <c r="BM78" s="420"/>
      <c r="BN78" s="420"/>
      <c r="BO78" s="420"/>
      <c r="BP78" s="420"/>
      <c r="BQ78" s="420"/>
      <c r="BR78" s="420"/>
      <c r="BS78" s="412">
        <f t="shared" si="172"/>
        <v>0</v>
      </c>
      <c r="BT78" s="421"/>
      <c r="BU78" s="420"/>
      <c r="BV78" s="420"/>
      <c r="BW78" s="420"/>
      <c r="BX78" s="420"/>
      <c r="BY78" s="420"/>
      <c r="BZ78" s="420"/>
      <c r="CA78" s="420"/>
      <c r="CB78" s="414">
        <f t="shared" si="173"/>
        <v>0</v>
      </c>
      <c r="CC78" s="415">
        <f t="shared" si="174"/>
        <v>0</v>
      </c>
      <c r="CD78" s="300">
        <v>50</v>
      </c>
      <c r="CE78" s="414">
        <f t="shared" si="175"/>
        <v>0</v>
      </c>
      <c r="CF78" s="414">
        <f t="shared" si="176"/>
        <v>0</v>
      </c>
      <c r="CG78" s="414">
        <f t="shared" si="177"/>
        <v>0</v>
      </c>
      <c r="CH78" s="414">
        <f t="shared" si="178"/>
        <v>0</v>
      </c>
      <c r="CI78" s="416">
        <f t="shared" si="179"/>
        <v>0</v>
      </c>
      <c r="CJ78" s="414">
        <f t="shared" si="180"/>
        <v>0</v>
      </c>
      <c r="CK78" s="414">
        <f t="shared" si="181"/>
        <v>0</v>
      </c>
      <c r="CL78" s="414">
        <f t="shared" si="182"/>
        <v>0</v>
      </c>
      <c r="CM78" s="414">
        <f t="shared" si="183"/>
        <v>0</v>
      </c>
      <c r="CN78" s="416">
        <f t="shared" si="184"/>
        <v>0</v>
      </c>
      <c r="CO78" s="414">
        <f t="shared" si="185"/>
        <v>0</v>
      </c>
      <c r="CP78" s="414">
        <f t="shared" si="186"/>
        <v>0</v>
      </c>
      <c r="CQ78" s="414">
        <f t="shared" si="187"/>
        <v>0</v>
      </c>
      <c r="CR78" s="414">
        <f t="shared" si="188"/>
        <v>0</v>
      </c>
      <c r="CS78" s="416">
        <f t="shared" si="189"/>
        <v>0</v>
      </c>
    </row>
    <row r="79" spans="1:131" ht="15.75" customHeight="1">
      <c r="A79" s="88" t="s">
        <v>250</v>
      </c>
      <c r="B79" s="300">
        <v>51</v>
      </c>
      <c r="C79" s="420">
        <v>971.6536514495557</v>
      </c>
      <c r="D79" s="420">
        <v>3451.5392076474973</v>
      </c>
      <c r="E79" s="420">
        <v>1120.526270564563</v>
      </c>
      <c r="F79" s="420">
        <v>3424.6420739813489</v>
      </c>
      <c r="G79" s="420">
        <v>1325.6586418915856</v>
      </c>
      <c r="H79" s="420">
        <v>3375.7248302354205</v>
      </c>
      <c r="I79" s="420">
        <v>1346.4968155892893</v>
      </c>
      <c r="J79" s="420">
        <v>3452.875145355109</v>
      </c>
      <c r="K79" s="412">
        <f t="shared" si="163"/>
        <v>18469.116636714367</v>
      </c>
      <c r="L79" s="421">
        <v>0</v>
      </c>
      <c r="M79" s="420">
        <v>9231.6592392957245</v>
      </c>
      <c r="N79" s="420">
        <v>0</v>
      </c>
      <c r="O79" s="420">
        <v>8103.2406418207775</v>
      </c>
      <c r="P79" s="420">
        <v>0</v>
      </c>
      <c r="Q79" s="420">
        <v>8273.3960974347356</v>
      </c>
      <c r="R79" s="420">
        <v>0</v>
      </c>
      <c r="S79" s="420">
        <v>8230.0015957866526</v>
      </c>
      <c r="T79" s="414">
        <f t="shared" si="164"/>
        <v>33838.297574337892</v>
      </c>
      <c r="U79" s="415">
        <f t="shared" si="165"/>
        <v>52307.414211052259</v>
      </c>
      <c r="V79" s="300">
        <v>51</v>
      </c>
      <c r="W79" s="420">
        <v>201.25084592231659</v>
      </c>
      <c r="X79" s="420">
        <v>2709.8684517077659</v>
      </c>
      <c r="Y79" s="420">
        <v>147.15184618608976</v>
      </c>
      <c r="Z79" s="420">
        <v>2640.7950979454672</v>
      </c>
      <c r="AA79" s="420">
        <v>116.9010004568635</v>
      </c>
      <c r="AB79" s="420">
        <v>2589.0762622576744</v>
      </c>
      <c r="AC79" s="420">
        <v>239.5635917369884</v>
      </c>
      <c r="AD79" s="420">
        <v>2803.2159391227801</v>
      </c>
      <c r="AE79" s="412">
        <f t="shared" si="166"/>
        <v>11447.823035335947</v>
      </c>
      <c r="AF79" s="421">
        <v>0</v>
      </c>
      <c r="AG79" s="420">
        <v>3929.6986128811186</v>
      </c>
      <c r="AH79" s="420">
        <v>0</v>
      </c>
      <c r="AI79" s="420">
        <v>3583.8083106102049</v>
      </c>
      <c r="AJ79" s="420">
        <v>0</v>
      </c>
      <c r="AK79" s="420">
        <v>3800.5683298628132</v>
      </c>
      <c r="AL79" s="420">
        <v>0</v>
      </c>
      <c r="AM79" s="420">
        <v>4085.0797276936696</v>
      </c>
      <c r="AN79" s="414">
        <f t="shared" si="167"/>
        <v>15399.154981047806</v>
      </c>
      <c r="AO79" s="415">
        <f t="shared" si="168"/>
        <v>26846.978016383753</v>
      </c>
      <c r="AP79" s="300">
        <v>51</v>
      </c>
      <c r="AQ79" s="420">
        <v>24845.380492619322</v>
      </c>
      <c r="AR79" s="420">
        <v>78894.473736739295</v>
      </c>
      <c r="AS79" s="420">
        <v>26301.048016226814</v>
      </c>
      <c r="AT79" s="420">
        <v>80223.309428195353</v>
      </c>
      <c r="AU79" s="420">
        <v>26520.577477242212</v>
      </c>
      <c r="AV79" s="420">
        <v>81732.444756944722</v>
      </c>
      <c r="AW79" s="420">
        <v>28152.336495728716</v>
      </c>
      <c r="AX79" s="420">
        <v>83737.838033496344</v>
      </c>
      <c r="AY79" s="412">
        <f t="shared" si="169"/>
        <v>430407.40843719273</v>
      </c>
      <c r="AZ79" s="421">
        <v>0</v>
      </c>
      <c r="BA79" s="420">
        <v>82988.901263404929</v>
      </c>
      <c r="BB79" s="420">
        <v>0</v>
      </c>
      <c r="BC79" s="420">
        <v>66080.673285812445</v>
      </c>
      <c r="BD79" s="420">
        <v>0</v>
      </c>
      <c r="BE79" s="420">
        <v>72338.897658546819</v>
      </c>
      <c r="BF79" s="420">
        <v>0</v>
      </c>
      <c r="BG79" s="420">
        <v>72036.433839525722</v>
      </c>
      <c r="BH79" s="414">
        <f t="shared" si="170"/>
        <v>293444.9060472899</v>
      </c>
      <c r="BI79" s="415">
        <f t="shared" si="171"/>
        <v>723852.31448448263</v>
      </c>
      <c r="BJ79" s="300">
        <v>51</v>
      </c>
      <c r="BK79" s="420">
        <v>345.47525752641712</v>
      </c>
      <c r="BL79" s="420">
        <v>10113.922626013151</v>
      </c>
      <c r="BM79" s="420">
        <v>222.32045957710321</v>
      </c>
      <c r="BN79" s="420">
        <v>10052.13404902098</v>
      </c>
      <c r="BO79" s="420">
        <v>491.28067715011639</v>
      </c>
      <c r="BP79" s="420">
        <v>9770.0415722419075</v>
      </c>
      <c r="BQ79" s="420">
        <v>741.10427002447693</v>
      </c>
      <c r="BR79" s="420">
        <v>10340.012118833398</v>
      </c>
      <c r="BS79" s="412">
        <f t="shared" si="172"/>
        <v>42076.291030387554</v>
      </c>
      <c r="BT79" s="421">
        <v>0</v>
      </c>
      <c r="BU79" s="420">
        <v>3120.9922200744663</v>
      </c>
      <c r="BV79" s="420">
        <v>0</v>
      </c>
      <c r="BW79" s="420">
        <v>3076.5215295673697</v>
      </c>
      <c r="BX79" s="420">
        <v>0</v>
      </c>
      <c r="BY79" s="420">
        <v>3117.6834674181819</v>
      </c>
      <c r="BZ79" s="420">
        <v>0</v>
      </c>
      <c r="CA79" s="420">
        <v>3826.465836151614</v>
      </c>
      <c r="CB79" s="414">
        <f t="shared" si="173"/>
        <v>13141.663053211631</v>
      </c>
      <c r="CC79" s="415">
        <f t="shared" si="174"/>
        <v>55217.954083599187</v>
      </c>
      <c r="CD79" s="300">
        <v>51</v>
      </c>
      <c r="CE79" s="414">
        <f t="shared" si="175"/>
        <v>121533.56426962532</v>
      </c>
      <c r="CF79" s="414">
        <f t="shared" si="176"/>
        <v>124131.92724169773</v>
      </c>
      <c r="CG79" s="414">
        <f t="shared" si="177"/>
        <v>125921.70521842051</v>
      </c>
      <c r="CH79" s="414">
        <f t="shared" si="178"/>
        <v>130813.44240988711</v>
      </c>
      <c r="CI79" s="416">
        <f t="shared" si="179"/>
        <v>502400.6391396306</v>
      </c>
      <c r="CJ79" s="414">
        <f t="shared" si="180"/>
        <v>99271.251335656241</v>
      </c>
      <c r="CK79" s="414">
        <f t="shared" si="181"/>
        <v>80844.243767810796</v>
      </c>
      <c r="CL79" s="414">
        <f t="shared" si="182"/>
        <v>87530.545553262549</v>
      </c>
      <c r="CM79" s="414">
        <f t="shared" si="183"/>
        <v>88177.980999157662</v>
      </c>
      <c r="CN79" s="416">
        <f t="shared" si="184"/>
        <v>355824.02165588725</v>
      </c>
      <c r="CO79" s="414">
        <f t="shared" si="185"/>
        <v>220804.81560528156</v>
      </c>
      <c r="CP79" s="414">
        <f t="shared" si="186"/>
        <v>204976.17100950851</v>
      </c>
      <c r="CQ79" s="414">
        <f t="shared" si="187"/>
        <v>213452.25077168303</v>
      </c>
      <c r="CR79" s="414">
        <f t="shared" si="188"/>
        <v>218991.4234090448</v>
      </c>
      <c r="CS79" s="416">
        <f t="shared" si="189"/>
        <v>858224.66079551773</v>
      </c>
    </row>
    <row r="80" spans="1:131" ht="15.75" customHeight="1">
      <c r="A80" s="88" t="s">
        <v>252</v>
      </c>
      <c r="B80" s="300">
        <v>52</v>
      </c>
      <c r="C80" s="420"/>
      <c r="D80" s="420"/>
      <c r="E80" s="420"/>
      <c r="F80" s="420"/>
      <c r="G80" s="420"/>
      <c r="H80" s="420"/>
      <c r="I80" s="420"/>
      <c r="J80" s="420"/>
      <c r="K80" s="412">
        <f t="shared" si="163"/>
        <v>0</v>
      </c>
      <c r="L80" s="421"/>
      <c r="M80" s="420"/>
      <c r="N80" s="420"/>
      <c r="O80" s="420"/>
      <c r="P80" s="420"/>
      <c r="Q80" s="420"/>
      <c r="R80" s="420"/>
      <c r="S80" s="420"/>
      <c r="T80" s="414">
        <f t="shared" si="164"/>
        <v>0</v>
      </c>
      <c r="U80" s="415">
        <f t="shared" si="165"/>
        <v>0</v>
      </c>
      <c r="V80" s="300">
        <v>52</v>
      </c>
      <c r="W80" s="420"/>
      <c r="X80" s="420"/>
      <c r="Y80" s="420"/>
      <c r="Z80" s="420"/>
      <c r="AA80" s="420"/>
      <c r="AB80" s="420"/>
      <c r="AC80" s="420"/>
      <c r="AD80" s="420"/>
      <c r="AE80" s="412">
        <f t="shared" si="166"/>
        <v>0</v>
      </c>
      <c r="AF80" s="421"/>
      <c r="AG80" s="420"/>
      <c r="AH80" s="420"/>
      <c r="AI80" s="420"/>
      <c r="AJ80" s="420"/>
      <c r="AK80" s="420"/>
      <c r="AL80" s="420"/>
      <c r="AM80" s="420"/>
      <c r="AN80" s="414">
        <f t="shared" si="167"/>
        <v>0</v>
      </c>
      <c r="AO80" s="415">
        <f t="shared" si="168"/>
        <v>0</v>
      </c>
      <c r="AP80" s="300">
        <v>52</v>
      </c>
      <c r="AQ80" s="420"/>
      <c r="AR80" s="420"/>
      <c r="AS80" s="420"/>
      <c r="AT80" s="420"/>
      <c r="AU80" s="420"/>
      <c r="AV80" s="420"/>
      <c r="AW80" s="420"/>
      <c r="AX80" s="420"/>
      <c r="AY80" s="412">
        <f t="shared" si="169"/>
        <v>0</v>
      </c>
      <c r="AZ80" s="421"/>
      <c r="BA80" s="420"/>
      <c r="BB80" s="420"/>
      <c r="BC80" s="420"/>
      <c r="BD80" s="420"/>
      <c r="BE80" s="420"/>
      <c r="BF80" s="420"/>
      <c r="BG80" s="420"/>
      <c r="BH80" s="414">
        <f t="shared" si="170"/>
        <v>0</v>
      </c>
      <c r="BI80" s="415">
        <f t="shared" si="171"/>
        <v>0</v>
      </c>
      <c r="BJ80" s="300">
        <v>52</v>
      </c>
      <c r="BK80" s="420"/>
      <c r="BL80" s="420"/>
      <c r="BM80" s="420"/>
      <c r="BN80" s="420"/>
      <c r="BO80" s="420"/>
      <c r="BP80" s="420"/>
      <c r="BQ80" s="420"/>
      <c r="BR80" s="420"/>
      <c r="BS80" s="412">
        <f t="shared" si="172"/>
        <v>0</v>
      </c>
      <c r="BT80" s="421"/>
      <c r="BU80" s="420"/>
      <c r="BV80" s="420"/>
      <c r="BW80" s="420"/>
      <c r="BX80" s="420"/>
      <c r="BY80" s="420"/>
      <c r="BZ80" s="420"/>
      <c r="CA80" s="420"/>
      <c r="CB80" s="414">
        <f t="shared" si="173"/>
        <v>0</v>
      </c>
      <c r="CC80" s="415">
        <f t="shared" si="174"/>
        <v>0</v>
      </c>
      <c r="CD80" s="300">
        <v>52</v>
      </c>
      <c r="CE80" s="414">
        <f t="shared" si="175"/>
        <v>0</v>
      </c>
      <c r="CF80" s="414">
        <f t="shared" si="176"/>
        <v>0</v>
      </c>
      <c r="CG80" s="414">
        <f t="shared" si="177"/>
        <v>0</v>
      </c>
      <c r="CH80" s="414">
        <f t="shared" si="178"/>
        <v>0</v>
      </c>
      <c r="CI80" s="416">
        <f t="shared" si="179"/>
        <v>0</v>
      </c>
      <c r="CJ80" s="414">
        <f t="shared" si="180"/>
        <v>0</v>
      </c>
      <c r="CK80" s="414">
        <f t="shared" si="181"/>
        <v>0</v>
      </c>
      <c r="CL80" s="414">
        <f t="shared" si="182"/>
        <v>0</v>
      </c>
      <c r="CM80" s="414">
        <f t="shared" si="183"/>
        <v>0</v>
      </c>
      <c r="CN80" s="416">
        <f t="shared" si="184"/>
        <v>0</v>
      </c>
      <c r="CO80" s="414">
        <f t="shared" si="185"/>
        <v>0</v>
      </c>
      <c r="CP80" s="414">
        <f t="shared" si="186"/>
        <v>0</v>
      </c>
      <c r="CQ80" s="414">
        <f t="shared" si="187"/>
        <v>0</v>
      </c>
      <c r="CR80" s="414">
        <f t="shared" si="188"/>
        <v>0</v>
      </c>
      <c r="CS80" s="416">
        <f t="shared" si="189"/>
        <v>0</v>
      </c>
    </row>
    <row r="81" spans="1:131" ht="15.75" customHeight="1">
      <c r="A81" s="88" t="s">
        <v>254</v>
      </c>
      <c r="B81" s="300">
        <v>53</v>
      </c>
      <c r="C81" s="420">
        <v>7047.0528021893988</v>
      </c>
      <c r="D81" s="420">
        <v>25032.766571537588</v>
      </c>
      <c r="E81" s="420">
        <v>8664.527111646441</v>
      </c>
      <c r="F81" s="420">
        <v>26481.221259316102</v>
      </c>
      <c r="G81" s="420">
        <v>10253.087269274778</v>
      </c>
      <c r="H81" s="420">
        <v>26108.984762528442</v>
      </c>
      <c r="I81" s="420">
        <v>10865.437128358431</v>
      </c>
      <c r="J81" s="420">
        <v>27862.671021251725</v>
      </c>
      <c r="K81" s="412">
        <f t="shared" si="163"/>
        <v>142315.74792610292</v>
      </c>
      <c r="L81" s="421">
        <v>0</v>
      </c>
      <c r="M81" s="420">
        <v>66953.888367612468</v>
      </c>
      <c r="N81" s="420">
        <v>0</v>
      </c>
      <c r="O81" s="420">
        <v>62658.725705624587</v>
      </c>
      <c r="P81" s="420">
        <v>0</v>
      </c>
      <c r="Q81" s="420">
        <v>63989.212244891831</v>
      </c>
      <c r="R81" s="420">
        <v>0</v>
      </c>
      <c r="S81" s="420">
        <v>66411.270988542208</v>
      </c>
      <c r="T81" s="414">
        <f t="shared" si="164"/>
        <v>260013.09730667109</v>
      </c>
      <c r="U81" s="415">
        <f t="shared" si="165"/>
        <v>402328.84523277404</v>
      </c>
      <c r="V81" s="300">
        <v>53</v>
      </c>
      <c r="W81" s="420">
        <v>1459.5996583598251</v>
      </c>
      <c r="X81" s="420">
        <v>19653.696600308896</v>
      </c>
      <c r="Y81" s="420">
        <v>1137.8592312394501</v>
      </c>
      <c r="Z81" s="420">
        <v>20420.084136825364</v>
      </c>
      <c r="AA81" s="420">
        <v>904.15143210583426</v>
      </c>
      <c r="AB81" s="420">
        <v>20024.781663141504</v>
      </c>
      <c r="AC81" s="420">
        <v>1933.137244830986</v>
      </c>
      <c r="AD81" s="420">
        <v>22620.303435638576</v>
      </c>
      <c r="AE81" s="412">
        <f t="shared" si="166"/>
        <v>88153.613402450428</v>
      </c>
      <c r="AF81" s="421">
        <v>0</v>
      </c>
      <c r="AG81" s="420">
        <v>28500.683942627449</v>
      </c>
      <c r="AH81" s="420">
        <v>0</v>
      </c>
      <c r="AI81" s="420">
        <v>27711.982383581948</v>
      </c>
      <c r="AJ81" s="420">
        <v>0</v>
      </c>
      <c r="AK81" s="420">
        <v>29394.866466771877</v>
      </c>
      <c r="AL81" s="420">
        <v>0</v>
      </c>
      <c r="AM81" s="420">
        <v>32964.19006097813</v>
      </c>
      <c r="AN81" s="414">
        <f t="shared" si="167"/>
        <v>118571.72285395941</v>
      </c>
      <c r="AO81" s="415">
        <f t="shared" si="168"/>
        <v>206725.33625640982</v>
      </c>
      <c r="AP81" s="300">
        <v>53</v>
      </c>
      <c r="AQ81" s="420">
        <v>180194.56620244545</v>
      </c>
      <c r="AR81" s="420">
        <v>572193.1074867273</v>
      </c>
      <c r="AS81" s="420">
        <v>203374.20869793132</v>
      </c>
      <c r="AT81" s="420">
        <v>620330.87289991358</v>
      </c>
      <c r="AU81" s="420">
        <v>205119.01534299011</v>
      </c>
      <c r="AV81" s="420">
        <v>632146.06109184772</v>
      </c>
      <c r="AW81" s="420">
        <v>227172.7928868962</v>
      </c>
      <c r="AX81" s="420">
        <v>675715.08813366515</v>
      </c>
      <c r="AY81" s="412">
        <f t="shared" si="169"/>
        <v>3316245.7127424167</v>
      </c>
      <c r="AZ81" s="421">
        <v>0</v>
      </c>
      <c r="BA81" s="420">
        <v>601888.51071204862</v>
      </c>
      <c r="BB81" s="420">
        <v>0</v>
      </c>
      <c r="BC81" s="420">
        <v>510972.21036352555</v>
      </c>
      <c r="BD81" s="420">
        <v>0</v>
      </c>
      <c r="BE81" s="420">
        <v>559493.22639943578</v>
      </c>
      <c r="BF81" s="420">
        <v>0</v>
      </c>
      <c r="BG81" s="420">
        <v>581291.64047964686</v>
      </c>
      <c r="BH81" s="414">
        <f t="shared" si="170"/>
        <v>2253645.5879546572</v>
      </c>
      <c r="BI81" s="415">
        <f t="shared" si="171"/>
        <v>5569891.3006970733</v>
      </c>
      <c r="BJ81" s="300">
        <v>53</v>
      </c>
      <c r="BK81" s="420">
        <v>2505.6071965629162</v>
      </c>
      <c r="BL81" s="420">
        <v>73352.625883146757</v>
      </c>
      <c r="BM81" s="420">
        <v>1719.1044066365034</v>
      </c>
      <c r="BN81" s="420">
        <v>77728.644375079108</v>
      </c>
      <c r="BO81" s="420">
        <v>3799.7290534319141</v>
      </c>
      <c r="BP81" s="420">
        <v>75564.768862142097</v>
      </c>
      <c r="BQ81" s="420">
        <v>5980.2754512901029</v>
      </c>
      <c r="BR81" s="420">
        <v>83437.814544314038</v>
      </c>
      <c r="BS81" s="412">
        <f t="shared" si="172"/>
        <v>324088.5697726034</v>
      </c>
      <c r="BT81" s="421">
        <v>0</v>
      </c>
      <c r="BU81" s="420">
        <v>22635.428722236331</v>
      </c>
      <c r="BV81" s="420">
        <v>0</v>
      </c>
      <c r="BW81" s="420">
        <v>23789.361216020272</v>
      </c>
      <c r="BX81" s="420">
        <v>0</v>
      </c>
      <c r="BY81" s="420">
        <v>24113.206567115663</v>
      </c>
      <c r="BZ81" s="420">
        <v>0</v>
      </c>
      <c r="CA81" s="420">
        <v>30877.328104427161</v>
      </c>
      <c r="CB81" s="414">
        <f t="shared" si="173"/>
        <v>101415.32460979943</v>
      </c>
      <c r="CC81" s="415">
        <f t="shared" si="174"/>
        <v>425503.89438240282</v>
      </c>
      <c r="CD81" s="300">
        <v>53</v>
      </c>
      <c r="CE81" s="414">
        <f t="shared" si="175"/>
        <v>881439.02240127814</v>
      </c>
      <c r="CF81" s="414">
        <f t="shared" si="176"/>
        <v>959856.52211858786</v>
      </c>
      <c r="CG81" s="414">
        <f t="shared" si="177"/>
        <v>973920.57947746234</v>
      </c>
      <c r="CH81" s="414">
        <f t="shared" si="178"/>
        <v>1055587.5198462452</v>
      </c>
      <c r="CI81" s="416">
        <f t="shared" si="179"/>
        <v>3870803.6438435735</v>
      </c>
      <c r="CJ81" s="414">
        <f t="shared" si="180"/>
        <v>719978.51174452482</v>
      </c>
      <c r="CK81" s="414">
        <f t="shared" si="181"/>
        <v>625132.27966875234</v>
      </c>
      <c r="CL81" s="414">
        <f t="shared" si="182"/>
        <v>676990.51167821512</v>
      </c>
      <c r="CM81" s="414">
        <f t="shared" si="183"/>
        <v>711544.42963359435</v>
      </c>
      <c r="CN81" s="416">
        <f t="shared" si="184"/>
        <v>2733645.7327250871</v>
      </c>
      <c r="CO81" s="414">
        <f t="shared" si="185"/>
        <v>1601417.5341458027</v>
      </c>
      <c r="CP81" s="414">
        <f t="shared" si="186"/>
        <v>1584988.8017873401</v>
      </c>
      <c r="CQ81" s="414">
        <f t="shared" si="187"/>
        <v>1650911.0911556773</v>
      </c>
      <c r="CR81" s="414">
        <f t="shared" si="188"/>
        <v>1767131.9494798395</v>
      </c>
      <c r="CS81" s="416">
        <f t="shared" si="189"/>
        <v>6604449.3765686601</v>
      </c>
    </row>
    <row r="82" spans="1:131" ht="15.75" customHeight="1">
      <c r="A82" s="88" t="s">
        <v>256</v>
      </c>
      <c r="B82" s="300">
        <v>54</v>
      </c>
      <c r="C82" s="420"/>
      <c r="D82" s="420"/>
      <c r="E82" s="420"/>
      <c r="F82" s="420"/>
      <c r="G82" s="420"/>
      <c r="H82" s="420"/>
      <c r="I82" s="420"/>
      <c r="J82" s="420"/>
      <c r="K82" s="412">
        <f t="shared" si="163"/>
        <v>0</v>
      </c>
      <c r="L82" s="421"/>
      <c r="M82" s="420"/>
      <c r="N82" s="420"/>
      <c r="O82" s="420"/>
      <c r="P82" s="420"/>
      <c r="Q82" s="420"/>
      <c r="R82" s="420"/>
      <c r="S82" s="420"/>
      <c r="T82" s="414">
        <f t="shared" si="164"/>
        <v>0</v>
      </c>
      <c r="U82" s="415">
        <f t="shared" si="165"/>
        <v>0</v>
      </c>
      <c r="V82" s="300">
        <v>54</v>
      </c>
      <c r="W82" s="420"/>
      <c r="X82" s="420"/>
      <c r="Y82" s="420"/>
      <c r="Z82" s="420"/>
      <c r="AA82" s="420"/>
      <c r="AB82" s="420"/>
      <c r="AC82" s="420"/>
      <c r="AD82" s="420"/>
      <c r="AE82" s="412">
        <f t="shared" si="166"/>
        <v>0</v>
      </c>
      <c r="AF82" s="421"/>
      <c r="AG82" s="420"/>
      <c r="AH82" s="420"/>
      <c r="AI82" s="420"/>
      <c r="AJ82" s="420"/>
      <c r="AK82" s="420"/>
      <c r="AL82" s="420"/>
      <c r="AM82" s="420"/>
      <c r="AN82" s="414">
        <f t="shared" si="167"/>
        <v>0</v>
      </c>
      <c r="AO82" s="415">
        <f t="shared" si="168"/>
        <v>0</v>
      </c>
      <c r="AP82" s="300">
        <v>54</v>
      </c>
      <c r="AQ82" s="420"/>
      <c r="AR82" s="420"/>
      <c r="AS82" s="420"/>
      <c r="AT82" s="420"/>
      <c r="AU82" s="420"/>
      <c r="AV82" s="420"/>
      <c r="AW82" s="420"/>
      <c r="AX82" s="420"/>
      <c r="AY82" s="412">
        <f t="shared" si="169"/>
        <v>0</v>
      </c>
      <c r="AZ82" s="421"/>
      <c r="BA82" s="420"/>
      <c r="BB82" s="420"/>
      <c r="BC82" s="420"/>
      <c r="BD82" s="420"/>
      <c r="BE82" s="420"/>
      <c r="BF82" s="420"/>
      <c r="BG82" s="420"/>
      <c r="BH82" s="414">
        <f t="shared" si="170"/>
        <v>0</v>
      </c>
      <c r="BI82" s="415">
        <f t="shared" si="171"/>
        <v>0</v>
      </c>
      <c r="BJ82" s="300">
        <v>54</v>
      </c>
      <c r="BK82" s="420"/>
      <c r="BL82" s="420"/>
      <c r="BM82" s="420"/>
      <c r="BN82" s="420"/>
      <c r="BO82" s="420"/>
      <c r="BP82" s="420"/>
      <c r="BQ82" s="420"/>
      <c r="BR82" s="420"/>
      <c r="BS82" s="412">
        <f t="shared" si="172"/>
        <v>0</v>
      </c>
      <c r="BT82" s="421"/>
      <c r="BU82" s="420"/>
      <c r="BV82" s="420"/>
      <c r="BW82" s="420"/>
      <c r="BX82" s="420"/>
      <c r="BY82" s="420"/>
      <c r="BZ82" s="420"/>
      <c r="CA82" s="420"/>
      <c r="CB82" s="414">
        <f t="shared" si="173"/>
        <v>0</v>
      </c>
      <c r="CC82" s="415">
        <f t="shared" si="174"/>
        <v>0</v>
      </c>
      <c r="CD82" s="300">
        <v>54</v>
      </c>
      <c r="CE82" s="414">
        <f t="shared" si="175"/>
        <v>0</v>
      </c>
      <c r="CF82" s="414">
        <f t="shared" si="176"/>
        <v>0</v>
      </c>
      <c r="CG82" s="414">
        <f t="shared" si="177"/>
        <v>0</v>
      </c>
      <c r="CH82" s="414">
        <f t="shared" si="178"/>
        <v>0</v>
      </c>
      <c r="CI82" s="416">
        <f t="shared" si="179"/>
        <v>0</v>
      </c>
      <c r="CJ82" s="414">
        <f t="shared" si="180"/>
        <v>0</v>
      </c>
      <c r="CK82" s="414">
        <f t="shared" si="181"/>
        <v>0</v>
      </c>
      <c r="CL82" s="414">
        <f t="shared" si="182"/>
        <v>0</v>
      </c>
      <c r="CM82" s="414">
        <f t="shared" si="183"/>
        <v>0</v>
      </c>
      <c r="CN82" s="416">
        <f t="shared" si="184"/>
        <v>0</v>
      </c>
      <c r="CO82" s="414">
        <f t="shared" si="185"/>
        <v>0</v>
      </c>
      <c r="CP82" s="414">
        <f t="shared" si="186"/>
        <v>0</v>
      </c>
      <c r="CQ82" s="414">
        <f t="shared" si="187"/>
        <v>0</v>
      </c>
      <c r="CR82" s="414">
        <f t="shared" si="188"/>
        <v>0</v>
      </c>
      <c r="CS82" s="416">
        <f t="shared" si="189"/>
        <v>0</v>
      </c>
    </row>
    <row r="83" spans="1:131" ht="15.75" customHeight="1">
      <c r="A83" s="88" t="s">
        <v>258</v>
      </c>
      <c r="B83" s="300">
        <v>55</v>
      </c>
      <c r="C83" s="420"/>
      <c r="D83" s="420"/>
      <c r="E83" s="420"/>
      <c r="F83" s="420"/>
      <c r="G83" s="420"/>
      <c r="H83" s="420"/>
      <c r="I83" s="420"/>
      <c r="J83" s="420"/>
      <c r="K83" s="412">
        <f t="shared" si="163"/>
        <v>0</v>
      </c>
      <c r="L83" s="421"/>
      <c r="M83" s="420"/>
      <c r="N83" s="420"/>
      <c r="O83" s="420"/>
      <c r="P83" s="420"/>
      <c r="Q83" s="420"/>
      <c r="R83" s="420"/>
      <c r="S83" s="420"/>
      <c r="T83" s="414">
        <f t="shared" si="164"/>
        <v>0</v>
      </c>
      <c r="U83" s="415">
        <f t="shared" si="165"/>
        <v>0</v>
      </c>
      <c r="V83" s="300">
        <v>55</v>
      </c>
      <c r="W83" s="420"/>
      <c r="X83" s="420"/>
      <c r="Y83" s="420"/>
      <c r="Z83" s="420"/>
      <c r="AA83" s="420"/>
      <c r="AB83" s="420"/>
      <c r="AC83" s="420"/>
      <c r="AD83" s="420"/>
      <c r="AE83" s="412">
        <f t="shared" si="166"/>
        <v>0</v>
      </c>
      <c r="AF83" s="421"/>
      <c r="AG83" s="420"/>
      <c r="AH83" s="420"/>
      <c r="AI83" s="420"/>
      <c r="AJ83" s="420"/>
      <c r="AK83" s="420"/>
      <c r="AL83" s="420"/>
      <c r="AM83" s="420"/>
      <c r="AN83" s="414">
        <f t="shared" si="167"/>
        <v>0</v>
      </c>
      <c r="AO83" s="415">
        <f t="shared" si="168"/>
        <v>0</v>
      </c>
      <c r="AP83" s="300">
        <v>55</v>
      </c>
      <c r="AQ83" s="420"/>
      <c r="AR83" s="420"/>
      <c r="AS83" s="420"/>
      <c r="AT83" s="420"/>
      <c r="AU83" s="420"/>
      <c r="AV83" s="420"/>
      <c r="AW83" s="420"/>
      <c r="AX83" s="420"/>
      <c r="AY83" s="412">
        <f t="shared" si="169"/>
        <v>0</v>
      </c>
      <c r="AZ83" s="421"/>
      <c r="BA83" s="420"/>
      <c r="BB83" s="420"/>
      <c r="BC83" s="420"/>
      <c r="BD83" s="420"/>
      <c r="BE83" s="420"/>
      <c r="BF83" s="420"/>
      <c r="BG83" s="420"/>
      <c r="BH83" s="414">
        <f t="shared" si="170"/>
        <v>0</v>
      </c>
      <c r="BI83" s="415">
        <f t="shared" si="171"/>
        <v>0</v>
      </c>
      <c r="BJ83" s="300">
        <v>55</v>
      </c>
      <c r="BK83" s="420"/>
      <c r="BL83" s="420"/>
      <c r="BM83" s="420"/>
      <c r="BN83" s="420"/>
      <c r="BO83" s="420"/>
      <c r="BP83" s="420"/>
      <c r="BQ83" s="420"/>
      <c r="BR83" s="420"/>
      <c r="BS83" s="412">
        <f t="shared" si="172"/>
        <v>0</v>
      </c>
      <c r="BT83" s="421"/>
      <c r="BU83" s="420"/>
      <c r="BV83" s="420"/>
      <c r="BW83" s="420"/>
      <c r="BX83" s="420"/>
      <c r="BY83" s="420"/>
      <c r="BZ83" s="420"/>
      <c r="CA83" s="420"/>
      <c r="CB83" s="414">
        <f t="shared" si="173"/>
        <v>0</v>
      </c>
      <c r="CC83" s="415">
        <f t="shared" si="174"/>
        <v>0</v>
      </c>
      <c r="CD83" s="300">
        <v>55</v>
      </c>
      <c r="CE83" s="414">
        <f t="shared" si="175"/>
        <v>0</v>
      </c>
      <c r="CF83" s="414">
        <f t="shared" si="176"/>
        <v>0</v>
      </c>
      <c r="CG83" s="414">
        <f t="shared" si="177"/>
        <v>0</v>
      </c>
      <c r="CH83" s="414">
        <f t="shared" si="178"/>
        <v>0</v>
      </c>
      <c r="CI83" s="416">
        <f t="shared" si="179"/>
        <v>0</v>
      </c>
      <c r="CJ83" s="414">
        <f t="shared" si="180"/>
        <v>0</v>
      </c>
      <c r="CK83" s="414">
        <f t="shared" si="181"/>
        <v>0</v>
      </c>
      <c r="CL83" s="414">
        <f t="shared" si="182"/>
        <v>0</v>
      </c>
      <c r="CM83" s="414">
        <f t="shared" si="183"/>
        <v>0</v>
      </c>
      <c r="CN83" s="416">
        <f t="shared" si="184"/>
        <v>0</v>
      </c>
      <c r="CO83" s="414">
        <f t="shared" si="185"/>
        <v>0</v>
      </c>
      <c r="CP83" s="414">
        <f t="shared" si="186"/>
        <v>0</v>
      </c>
      <c r="CQ83" s="414">
        <f t="shared" si="187"/>
        <v>0</v>
      </c>
      <c r="CR83" s="414">
        <f t="shared" si="188"/>
        <v>0</v>
      </c>
      <c r="CS83" s="416">
        <f t="shared" si="189"/>
        <v>0</v>
      </c>
    </row>
    <row r="84" spans="1:131" ht="15.75" customHeight="1">
      <c r="A84" s="88" t="s">
        <v>260</v>
      </c>
      <c r="B84" s="300">
        <v>56</v>
      </c>
      <c r="C84" s="420"/>
      <c r="D84" s="420"/>
      <c r="E84" s="420"/>
      <c r="F84" s="420"/>
      <c r="G84" s="420"/>
      <c r="H84" s="420"/>
      <c r="I84" s="420"/>
      <c r="J84" s="420"/>
      <c r="K84" s="412">
        <f t="shared" si="163"/>
        <v>0</v>
      </c>
      <c r="L84" s="421"/>
      <c r="M84" s="420"/>
      <c r="N84" s="420"/>
      <c r="O84" s="420"/>
      <c r="P84" s="420"/>
      <c r="Q84" s="420"/>
      <c r="R84" s="420"/>
      <c r="S84" s="420"/>
      <c r="T84" s="414">
        <f t="shared" si="164"/>
        <v>0</v>
      </c>
      <c r="U84" s="415">
        <f t="shared" si="165"/>
        <v>0</v>
      </c>
      <c r="V84" s="300">
        <v>56</v>
      </c>
      <c r="W84" s="420"/>
      <c r="X84" s="420"/>
      <c r="Y84" s="420"/>
      <c r="Z84" s="420"/>
      <c r="AA84" s="420"/>
      <c r="AB84" s="420"/>
      <c r="AC84" s="420"/>
      <c r="AD84" s="420"/>
      <c r="AE84" s="412">
        <f t="shared" si="166"/>
        <v>0</v>
      </c>
      <c r="AF84" s="421"/>
      <c r="AG84" s="420"/>
      <c r="AH84" s="420"/>
      <c r="AI84" s="420"/>
      <c r="AJ84" s="420"/>
      <c r="AK84" s="420"/>
      <c r="AL84" s="420"/>
      <c r="AM84" s="420"/>
      <c r="AN84" s="414">
        <f t="shared" si="167"/>
        <v>0</v>
      </c>
      <c r="AO84" s="415">
        <f t="shared" si="168"/>
        <v>0</v>
      </c>
      <c r="AP84" s="300">
        <v>56</v>
      </c>
      <c r="AQ84" s="420"/>
      <c r="AR84" s="420"/>
      <c r="AS84" s="420"/>
      <c r="AT84" s="420"/>
      <c r="AU84" s="420"/>
      <c r="AV84" s="420"/>
      <c r="AW84" s="420"/>
      <c r="AX84" s="420"/>
      <c r="AY84" s="412">
        <f t="shared" si="169"/>
        <v>0</v>
      </c>
      <c r="AZ84" s="421"/>
      <c r="BA84" s="420"/>
      <c r="BB84" s="420"/>
      <c r="BC84" s="420"/>
      <c r="BD84" s="420"/>
      <c r="BE84" s="420"/>
      <c r="BF84" s="420"/>
      <c r="BG84" s="420"/>
      <c r="BH84" s="414">
        <f t="shared" si="170"/>
        <v>0</v>
      </c>
      <c r="BI84" s="415">
        <f t="shared" si="171"/>
        <v>0</v>
      </c>
      <c r="BJ84" s="300">
        <v>56</v>
      </c>
      <c r="BK84" s="420"/>
      <c r="BL84" s="420"/>
      <c r="BM84" s="420"/>
      <c r="BN84" s="420"/>
      <c r="BO84" s="420"/>
      <c r="BP84" s="420"/>
      <c r="BQ84" s="420"/>
      <c r="BR84" s="420"/>
      <c r="BS84" s="412">
        <f t="shared" si="172"/>
        <v>0</v>
      </c>
      <c r="BT84" s="421"/>
      <c r="BU84" s="420"/>
      <c r="BV84" s="420"/>
      <c r="BW84" s="420"/>
      <c r="BX84" s="420"/>
      <c r="BY84" s="420"/>
      <c r="BZ84" s="420"/>
      <c r="CA84" s="420"/>
      <c r="CB84" s="414">
        <f t="shared" si="173"/>
        <v>0</v>
      </c>
      <c r="CC84" s="415">
        <f t="shared" si="174"/>
        <v>0</v>
      </c>
      <c r="CD84" s="300">
        <v>56</v>
      </c>
      <c r="CE84" s="414">
        <f t="shared" si="175"/>
        <v>0</v>
      </c>
      <c r="CF84" s="414">
        <f t="shared" si="176"/>
        <v>0</v>
      </c>
      <c r="CG84" s="414">
        <f t="shared" si="177"/>
        <v>0</v>
      </c>
      <c r="CH84" s="414">
        <f t="shared" si="178"/>
        <v>0</v>
      </c>
      <c r="CI84" s="416">
        <f t="shared" si="179"/>
        <v>0</v>
      </c>
      <c r="CJ84" s="414">
        <f t="shared" si="180"/>
        <v>0</v>
      </c>
      <c r="CK84" s="414">
        <f t="shared" si="181"/>
        <v>0</v>
      </c>
      <c r="CL84" s="414">
        <f t="shared" si="182"/>
        <v>0</v>
      </c>
      <c r="CM84" s="414">
        <f t="shared" si="183"/>
        <v>0</v>
      </c>
      <c r="CN84" s="416">
        <f t="shared" si="184"/>
        <v>0</v>
      </c>
      <c r="CO84" s="414">
        <f t="shared" si="185"/>
        <v>0</v>
      </c>
      <c r="CP84" s="414">
        <f t="shared" si="186"/>
        <v>0</v>
      </c>
      <c r="CQ84" s="414">
        <f t="shared" si="187"/>
        <v>0</v>
      </c>
      <c r="CR84" s="414">
        <f t="shared" si="188"/>
        <v>0</v>
      </c>
      <c r="CS84" s="416">
        <f t="shared" si="189"/>
        <v>0</v>
      </c>
    </row>
    <row r="85" spans="1:131" ht="15.75" customHeight="1">
      <c r="A85" s="88" t="s">
        <v>262</v>
      </c>
      <c r="B85" s="300">
        <v>57</v>
      </c>
      <c r="C85" s="420"/>
      <c r="D85" s="420"/>
      <c r="E85" s="420"/>
      <c r="F85" s="420"/>
      <c r="G85" s="420"/>
      <c r="H85" s="420"/>
      <c r="I85" s="420"/>
      <c r="J85" s="420"/>
      <c r="K85" s="412">
        <f t="shared" si="163"/>
        <v>0</v>
      </c>
      <c r="L85" s="421"/>
      <c r="M85" s="420"/>
      <c r="N85" s="420"/>
      <c r="O85" s="420"/>
      <c r="P85" s="420"/>
      <c r="Q85" s="420"/>
      <c r="R85" s="420"/>
      <c r="S85" s="420"/>
      <c r="T85" s="414">
        <f t="shared" si="164"/>
        <v>0</v>
      </c>
      <c r="U85" s="415">
        <f t="shared" si="165"/>
        <v>0</v>
      </c>
      <c r="V85" s="300">
        <v>57</v>
      </c>
      <c r="W85" s="420"/>
      <c r="X85" s="420"/>
      <c r="Y85" s="420"/>
      <c r="Z85" s="420"/>
      <c r="AA85" s="420"/>
      <c r="AB85" s="420"/>
      <c r="AC85" s="420"/>
      <c r="AD85" s="420"/>
      <c r="AE85" s="412">
        <f t="shared" si="166"/>
        <v>0</v>
      </c>
      <c r="AF85" s="421"/>
      <c r="AG85" s="420"/>
      <c r="AH85" s="420"/>
      <c r="AI85" s="420"/>
      <c r="AJ85" s="420"/>
      <c r="AK85" s="420"/>
      <c r="AL85" s="420"/>
      <c r="AM85" s="420"/>
      <c r="AN85" s="414">
        <f t="shared" si="167"/>
        <v>0</v>
      </c>
      <c r="AO85" s="415">
        <f t="shared" si="168"/>
        <v>0</v>
      </c>
      <c r="AP85" s="300">
        <v>57</v>
      </c>
      <c r="AQ85" s="420"/>
      <c r="AR85" s="420"/>
      <c r="AS85" s="420"/>
      <c r="AT85" s="420"/>
      <c r="AU85" s="420"/>
      <c r="AV85" s="420"/>
      <c r="AW85" s="420"/>
      <c r="AX85" s="420"/>
      <c r="AY85" s="412">
        <f t="shared" si="169"/>
        <v>0</v>
      </c>
      <c r="AZ85" s="421"/>
      <c r="BA85" s="420"/>
      <c r="BB85" s="420"/>
      <c r="BC85" s="420"/>
      <c r="BD85" s="420"/>
      <c r="BE85" s="420"/>
      <c r="BF85" s="420"/>
      <c r="BG85" s="420"/>
      <c r="BH85" s="414">
        <f t="shared" si="170"/>
        <v>0</v>
      </c>
      <c r="BI85" s="415">
        <f t="shared" si="171"/>
        <v>0</v>
      </c>
      <c r="BJ85" s="300">
        <v>57</v>
      </c>
      <c r="BK85" s="420"/>
      <c r="BL85" s="420"/>
      <c r="BM85" s="420"/>
      <c r="BN85" s="420"/>
      <c r="BO85" s="420"/>
      <c r="BP85" s="420"/>
      <c r="BQ85" s="420"/>
      <c r="BR85" s="420"/>
      <c r="BS85" s="412">
        <f t="shared" si="172"/>
        <v>0</v>
      </c>
      <c r="BT85" s="421"/>
      <c r="BU85" s="420"/>
      <c r="BV85" s="420"/>
      <c r="BW85" s="420"/>
      <c r="BX85" s="420"/>
      <c r="BY85" s="420"/>
      <c r="BZ85" s="420"/>
      <c r="CA85" s="420"/>
      <c r="CB85" s="414">
        <f t="shared" si="173"/>
        <v>0</v>
      </c>
      <c r="CC85" s="415">
        <f t="shared" si="174"/>
        <v>0</v>
      </c>
      <c r="CD85" s="300">
        <v>57</v>
      </c>
      <c r="CE85" s="414">
        <f t="shared" si="175"/>
        <v>0</v>
      </c>
      <c r="CF85" s="414">
        <f t="shared" si="176"/>
        <v>0</v>
      </c>
      <c r="CG85" s="414">
        <f t="shared" si="177"/>
        <v>0</v>
      </c>
      <c r="CH85" s="414">
        <f t="shared" si="178"/>
        <v>0</v>
      </c>
      <c r="CI85" s="416">
        <f t="shared" si="179"/>
        <v>0</v>
      </c>
      <c r="CJ85" s="414">
        <f t="shared" si="180"/>
        <v>0</v>
      </c>
      <c r="CK85" s="414">
        <f t="shared" si="181"/>
        <v>0</v>
      </c>
      <c r="CL85" s="414">
        <f t="shared" si="182"/>
        <v>0</v>
      </c>
      <c r="CM85" s="414">
        <f t="shared" si="183"/>
        <v>0</v>
      </c>
      <c r="CN85" s="416">
        <f t="shared" si="184"/>
        <v>0</v>
      </c>
      <c r="CO85" s="414">
        <f t="shared" si="185"/>
        <v>0</v>
      </c>
      <c r="CP85" s="414">
        <f t="shared" si="186"/>
        <v>0</v>
      </c>
      <c r="CQ85" s="414">
        <f t="shared" si="187"/>
        <v>0</v>
      </c>
      <c r="CR85" s="414">
        <f t="shared" si="188"/>
        <v>0</v>
      </c>
      <c r="CS85" s="416">
        <f t="shared" si="189"/>
        <v>0</v>
      </c>
    </row>
    <row r="86" spans="1:131" ht="15.75" customHeight="1">
      <c r="A86" s="88" t="s">
        <v>264</v>
      </c>
      <c r="B86" s="300">
        <v>58</v>
      </c>
      <c r="C86" s="420">
        <v>1367.2778927784505</v>
      </c>
      <c r="D86" s="420">
        <v>4856.8883033930269</v>
      </c>
      <c r="E86" s="420">
        <v>2294.6590267080969</v>
      </c>
      <c r="F86" s="420">
        <v>7013.120579802463</v>
      </c>
      <c r="G86" s="420">
        <v>3646.2157501438774</v>
      </c>
      <c r="H86" s="420">
        <v>9284.9098970101059</v>
      </c>
      <c r="I86" s="420">
        <v>3264.1128464542244</v>
      </c>
      <c r="J86" s="420">
        <v>8370.2939276715515</v>
      </c>
      <c r="K86" s="412">
        <f t="shared" si="163"/>
        <v>40097.478223961793</v>
      </c>
      <c r="L86" s="421">
        <v>0</v>
      </c>
      <c r="M86" s="420">
        <v>12990.476156521978</v>
      </c>
      <c r="N86" s="420">
        <v>0</v>
      </c>
      <c r="O86" s="420">
        <v>16594.143995368817</v>
      </c>
      <c r="P86" s="420">
        <v>0</v>
      </c>
      <c r="Q86" s="420">
        <v>22755.923888973895</v>
      </c>
      <c r="R86" s="420">
        <v>0</v>
      </c>
      <c r="S86" s="420">
        <v>19950.774204682548</v>
      </c>
      <c r="T86" s="414">
        <f t="shared" si="164"/>
        <v>72291.318245547242</v>
      </c>
      <c r="U86" s="415">
        <f t="shared" si="165"/>
        <v>112388.79646950903</v>
      </c>
      <c r="V86" s="300">
        <v>58</v>
      </c>
      <c r="W86" s="420">
        <v>283.19332935356243</v>
      </c>
      <c r="X86" s="420">
        <v>3813.2345006168607</v>
      </c>
      <c r="Y86" s="420">
        <v>301.34350351067172</v>
      </c>
      <c r="Z86" s="420">
        <v>5407.927032477286</v>
      </c>
      <c r="AA86" s="420">
        <v>321.53546592143852</v>
      </c>
      <c r="AB86" s="420">
        <v>7121.2379623589541</v>
      </c>
      <c r="AC86" s="420">
        <v>580.73854188002372</v>
      </c>
      <c r="AD86" s="420">
        <v>6795.4213128023193</v>
      </c>
      <c r="AE86" s="412">
        <f t="shared" si="166"/>
        <v>24624.631648921113</v>
      </c>
      <c r="AF86" s="421">
        <v>0</v>
      </c>
      <c r="AG86" s="420">
        <v>5529.7379170642052</v>
      </c>
      <c r="AH86" s="420">
        <v>0</v>
      </c>
      <c r="AI86" s="420">
        <v>7339.0676380927989</v>
      </c>
      <c r="AJ86" s="420">
        <v>0</v>
      </c>
      <c r="AK86" s="420">
        <v>10453.439268551236</v>
      </c>
      <c r="AL86" s="420">
        <v>0</v>
      </c>
      <c r="AM86" s="420">
        <v>9902.853882442334</v>
      </c>
      <c r="AN86" s="414">
        <f t="shared" si="167"/>
        <v>33225.098706150573</v>
      </c>
      <c r="AO86" s="415">
        <f t="shared" si="168"/>
        <v>57849.73035507169</v>
      </c>
      <c r="AP86" s="300">
        <v>58</v>
      </c>
      <c r="AQ86" s="420">
        <v>34961.572402417893</v>
      </c>
      <c r="AR86" s="420">
        <v>111017.61377802418</v>
      </c>
      <c r="AS86" s="420">
        <v>53860.350112015112</v>
      </c>
      <c r="AT86" s="420">
        <v>164284.53840627603</v>
      </c>
      <c r="AU86" s="420">
        <v>72944.68141696752</v>
      </c>
      <c r="AV86" s="420">
        <v>224804.57483783245</v>
      </c>
      <c r="AW86" s="420">
        <v>68245.540687145141</v>
      </c>
      <c r="AX86" s="420">
        <v>202993.24119813598</v>
      </c>
      <c r="AY86" s="412">
        <f t="shared" si="169"/>
        <v>933112.11283881427</v>
      </c>
      <c r="AZ86" s="421">
        <v>0</v>
      </c>
      <c r="BA86" s="420">
        <v>116779.15260664052</v>
      </c>
      <c r="BB86" s="420">
        <v>0</v>
      </c>
      <c r="BC86" s="420">
        <v>135322.67598673963</v>
      </c>
      <c r="BD86" s="420">
        <v>0</v>
      </c>
      <c r="BE86" s="420">
        <v>198967.68267151719</v>
      </c>
      <c r="BF86" s="420">
        <v>0</v>
      </c>
      <c r="BG86" s="420">
        <v>174627.25970535606</v>
      </c>
      <c r="BH86" s="414">
        <f t="shared" si="170"/>
        <v>625696.77097025339</v>
      </c>
      <c r="BI86" s="415">
        <f t="shared" si="171"/>
        <v>1558808.8838090678</v>
      </c>
      <c r="BJ86" s="300">
        <v>58</v>
      </c>
      <c r="BK86" s="420">
        <v>486.14100447533298</v>
      </c>
      <c r="BL86" s="420">
        <v>14231.967116255388</v>
      </c>
      <c r="BM86" s="420">
        <v>455.27683088898925</v>
      </c>
      <c r="BN86" s="420">
        <v>20585.166755299881</v>
      </c>
      <c r="BO86" s="420">
        <v>1351.2644101275359</v>
      </c>
      <c r="BP86" s="420">
        <v>26872.43784677282</v>
      </c>
      <c r="BQ86" s="420">
        <v>1796.5493422205298</v>
      </c>
      <c r="BR86" s="420">
        <v>25065.760274230935</v>
      </c>
      <c r="BS86" s="412">
        <f t="shared" si="172"/>
        <v>90844.563580271424</v>
      </c>
      <c r="BT86" s="421">
        <v>0</v>
      </c>
      <c r="BU86" s="420">
        <v>4391.7538514626713</v>
      </c>
      <c r="BV86" s="420">
        <v>0</v>
      </c>
      <c r="BW86" s="420">
        <v>6300.2252460593281</v>
      </c>
      <c r="BX86" s="420">
        <v>0</v>
      </c>
      <c r="BY86" s="420">
        <v>8575.1687528266593</v>
      </c>
      <c r="BZ86" s="420">
        <v>0</v>
      </c>
      <c r="CA86" s="420">
        <v>9275.9345196330687</v>
      </c>
      <c r="CB86" s="414">
        <f t="shared" si="173"/>
        <v>28543.082369981727</v>
      </c>
      <c r="CC86" s="415">
        <f t="shared" si="174"/>
        <v>119387.64595025315</v>
      </c>
      <c r="CD86" s="300">
        <v>58</v>
      </c>
      <c r="CE86" s="414">
        <f t="shared" si="175"/>
        <v>171017.88832731469</v>
      </c>
      <c r="CF86" s="414">
        <f t="shared" si="176"/>
        <v>254202.38224697852</v>
      </c>
      <c r="CG86" s="414">
        <f t="shared" si="177"/>
        <v>346346.8575871347</v>
      </c>
      <c r="CH86" s="414">
        <f t="shared" si="178"/>
        <v>317111.65813054069</v>
      </c>
      <c r="CI86" s="416">
        <f t="shared" si="179"/>
        <v>1088678.7862919685</v>
      </c>
      <c r="CJ86" s="414">
        <f t="shared" si="180"/>
        <v>139691.12053168938</v>
      </c>
      <c r="CK86" s="414">
        <f t="shared" si="181"/>
        <v>165556.11286626058</v>
      </c>
      <c r="CL86" s="414">
        <f t="shared" si="182"/>
        <v>240752.21458186899</v>
      </c>
      <c r="CM86" s="414">
        <f t="shared" si="183"/>
        <v>213756.822312114</v>
      </c>
      <c r="CN86" s="416">
        <f t="shared" si="184"/>
        <v>759756.27029193286</v>
      </c>
      <c r="CO86" s="414">
        <f t="shared" si="185"/>
        <v>310709.00885900407</v>
      </c>
      <c r="CP86" s="414">
        <f t="shared" si="186"/>
        <v>419758.4951132391</v>
      </c>
      <c r="CQ86" s="414">
        <f t="shared" si="187"/>
        <v>587099.07216900366</v>
      </c>
      <c r="CR86" s="414">
        <f t="shared" si="188"/>
        <v>530868.48044265481</v>
      </c>
      <c r="CS86" s="416">
        <f t="shared" si="189"/>
        <v>1848435.0565839016</v>
      </c>
    </row>
    <row r="87" spans="1:131" ht="15.75" customHeight="1">
      <c r="B87" s="300"/>
      <c r="C87" s="187" t="s">
        <v>1315</v>
      </c>
      <c r="D87" s="187" t="s">
        <v>1315</v>
      </c>
      <c r="E87" s="187" t="s">
        <v>1315</v>
      </c>
      <c r="F87" s="187" t="s">
        <v>1315</v>
      </c>
      <c r="G87" s="187" t="s">
        <v>1315</v>
      </c>
      <c r="H87" s="187" t="s">
        <v>1315</v>
      </c>
      <c r="I87" s="187" t="s">
        <v>1315</v>
      </c>
      <c r="J87" s="187" t="s">
        <v>1315</v>
      </c>
      <c r="K87" s="378"/>
      <c r="L87" s="379" t="s">
        <v>1315</v>
      </c>
      <c r="M87" s="187" t="s">
        <v>1315</v>
      </c>
      <c r="N87" s="187" t="s">
        <v>1315</v>
      </c>
      <c r="O87" s="187" t="s">
        <v>1315</v>
      </c>
      <c r="P87" s="187" t="s">
        <v>1315</v>
      </c>
      <c r="Q87" s="187" t="s">
        <v>1315</v>
      </c>
      <c r="R87" s="187" t="s">
        <v>1315</v>
      </c>
      <c r="S87" s="187" t="s">
        <v>1315</v>
      </c>
      <c r="T87" s="380" t="s">
        <v>1315</v>
      </c>
      <c r="U87" s="379" t="s">
        <v>1315</v>
      </c>
      <c r="V87" s="300"/>
      <c r="W87" s="187" t="s">
        <v>1315</v>
      </c>
      <c r="X87" s="187" t="s">
        <v>1315</v>
      </c>
      <c r="Y87" s="187" t="s">
        <v>1315</v>
      </c>
      <c r="Z87" s="187" t="s">
        <v>1315</v>
      </c>
      <c r="AA87" s="187" t="s">
        <v>1315</v>
      </c>
      <c r="AB87" s="187" t="s">
        <v>1315</v>
      </c>
      <c r="AC87" s="187" t="s">
        <v>1315</v>
      </c>
      <c r="AD87" s="187" t="s">
        <v>1315</v>
      </c>
      <c r="AE87" s="378"/>
      <c r="AF87" s="379" t="s">
        <v>1315</v>
      </c>
      <c r="AG87" s="187" t="s">
        <v>1315</v>
      </c>
      <c r="AH87" s="187" t="s">
        <v>1315</v>
      </c>
      <c r="AI87" s="187" t="s">
        <v>1315</v>
      </c>
      <c r="AJ87" s="187" t="s">
        <v>1315</v>
      </c>
      <c r="AK87" s="187" t="s">
        <v>1315</v>
      </c>
      <c r="AL87" s="187" t="s">
        <v>1315</v>
      </c>
      <c r="AM87" s="187" t="s">
        <v>1315</v>
      </c>
      <c r="AN87" s="380" t="s">
        <v>1315</v>
      </c>
      <c r="AO87" s="379" t="s">
        <v>1315</v>
      </c>
      <c r="AP87" s="300"/>
      <c r="AQ87" s="187" t="s">
        <v>1315</v>
      </c>
      <c r="AR87" s="187" t="s">
        <v>1315</v>
      </c>
      <c r="AS87" s="187" t="s">
        <v>1315</v>
      </c>
      <c r="AT87" s="187" t="s">
        <v>1315</v>
      </c>
      <c r="AU87" s="187" t="s">
        <v>1315</v>
      </c>
      <c r="AV87" s="187" t="s">
        <v>1315</v>
      </c>
      <c r="AW87" s="187" t="s">
        <v>1315</v>
      </c>
      <c r="AX87" s="187" t="s">
        <v>1315</v>
      </c>
      <c r="AY87" s="378"/>
      <c r="AZ87" s="379" t="s">
        <v>1315</v>
      </c>
      <c r="BA87" s="187" t="s">
        <v>1315</v>
      </c>
      <c r="BB87" s="187" t="s">
        <v>1315</v>
      </c>
      <c r="BC87" s="187" t="s">
        <v>1315</v>
      </c>
      <c r="BD87" s="187" t="s">
        <v>1315</v>
      </c>
      <c r="BE87" s="187" t="s">
        <v>1315</v>
      </c>
      <c r="BF87" s="187" t="s">
        <v>1315</v>
      </c>
      <c r="BG87" s="187" t="s">
        <v>1315</v>
      </c>
      <c r="BH87" s="380" t="s">
        <v>1315</v>
      </c>
      <c r="BI87" s="379" t="s">
        <v>1315</v>
      </c>
      <c r="BJ87" s="300"/>
      <c r="BK87" s="187" t="s">
        <v>1315</v>
      </c>
      <c r="BL87" s="187" t="s">
        <v>1315</v>
      </c>
      <c r="BM87" s="187" t="s">
        <v>1315</v>
      </c>
      <c r="BN87" s="187" t="s">
        <v>1315</v>
      </c>
      <c r="BO87" s="187" t="s">
        <v>1315</v>
      </c>
      <c r="BP87" s="187" t="s">
        <v>1315</v>
      </c>
      <c r="BQ87" s="187" t="s">
        <v>1315</v>
      </c>
      <c r="BR87" s="187" t="s">
        <v>1315</v>
      </c>
      <c r="BS87" s="378"/>
      <c r="BT87" s="379" t="s">
        <v>1315</v>
      </c>
      <c r="BU87" s="187" t="s">
        <v>1315</v>
      </c>
      <c r="BV87" s="187" t="s">
        <v>1315</v>
      </c>
      <c r="BW87" s="187" t="s">
        <v>1315</v>
      </c>
      <c r="BX87" s="187" t="s">
        <v>1315</v>
      </c>
      <c r="BY87" s="187" t="s">
        <v>1315</v>
      </c>
      <c r="BZ87" s="187" t="s">
        <v>1315</v>
      </c>
      <c r="CA87" s="187" t="s">
        <v>1315</v>
      </c>
      <c r="CB87" s="380" t="s">
        <v>1315</v>
      </c>
      <c r="CC87" s="379" t="s">
        <v>1315</v>
      </c>
      <c r="CD87" s="300"/>
      <c r="CE87" s="380" t="s">
        <v>1315</v>
      </c>
      <c r="CF87" s="380"/>
      <c r="CG87" s="380"/>
      <c r="CH87" s="380"/>
      <c r="CI87" s="187"/>
      <c r="CJ87" s="380" t="s">
        <v>1315</v>
      </c>
      <c r="CK87" s="380"/>
      <c r="CL87" s="380"/>
      <c r="CM87" s="380"/>
      <c r="CN87" s="187"/>
      <c r="CO87" s="380" t="s">
        <v>1315</v>
      </c>
      <c r="CP87" s="380"/>
      <c r="CQ87" s="380"/>
      <c r="CR87" s="380"/>
      <c r="CS87" s="187"/>
    </row>
    <row r="88" spans="1:131" s="14" customFormat="1" ht="15.75" customHeight="1">
      <c r="A88" s="16" t="s">
        <v>266</v>
      </c>
      <c r="B88" s="300">
        <v>59</v>
      </c>
      <c r="C88" s="216">
        <f t="shared" ref="C88:U88" si="190">SUM(C76:C86)</f>
        <v>9385.9843464174046</v>
      </c>
      <c r="D88" s="216">
        <f t="shared" si="190"/>
        <v>33341.194082578113</v>
      </c>
      <c r="E88" s="216">
        <f t="shared" si="190"/>
        <v>12079.712408919102</v>
      </c>
      <c r="F88" s="216">
        <f t="shared" si="190"/>
        <v>36918.98391309991</v>
      </c>
      <c r="G88" s="216">
        <f t="shared" si="190"/>
        <v>15224.961661310241</v>
      </c>
      <c r="H88" s="216">
        <f t="shared" si="190"/>
        <v>38769.61948977397</v>
      </c>
      <c r="I88" s="216">
        <f t="shared" si="190"/>
        <v>15476.046790401946</v>
      </c>
      <c r="J88" s="216">
        <f t="shared" si="190"/>
        <v>39685.840094278385</v>
      </c>
      <c r="K88" s="221">
        <f t="shared" si="190"/>
        <v>200882.3427867791</v>
      </c>
      <c r="L88" s="218">
        <f t="shared" si="190"/>
        <v>0</v>
      </c>
      <c r="M88" s="216">
        <f t="shared" si="190"/>
        <v>89176.023763430174</v>
      </c>
      <c r="N88" s="216">
        <f t="shared" si="190"/>
        <v>0</v>
      </c>
      <c r="O88" s="216">
        <f t="shared" si="190"/>
        <v>87356.11034281418</v>
      </c>
      <c r="P88" s="216">
        <f t="shared" si="190"/>
        <v>0</v>
      </c>
      <c r="Q88" s="216">
        <f t="shared" si="190"/>
        <v>95018.532231300458</v>
      </c>
      <c r="R88" s="216">
        <f t="shared" si="190"/>
        <v>0</v>
      </c>
      <c r="S88" s="216">
        <f t="shared" si="190"/>
        <v>94592.046789011409</v>
      </c>
      <c r="T88" s="219">
        <f t="shared" si="190"/>
        <v>366142.71312655625</v>
      </c>
      <c r="U88" s="220">
        <f t="shared" si="190"/>
        <v>567025.05591333529</v>
      </c>
      <c r="V88" s="300">
        <v>59</v>
      </c>
      <c r="W88" s="216">
        <f t="shared" ref="W88:AO88" si="191">SUM(W76:W86)</f>
        <v>1944.043833635704</v>
      </c>
      <c r="X88" s="216">
        <f t="shared" si="191"/>
        <v>26176.799552633525</v>
      </c>
      <c r="Y88" s="216">
        <f t="shared" si="191"/>
        <v>1586.3545809362117</v>
      </c>
      <c r="Z88" s="216">
        <f t="shared" si="191"/>
        <v>28468.806267248117</v>
      </c>
      <c r="AA88" s="216">
        <f t="shared" si="191"/>
        <v>1342.5878984841363</v>
      </c>
      <c r="AB88" s="216">
        <f t="shared" si="191"/>
        <v>29735.095887758132</v>
      </c>
      <c r="AC88" s="216">
        <f t="shared" si="191"/>
        <v>2753.439378447998</v>
      </c>
      <c r="AD88" s="216">
        <f t="shared" si="191"/>
        <v>32218.940687563674</v>
      </c>
      <c r="AE88" s="221">
        <f t="shared" si="191"/>
        <v>124226.0680867075</v>
      </c>
      <c r="AF88" s="218">
        <f t="shared" si="191"/>
        <v>0</v>
      </c>
      <c r="AG88" s="216">
        <f t="shared" si="191"/>
        <v>37960.120472572773</v>
      </c>
      <c r="AH88" s="216">
        <f t="shared" si="191"/>
        <v>0</v>
      </c>
      <c r="AI88" s="216">
        <f t="shared" si="191"/>
        <v>38634.858332284952</v>
      </c>
      <c r="AJ88" s="216">
        <f t="shared" si="191"/>
        <v>0</v>
      </c>
      <c r="AK88" s="216">
        <f t="shared" si="191"/>
        <v>43648.874065185926</v>
      </c>
      <c r="AL88" s="216">
        <f t="shared" si="191"/>
        <v>0</v>
      </c>
      <c r="AM88" s="216">
        <f t="shared" si="191"/>
        <v>46952.123671114139</v>
      </c>
      <c r="AN88" s="219">
        <f t="shared" si="191"/>
        <v>167195.97654115778</v>
      </c>
      <c r="AO88" s="220">
        <f t="shared" si="191"/>
        <v>291422.04462786525</v>
      </c>
      <c r="AP88" s="300">
        <v>59</v>
      </c>
      <c r="AQ88" s="216">
        <f t="shared" ref="AQ88:BI88" si="192">SUM(AQ76:AQ86)</f>
        <v>240001.51909748267</v>
      </c>
      <c r="AR88" s="216">
        <f t="shared" si="192"/>
        <v>762105.19500149076</v>
      </c>
      <c r="AS88" s="216">
        <f t="shared" si="192"/>
        <v>283535.60682617326</v>
      </c>
      <c r="AT88" s="216">
        <f t="shared" si="192"/>
        <v>864838.72073438496</v>
      </c>
      <c r="AU88" s="216">
        <f t="shared" si="192"/>
        <v>304584.27423719986</v>
      </c>
      <c r="AV88" s="216">
        <f t="shared" si="192"/>
        <v>938683.08068662486</v>
      </c>
      <c r="AW88" s="216">
        <f t="shared" si="192"/>
        <v>323570.67006977007</v>
      </c>
      <c r="AX88" s="216">
        <f t="shared" si="192"/>
        <v>962446.16736529744</v>
      </c>
      <c r="AY88" s="221">
        <f t="shared" si="192"/>
        <v>4679765.2340184236</v>
      </c>
      <c r="AZ88" s="218">
        <f t="shared" si="192"/>
        <v>0</v>
      </c>
      <c r="BA88" s="216">
        <f t="shared" si="192"/>
        <v>801656.56458209408</v>
      </c>
      <c r="BB88" s="216">
        <f t="shared" si="192"/>
        <v>0</v>
      </c>
      <c r="BC88" s="216">
        <f t="shared" si="192"/>
        <v>712375.55963607761</v>
      </c>
      <c r="BD88" s="216">
        <f t="shared" si="192"/>
        <v>0</v>
      </c>
      <c r="BE88" s="216">
        <f t="shared" si="192"/>
        <v>830799.80672949972</v>
      </c>
      <c r="BF88" s="216">
        <f t="shared" si="192"/>
        <v>0</v>
      </c>
      <c r="BG88" s="216">
        <f t="shared" si="192"/>
        <v>827955.33402452862</v>
      </c>
      <c r="BH88" s="219">
        <f t="shared" si="192"/>
        <v>3172787.2649722002</v>
      </c>
      <c r="BI88" s="220">
        <f t="shared" si="192"/>
        <v>7852552.4989906233</v>
      </c>
      <c r="BJ88" s="300">
        <v>59</v>
      </c>
      <c r="BK88" s="216">
        <f t="shared" ref="BK88:CC88" si="193">SUM(BK76:BK86)</f>
        <v>3337.2234585646661</v>
      </c>
      <c r="BL88" s="216">
        <f t="shared" si="193"/>
        <v>97698.515625415297</v>
      </c>
      <c r="BM88" s="216">
        <f t="shared" si="193"/>
        <v>2396.701697102596</v>
      </c>
      <c r="BN88" s="216">
        <f t="shared" si="193"/>
        <v>108365.94517939998</v>
      </c>
      <c r="BO88" s="216">
        <f t="shared" si="193"/>
        <v>5642.2741407095673</v>
      </c>
      <c r="BP88" s="216">
        <f t="shared" si="193"/>
        <v>112207.24828115683</v>
      </c>
      <c r="BQ88" s="216">
        <f t="shared" si="193"/>
        <v>8517.9290635351099</v>
      </c>
      <c r="BR88" s="216">
        <f t="shared" si="193"/>
        <v>118843.58693737838</v>
      </c>
      <c r="BS88" s="221">
        <f t="shared" si="193"/>
        <v>457009.42438326241</v>
      </c>
      <c r="BT88" s="218">
        <f t="shared" si="193"/>
        <v>0</v>
      </c>
      <c r="BU88" s="216">
        <f t="shared" si="193"/>
        <v>30148.174793773469</v>
      </c>
      <c r="BV88" s="216">
        <f t="shared" si="193"/>
        <v>0</v>
      </c>
      <c r="BW88" s="216">
        <f t="shared" si="193"/>
        <v>33166.107991646968</v>
      </c>
      <c r="BX88" s="216">
        <f t="shared" si="193"/>
        <v>0</v>
      </c>
      <c r="BY88" s="216">
        <f t="shared" si="193"/>
        <v>35806.058787360504</v>
      </c>
      <c r="BZ88" s="216">
        <f t="shared" si="193"/>
        <v>0</v>
      </c>
      <c r="CA88" s="216">
        <f t="shared" si="193"/>
        <v>43979.728460211845</v>
      </c>
      <c r="CB88" s="219">
        <f t="shared" si="193"/>
        <v>143100.07003299278</v>
      </c>
      <c r="CC88" s="220">
        <f t="shared" si="193"/>
        <v>600109.49441625515</v>
      </c>
      <c r="CD88" s="300">
        <v>59</v>
      </c>
      <c r="CE88" s="219">
        <f t="shared" ref="CE88:CH88" si="194">SUM(CE76:CE86)</f>
        <v>1173990.4749982182</v>
      </c>
      <c r="CF88" s="219">
        <f t="shared" si="194"/>
        <v>1338190.8316072642</v>
      </c>
      <c r="CG88" s="219">
        <f t="shared" si="194"/>
        <v>1446189.1422830175</v>
      </c>
      <c r="CH88" s="219">
        <f t="shared" si="194"/>
        <v>1503512.6203866731</v>
      </c>
      <c r="CI88" s="216">
        <f>SUM(CI76:CI86)</f>
        <v>5461883.0692751724</v>
      </c>
      <c r="CJ88" s="219">
        <f t="shared" ref="CJ88:CM88" si="195">SUM(CJ76:CJ86)</f>
        <v>958940.88361187046</v>
      </c>
      <c r="CK88" s="219">
        <f t="shared" si="195"/>
        <v>871532.63630282367</v>
      </c>
      <c r="CL88" s="219">
        <f t="shared" si="195"/>
        <v>1005273.2718133467</v>
      </c>
      <c r="CM88" s="219">
        <f t="shared" si="195"/>
        <v>1013479.2329448659</v>
      </c>
      <c r="CN88" s="216">
        <f>SUM(CN76:CN86)</f>
        <v>3849226.0246729073</v>
      </c>
      <c r="CO88" s="219">
        <f t="shared" ref="CO88:CR88" si="196">SUM(CO76:CO86)</f>
        <v>2132931.3586100885</v>
      </c>
      <c r="CP88" s="219">
        <f t="shared" si="196"/>
        <v>2209723.4679100877</v>
      </c>
      <c r="CQ88" s="219">
        <f t="shared" si="196"/>
        <v>2451462.4140963638</v>
      </c>
      <c r="CR88" s="219">
        <f t="shared" si="196"/>
        <v>2516991.8533315388</v>
      </c>
      <c r="CS88" s="216">
        <f>SUM(CS76:CS86)</f>
        <v>9311109.0939480793</v>
      </c>
      <c r="CT88" s="318"/>
      <c r="CU88" s="318"/>
      <c r="CV88" s="318"/>
      <c r="CW88" s="318"/>
      <c r="CX88" s="318"/>
      <c r="CY88" s="318"/>
      <c r="CZ88" s="318"/>
      <c r="DA88" s="318"/>
      <c r="DB88" s="318"/>
      <c r="DC88" s="318"/>
      <c r="DD88" s="318"/>
      <c r="DE88" s="318"/>
      <c r="DF88" s="318"/>
      <c r="DG88" s="318"/>
      <c r="DH88" s="318"/>
      <c r="DI88" s="318"/>
      <c r="DJ88" s="318"/>
      <c r="DK88" s="318"/>
      <c r="DL88" s="318"/>
      <c r="DM88" s="318"/>
      <c r="DN88" s="318"/>
      <c r="DO88" s="318"/>
      <c r="DP88" s="318"/>
      <c r="DQ88" s="318"/>
      <c r="DR88" s="318"/>
      <c r="DS88" s="318"/>
      <c r="DT88" s="318"/>
      <c r="DU88" s="318"/>
      <c r="DV88" s="318"/>
      <c r="DW88" s="318"/>
      <c r="DX88" s="318"/>
      <c r="DY88" s="318"/>
      <c r="DZ88" s="318"/>
      <c r="EA88" s="318"/>
    </row>
    <row r="89" spans="1:131" ht="15.75" customHeight="1">
      <c r="B89" s="300"/>
      <c r="C89" s="187" t="s">
        <v>1315</v>
      </c>
      <c r="D89" s="187" t="s">
        <v>1315</v>
      </c>
      <c r="E89" s="187" t="s">
        <v>1315</v>
      </c>
      <c r="F89" s="187" t="s">
        <v>1315</v>
      </c>
      <c r="G89" s="187" t="s">
        <v>1315</v>
      </c>
      <c r="H89" s="187" t="s">
        <v>1315</v>
      </c>
      <c r="I89" s="187" t="s">
        <v>1315</v>
      </c>
      <c r="J89" s="187" t="s">
        <v>1315</v>
      </c>
      <c r="K89" s="378"/>
      <c r="L89" s="379" t="s">
        <v>1315</v>
      </c>
      <c r="M89" s="187" t="s">
        <v>1315</v>
      </c>
      <c r="N89" s="187" t="s">
        <v>1315</v>
      </c>
      <c r="O89" s="187" t="s">
        <v>1315</v>
      </c>
      <c r="P89" s="187" t="s">
        <v>1315</v>
      </c>
      <c r="Q89" s="187" t="s">
        <v>1315</v>
      </c>
      <c r="R89" s="187" t="s">
        <v>1315</v>
      </c>
      <c r="S89" s="187" t="s">
        <v>1315</v>
      </c>
      <c r="T89" s="380" t="s">
        <v>1315</v>
      </c>
      <c r="U89" s="422" t="s">
        <v>1315</v>
      </c>
      <c r="V89" s="300"/>
      <c r="W89" s="187" t="s">
        <v>1315</v>
      </c>
      <c r="X89" s="187" t="s">
        <v>1315</v>
      </c>
      <c r="Y89" s="187" t="s">
        <v>1315</v>
      </c>
      <c r="Z89" s="187" t="s">
        <v>1315</v>
      </c>
      <c r="AA89" s="187" t="s">
        <v>1315</v>
      </c>
      <c r="AB89" s="187" t="s">
        <v>1315</v>
      </c>
      <c r="AC89" s="187" t="s">
        <v>1315</v>
      </c>
      <c r="AD89" s="187" t="s">
        <v>1315</v>
      </c>
      <c r="AE89" s="378"/>
      <c r="AF89" s="379" t="s">
        <v>1315</v>
      </c>
      <c r="AG89" s="187" t="s">
        <v>1315</v>
      </c>
      <c r="AH89" s="187" t="s">
        <v>1315</v>
      </c>
      <c r="AI89" s="187" t="s">
        <v>1315</v>
      </c>
      <c r="AJ89" s="187" t="s">
        <v>1315</v>
      </c>
      <c r="AK89" s="187" t="s">
        <v>1315</v>
      </c>
      <c r="AL89" s="187" t="s">
        <v>1315</v>
      </c>
      <c r="AM89" s="187" t="s">
        <v>1315</v>
      </c>
      <c r="AN89" s="380" t="s">
        <v>1315</v>
      </c>
      <c r="AO89" s="422" t="s">
        <v>1315</v>
      </c>
      <c r="AP89" s="300"/>
      <c r="AQ89" s="187" t="s">
        <v>1315</v>
      </c>
      <c r="AR89" s="187" t="s">
        <v>1315</v>
      </c>
      <c r="AS89" s="187" t="s">
        <v>1315</v>
      </c>
      <c r="AT89" s="187" t="s">
        <v>1315</v>
      </c>
      <c r="AU89" s="187" t="s">
        <v>1315</v>
      </c>
      <c r="AV89" s="187" t="s">
        <v>1315</v>
      </c>
      <c r="AW89" s="187" t="s">
        <v>1315</v>
      </c>
      <c r="AX89" s="187" t="s">
        <v>1315</v>
      </c>
      <c r="AY89" s="378"/>
      <c r="AZ89" s="379" t="s">
        <v>1315</v>
      </c>
      <c r="BA89" s="187" t="s">
        <v>1315</v>
      </c>
      <c r="BB89" s="187" t="s">
        <v>1315</v>
      </c>
      <c r="BC89" s="187" t="s">
        <v>1315</v>
      </c>
      <c r="BD89" s="187" t="s">
        <v>1315</v>
      </c>
      <c r="BE89" s="187" t="s">
        <v>1315</v>
      </c>
      <c r="BF89" s="187" t="s">
        <v>1315</v>
      </c>
      <c r="BG89" s="187" t="s">
        <v>1315</v>
      </c>
      <c r="BH89" s="380" t="s">
        <v>1315</v>
      </c>
      <c r="BI89" s="422" t="s">
        <v>1315</v>
      </c>
      <c r="BJ89" s="300"/>
      <c r="BK89" s="187" t="s">
        <v>1315</v>
      </c>
      <c r="BL89" s="187" t="s">
        <v>1315</v>
      </c>
      <c r="BM89" s="187" t="s">
        <v>1315</v>
      </c>
      <c r="BN89" s="187" t="s">
        <v>1315</v>
      </c>
      <c r="BO89" s="187" t="s">
        <v>1315</v>
      </c>
      <c r="BP89" s="187" t="s">
        <v>1315</v>
      </c>
      <c r="BQ89" s="187" t="s">
        <v>1315</v>
      </c>
      <c r="BR89" s="187" t="s">
        <v>1315</v>
      </c>
      <c r="BS89" s="378"/>
      <c r="BT89" s="379" t="s">
        <v>1315</v>
      </c>
      <c r="BU89" s="187" t="s">
        <v>1315</v>
      </c>
      <c r="BV89" s="187" t="s">
        <v>1315</v>
      </c>
      <c r="BW89" s="187" t="s">
        <v>1315</v>
      </c>
      <c r="BX89" s="187" t="s">
        <v>1315</v>
      </c>
      <c r="BY89" s="187" t="s">
        <v>1315</v>
      </c>
      <c r="BZ89" s="187" t="s">
        <v>1315</v>
      </c>
      <c r="CA89" s="187" t="s">
        <v>1315</v>
      </c>
      <c r="CB89" s="380" t="s">
        <v>1315</v>
      </c>
      <c r="CC89" s="422" t="s">
        <v>1315</v>
      </c>
      <c r="CD89" s="300"/>
      <c r="CE89" s="380" t="s">
        <v>1315</v>
      </c>
      <c r="CF89" s="380"/>
      <c r="CG89" s="380"/>
      <c r="CH89" s="380"/>
      <c r="CI89" s="187"/>
      <c r="CJ89" s="380" t="s">
        <v>1315</v>
      </c>
      <c r="CK89" s="380"/>
      <c r="CL89" s="380"/>
      <c r="CM89" s="380"/>
      <c r="CN89" s="187"/>
      <c r="CO89" s="380" t="s">
        <v>1315</v>
      </c>
      <c r="CP89" s="380"/>
      <c r="CQ89" s="380"/>
      <c r="CR89" s="380"/>
      <c r="CS89" s="187"/>
    </row>
    <row r="90" spans="1:131" s="14" customFormat="1" ht="15.75" customHeight="1">
      <c r="A90" s="16" t="s">
        <v>268</v>
      </c>
      <c r="B90" s="300">
        <v>60</v>
      </c>
      <c r="C90" s="216">
        <f t="shared" ref="C90:U90" si="197">C88+C66+C73-C70</f>
        <v>121777.60758916344</v>
      </c>
      <c r="D90" s="216">
        <f t="shared" si="197"/>
        <v>672265.98119860468</v>
      </c>
      <c r="E90" s="216">
        <f t="shared" si="197"/>
        <v>394896.35606729682</v>
      </c>
      <c r="F90" s="216">
        <f t="shared" si="197"/>
        <v>1152301.2644851888</v>
      </c>
      <c r="G90" s="216">
        <f t="shared" si="197"/>
        <v>390770.70013577974</v>
      </c>
      <c r="H90" s="216">
        <f t="shared" si="197"/>
        <v>1088182.1144457655</v>
      </c>
      <c r="I90" s="216">
        <f t="shared" si="197"/>
        <v>231463.8442193731</v>
      </c>
      <c r="J90" s="216">
        <f t="shared" si="197"/>
        <v>575084.64164905471</v>
      </c>
      <c r="K90" s="221">
        <f t="shared" si="197"/>
        <v>4626742.5097902277</v>
      </c>
      <c r="L90" s="218">
        <f t="shared" si="197"/>
        <v>0</v>
      </c>
      <c r="M90" s="216">
        <f t="shared" si="197"/>
        <v>1120789.5008861569</v>
      </c>
      <c r="N90" s="216">
        <f t="shared" si="197"/>
        <v>0</v>
      </c>
      <c r="O90" s="216">
        <f t="shared" si="197"/>
        <v>2075672.1144727683</v>
      </c>
      <c r="P90" s="216">
        <f t="shared" si="197"/>
        <v>0</v>
      </c>
      <c r="Q90" s="216">
        <f t="shared" si="197"/>
        <v>1930164.2033118666</v>
      </c>
      <c r="R90" s="216">
        <f t="shared" si="197"/>
        <v>0</v>
      </c>
      <c r="S90" s="216">
        <f t="shared" si="197"/>
        <v>1533988.5219938539</v>
      </c>
      <c r="T90" s="219">
        <f t="shared" si="197"/>
        <v>6660614.3406646447</v>
      </c>
      <c r="U90" s="220">
        <f t="shared" si="197"/>
        <v>11287356.850454874</v>
      </c>
      <c r="V90" s="300">
        <v>60</v>
      </c>
      <c r="W90" s="216">
        <f t="shared" ref="W90:AO90" si="198">W88+W66+W73-W70</f>
        <v>8829.3510036392399</v>
      </c>
      <c r="X90" s="216">
        <f t="shared" si="198"/>
        <v>231060.2325753803</v>
      </c>
      <c r="Y90" s="216">
        <f t="shared" si="198"/>
        <v>3783.8536632391497</v>
      </c>
      <c r="Z90" s="216">
        <f t="shared" si="198"/>
        <v>157752.80710881672</v>
      </c>
      <c r="AA90" s="216">
        <f t="shared" si="198"/>
        <v>4299.156411600633</v>
      </c>
      <c r="AB90" s="216">
        <f t="shared" si="198"/>
        <v>175563.61954051969</v>
      </c>
      <c r="AC90" s="216">
        <f t="shared" si="198"/>
        <v>15800.558389839007</v>
      </c>
      <c r="AD90" s="216">
        <f t="shared" si="198"/>
        <v>156020.98197682656</v>
      </c>
      <c r="AE90" s="221">
        <f t="shared" si="198"/>
        <v>753110.56066986138</v>
      </c>
      <c r="AF90" s="218">
        <f t="shared" si="198"/>
        <v>0</v>
      </c>
      <c r="AG90" s="216">
        <f t="shared" si="198"/>
        <v>504051.8629169364</v>
      </c>
      <c r="AH90" s="216">
        <f t="shared" si="198"/>
        <v>0</v>
      </c>
      <c r="AI90" s="216">
        <f t="shared" si="198"/>
        <v>609723.34776070132</v>
      </c>
      <c r="AJ90" s="216">
        <f t="shared" si="198"/>
        <v>0</v>
      </c>
      <c r="AK90" s="216">
        <f t="shared" si="198"/>
        <v>494221.26328331389</v>
      </c>
      <c r="AL90" s="216">
        <f t="shared" si="198"/>
        <v>0</v>
      </c>
      <c r="AM90" s="216">
        <f t="shared" si="198"/>
        <v>591096.45631730673</v>
      </c>
      <c r="AN90" s="219">
        <f t="shared" si="198"/>
        <v>2199092.9302782579</v>
      </c>
      <c r="AO90" s="220">
        <f t="shared" si="198"/>
        <v>2952203.4909481192</v>
      </c>
      <c r="AP90" s="300">
        <v>60</v>
      </c>
      <c r="AQ90" s="216">
        <f t="shared" ref="AQ90:BI90" si="199">AQ88+AQ66+AQ73-AQ70</f>
        <v>3257142.113442976</v>
      </c>
      <c r="AR90" s="216">
        <f t="shared" si="199"/>
        <v>9075193.5734296609</v>
      </c>
      <c r="AS90" s="216">
        <f t="shared" si="199"/>
        <v>2996673.7280981988</v>
      </c>
      <c r="AT90" s="216">
        <f t="shared" si="199"/>
        <v>8615690.2393936776</v>
      </c>
      <c r="AU90" s="216">
        <f t="shared" si="199"/>
        <v>3332583.9012403684</v>
      </c>
      <c r="AV90" s="216">
        <f t="shared" si="199"/>
        <v>9339181.0304516871</v>
      </c>
      <c r="AW90" s="216">
        <f t="shared" si="199"/>
        <v>4038037.794811442</v>
      </c>
      <c r="AX90" s="216">
        <f t="shared" si="199"/>
        <v>9425072.4192669932</v>
      </c>
      <c r="AY90" s="221">
        <f t="shared" si="199"/>
        <v>50079574.800135009</v>
      </c>
      <c r="AZ90" s="218">
        <f t="shared" si="199"/>
        <v>0</v>
      </c>
      <c r="BA90" s="216">
        <f t="shared" si="199"/>
        <v>10191848.52835553</v>
      </c>
      <c r="BB90" s="216">
        <f t="shared" si="199"/>
        <v>0</v>
      </c>
      <c r="BC90" s="216">
        <f t="shared" si="199"/>
        <v>10081515.3532981</v>
      </c>
      <c r="BD90" s="216">
        <f t="shared" si="199"/>
        <v>0</v>
      </c>
      <c r="BE90" s="216">
        <f t="shared" si="199"/>
        <v>10740067.27934177</v>
      </c>
      <c r="BF90" s="216">
        <f t="shared" si="199"/>
        <v>0</v>
      </c>
      <c r="BG90" s="216">
        <f t="shared" si="199"/>
        <v>11565093.88609631</v>
      </c>
      <c r="BH90" s="219">
        <f t="shared" si="199"/>
        <v>42578525.047091708</v>
      </c>
      <c r="BI90" s="220">
        <f t="shared" si="199"/>
        <v>92658099.847226724</v>
      </c>
      <c r="BJ90" s="300">
        <v>60</v>
      </c>
      <c r="BK90" s="216">
        <f t="shared" ref="BK90:CC90" si="200">BK88+BK66+BK73-BK70</f>
        <v>32955.993175743868</v>
      </c>
      <c r="BL90" s="216">
        <f t="shared" si="200"/>
        <v>1376846.3729544224</v>
      </c>
      <c r="BM90" s="216">
        <f t="shared" si="200"/>
        <v>3430.9241297169901</v>
      </c>
      <c r="BN90" s="216">
        <f t="shared" si="200"/>
        <v>1103098.7918845119</v>
      </c>
      <c r="BO90" s="216">
        <f t="shared" si="200"/>
        <v>16936.956499552445</v>
      </c>
      <c r="BP90" s="216">
        <f t="shared" si="200"/>
        <v>1097342.0656254054</v>
      </c>
      <c r="BQ90" s="216">
        <f t="shared" si="200"/>
        <v>53511.742483697926</v>
      </c>
      <c r="BR90" s="216">
        <f t="shared" si="200"/>
        <v>1346558.7863617698</v>
      </c>
      <c r="BS90" s="221">
        <f t="shared" si="200"/>
        <v>5030681.6331148185</v>
      </c>
      <c r="BT90" s="218">
        <f t="shared" si="200"/>
        <v>0</v>
      </c>
      <c r="BU90" s="216">
        <f t="shared" si="200"/>
        <v>591045.14402943943</v>
      </c>
      <c r="BV90" s="216">
        <f t="shared" si="200"/>
        <v>0</v>
      </c>
      <c r="BW90" s="216">
        <f t="shared" si="200"/>
        <v>740013.30477571383</v>
      </c>
      <c r="BX90" s="216">
        <f t="shared" si="200"/>
        <v>0</v>
      </c>
      <c r="BY90" s="216">
        <f t="shared" si="200"/>
        <v>547124.39435145631</v>
      </c>
      <c r="BZ90" s="216">
        <f t="shared" si="200"/>
        <v>0</v>
      </c>
      <c r="CA90" s="216">
        <f t="shared" si="200"/>
        <v>704635.25174333516</v>
      </c>
      <c r="CB90" s="219">
        <f t="shared" si="200"/>
        <v>2582818.0948999445</v>
      </c>
      <c r="CC90" s="220">
        <f t="shared" si="200"/>
        <v>7613499.7280147644</v>
      </c>
      <c r="CD90" s="300">
        <v>60</v>
      </c>
      <c r="CE90" s="219">
        <f t="shared" ref="CE90:CS90" si="201">CE88+CE66+CE73-CE70</f>
        <v>14776071.225369593</v>
      </c>
      <c r="CF90" s="219">
        <f t="shared" si="201"/>
        <v>14427627.964830644</v>
      </c>
      <c r="CG90" s="219">
        <f t="shared" si="201"/>
        <v>15444859.54435068</v>
      </c>
      <c r="CH90" s="219">
        <f t="shared" si="201"/>
        <v>15841550.769158995</v>
      </c>
      <c r="CI90" s="216">
        <f t="shared" si="201"/>
        <v>60490109.503709912</v>
      </c>
      <c r="CJ90" s="219">
        <f t="shared" si="201"/>
        <v>12407735.036188066</v>
      </c>
      <c r="CK90" s="219">
        <f t="shared" si="201"/>
        <v>13506924.120307282</v>
      </c>
      <c r="CL90" s="219">
        <f t="shared" si="201"/>
        <v>13711577.140288407</v>
      </c>
      <c r="CM90" s="219">
        <f t="shared" si="201"/>
        <v>14394814.116150808</v>
      </c>
      <c r="CN90" s="216">
        <f t="shared" si="201"/>
        <v>3849226.0246729073</v>
      </c>
      <c r="CO90" s="219">
        <f t="shared" si="201"/>
        <v>27183806.261557654</v>
      </c>
      <c r="CP90" s="219">
        <f t="shared" si="201"/>
        <v>27934552.085137926</v>
      </c>
      <c r="CQ90" s="219">
        <f t="shared" si="201"/>
        <v>29156436.684639089</v>
      </c>
      <c r="CR90" s="219">
        <f t="shared" si="201"/>
        <v>30236364.885309808</v>
      </c>
      <c r="CS90" s="216">
        <f t="shared" si="201"/>
        <v>114511159.91664448</v>
      </c>
      <c r="CT90" s="318"/>
      <c r="CU90" s="318"/>
      <c r="CV90" s="318"/>
      <c r="CW90" s="318"/>
      <c r="CX90" s="318"/>
      <c r="CY90" s="318"/>
      <c r="CZ90" s="318"/>
      <c r="DA90" s="318"/>
      <c r="DB90" s="318"/>
      <c r="DC90" s="318"/>
      <c r="DD90" s="318"/>
      <c r="DE90" s="318"/>
      <c r="DF90" s="318"/>
      <c r="DG90" s="318"/>
      <c r="DH90" s="318"/>
      <c r="DI90" s="318"/>
      <c r="DJ90" s="318"/>
      <c r="DK90" s="318"/>
      <c r="DL90" s="318"/>
      <c r="DM90" s="318"/>
      <c r="DN90" s="318"/>
      <c r="DO90" s="318"/>
      <c r="DP90" s="318"/>
      <c r="DQ90" s="318"/>
      <c r="DR90" s="318"/>
      <c r="DS90" s="318"/>
      <c r="DT90" s="318"/>
      <c r="DU90" s="318"/>
      <c r="DV90" s="318"/>
      <c r="DW90" s="318"/>
      <c r="DX90" s="318"/>
      <c r="DY90" s="318"/>
      <c r="DZ90" s="318"/>
      <c r="EA90" s="318"/>
    </row>
    <row r="91" spans="1:131" ht="15.75" customHeight="1">
      <c r="B91" s="300"/>
      <c r="C91" s="187" t="s">
        <v>1315</v>
      </c>
      <c r="D91" s="187" t="s">
        <v>1315</v>
      </c>
      <c r="E91" s="187" t="s">
        <v>1315</v>
      </c>
      <c r="F91" s="187" t="s">
        <v>1315</v>
      </c>
      <c r="G91" s="187" t="s">
        <v>1315</v>
      </c>
      <c r="H91" s="187" t="s">
        <v>1315</v>
      </c>
      <c r="I91" s="187" t="s">
        <v>1315</v>
      </c>
      <c r="J91" s="187" t="s">
        <v>1315</v>
      </c>
      <c r="K91" s="378"/>
      <c r="L91" s="379" t="s">
        <v>1315</v>
      </c>
      <c r="M91" s="187" t="s">
        <v>1315</v>
      </c>
      <c r="N91" s="187" t="s">
        <v>1315</v>
      </c>
      <c r="O91" s="187" t="s">
        <v>1315</v>
      </c>
      <c r="P91" s="187" t="s">
        <v>1315</v>
      </c>
      <c r="Q91" s="187" t="s">
        <v>1315</v>
      </c>
      <c r="R91" s="187" t="s">
        <v>1315</v>
      </c>
      <c r="S91" s="187" t="s">
        <v>1315</v>
      </c>
      <c r="T91" s="380" t="s">
        <v>1315</v>
      </c>
      <c r="U91" s="422" t="s">
        <v>1315</v>
      </c>
      <c r="V91" s="300"/>
      <c r="W91" s="187" t="s">
        <v>1315</v>
      </c>
      <c r="X91" s="187" t="s">
        <v>1315</v>
      </c>
      <c r="Y91" s="187" t="s">
        <v>1315</v>
      </c>
      <c r="Z91" s="187" t="s">
        <v>1315</v>
      </c>
      <c r="AA91" s="187" t="s">
        <v>1315</v>
      </c>
      <c r="AB91" s="187" t="s">
        <v>1315</v>
      </c>
      <c r="AC91" s="187" t="s">
        <v>1315</v>
      </c>
      <c r="AD91" s="187" t="s">
        <v>1315</v>
      </c>
      <c r="AE91" s="378"/>
      <c r="AF91" s="379" t="s">
        <v>1315</v>
      </c>
      <c r="AG91" s="187" t="s">
        <v>1315</v>
      </c>
      <c r="AH91" s="187" t="s">
        <v>1315</v>
      </c>
      <c r="AI91" s="187" t="s">
        <v>1315</v>
      </c>
      <c r="AJ91" s="187" t="s">
        <v>1315</v>
      </c>
      <c r="AK91" s="187" t="s">
        <v>1315</v>
      </c>
      <c r="AL91" s="187" t="s">
        <v>1315</v>
      </c>
      <c r="AM91" s="187" t="s">
        <v>1315</v>
      </c>
      <c r="AN91" s="380"/>
      <c r="AO91" s="422" t="s">
        <v>1315</v>
      </c>
      <c r="AP91" s="300"/>
      <c r="AQ91" s="187" t="s">
        <v>1315</v>
      </c>
      <c r="AR91" s="187" t="s">
        <v>1315</v>
      </c>
      <c r="AS91" s="187" t="s">
        <v>1315</v>
      </c>
      <c r="AT91" s="187" t="s">
        <v>1315</v>
      </c>
      <c r="AU91" s="187" t="s">
        <v>1315</v>
      </c>
      <c r="AV91" s="187" t="s">
        <v>1315</v>
      </c>
      <c r="AW91" s="187" t="s">
        <v>1315</v>
      </c>
      <c r="AX91" s="187" t="s">
        <v>1315</v>
      </c>
      <c r="AY91" s="378"/>
      <c r="AZ91" s="379" t="s">
        <v>1315</v>
      </c>
      <c r="BA91" s="187" t="s">
        <v>1315</v>
      </c>
      <c r="BB91" s="187" t="s">
        <v>1315</v>
      </c>
      <c r="BC91" s="187" t="s">
        <v>1315</v>
      </c>
      <c r="BD91" s="187" t="s">
        <v>1315</v>
      </c>
      <c r="BE91" s="187" t="s">
        <v>1315</v>
      </c>
      <c r="BF91" s="187" t="s">
        <v>1315</v>
      </c>
      <c r="BG91" s="187" t="s">
        <v>1315</v>
      </c>
      <c r="BH91" s="380"/>
      <c r="BI91" s="422" t="s">
        <v>1315</v>
      </c>
      <c r="BJ91" s="300"/>
      <c r="BK91" s="187" t="s">
        <v>1315</v>
      </c>
      <c r="BL91" s="187" t="s">
        <v>1315</v>
      </c>
      <c r="BM91" s="187" t="s">
        <v>1315</v>
      </c>
      <c r="BN91" s="187" t="s">
        <v>1315</v>
      </c>
      <c r="BO91" s="187" t="s">
        <v>1315</v>
      </c>
      <c r="BP91" s="187" t="s">
        <v>1315</v>
      </c>
      <c r="BQ91" s="187" t="s">
        <v>1315</v>
      </c>
      <c r="BR91" s="187" t="s">
        <v>1315</v>
      </c>
      <c r="BS91" s="378"/>
      <c r="BT91" s="379" t="s">
        <v>1315</v>
      </c>
      <c r="BU91" s="187" t="s">
        <v>1315</v>
      </c>
      <c r="BV91" s="187" t="s">
        <v>1315</v>
      </c>
      <c r="BW91" s="187" t="s">
        <v>1315</v>
      </c>
      <c r="BX91" s="187" t="s">
        <v>1315</v>
      </c>
      <c r="BY91" s="187" t="s">
        <v>1315</v>
      </c>
      <c r="BZ91" s="187" t="s">
        <v>1315</v>
      </c>
      <c r="CA91" s="187" t="s">
        <v>1315</v>
      </c>
      <c r="CB91" s="380"/>
      <c r="CC91" s="422" t="s">
        <v>1315</v>
      </c>
      <c r="CD91" s="300"/>
      <c r="CE91" s="380" t="s">
        <v>1315</v>
      </c>
      <c r="CF91" s="380"/>
      <c r="CG91" s="380"/>
      <c r="CH91" s="380"/>
      <c r="CI91" s="187"/>
      <c r="CJ91" s="380" t="s">
        <v>1315</v>
      </c>
      <c r="CK91" s="380"/>
      <c r="CL91" s="380"/>
      <c r="CM91" s="380"/>
      <c r="CN91" s="187"/>
      <c r="CO91" s="380" t="s">
        <v>1315</v>
      </c>
      <c r="CP91" s="380"/>
      <c r="CQ91" s="380"/>
      <c r="CR91" s="380"/>
      <c r="CS91" s="187"/>
    </row>
    <row r="92" spans="1:131" s="14" customFormat="1" ht="15.75" customHeight="1">
      <c r="A92" s="16" t="s">
        <v>270</v>
      </c>
      <c r="B92" s="300">
        <v>61</v>
      </c>
      <c r="C92" s="216">
        <f t="shared" ref="C92:J92" si="202">C32-C90</f>
        <v>-10862.107589163439</v>
      </c>
      <c r="D92" s="216">
        <f t="shared" si="202"/>
        <v>-278268.39119860367</v>
      </c>
      <c r="E92" s="216">
        <f t="shared" si="202"/>
        <v>-266105.75606729684</v>
      </c>
      <c r="F92" s="216">
        <f t="shared" si="202"/>
        <v>-758681.1244851877</v>
      </c>
      <c r="G92" s="216">
        <f t="shared" si="202"/>
        <v>-233332.79013577974</v>
      </c>
      <c r="H92" s="216">
        <f t="shared" si="202"/>
        <v>-687274.18444576347</v>
      </c>
      <c r="I92" s="216">
        <f t="shared" si="202"/>
        <v>-71372.854219373112</v>
      </c>
      <c r="J92" s="216">
        <f t="shared" si="202"/>
        <v>-164556.97164905269</v>
      </c>
      <c r="K92" s="221">
        <f>SUM(C92:J92)</f>
        <v>-2470454.1797902207</v>
      </c>
      <c r="L92" s="218">
        <f t="shared" ref="L92:U92" si="203">L32-L90</f>
        <v>0</v>
      </c>
      <c r="M92" s="216">
        <f t="shared" si="203"/>
        <v>226101.9488601482</v>
      </c>
      <c r="N92" s="216">
        <f t="shared" si="203"/>
        <v>0</v>
      </c>
      <c r="O92" s="216">
        <f t="shared" si="203"/>
        <v>-915358.31976224761</v>
      </c>
      <c r="P92" s="216">
        <f t="shared" si="203"/>
        <v>0</v>
      </c>
      <c r="Q92" s="216">
        <f t="shared" si="203"/>
        <v>-603521.03098351508</v>
      </c>
      <c r="R92" s="216">
        <f t="shared" si="203"/>
        <v>0</v>
      </c>
      <c r="S92" s="216">
        <f t="shared" si="203"/>
        <v>-217258.78469128441</v>
      </c>
      <c r="T92" s="219">
        <f t="shared" si="203"/>
        <v>-1510036.1865768982</v>
      </c>
      <c r="U92" s="220">
        <f t="shared" si="203"/>
        <v>-3980490.3663671222</v>
      </c>
      <c r="V92" s="300">
        <v>61</v>
      </c>
      <c r="W92" s="216">
        <f t="shared" ref="W92:AD92" si="204">W32-W90</f>
        <v>14143.688996360761</v>
      </c>
      <c r="X92" s="216">
        <f t="shared" si="204"/>
        <v>78274.697424619691</v>
      </c>
      <c r="Y92" s="216">
        <f t="shared" si="204"/>
        <v>13129.426336760849</v>
      </c>
      <c r="Z92" s="216">
        <f t="shared" si="204"/>
        <v>145773.8428911833</v>
      </c>
      <c r="AA92" s="216">
        <f t="shared" si="204"/>
        <v>9584.2435883993676</v>
      </c>
      <c r="AB92" s="216">
        <f t="shared" si="204"/>
        <v>131920.33045948032</v>
      </c>
      <c r="AC92" s="216">
        <f t="shared" si="204"/>
        <v>12682.221610160992</v>
      </c>
      <c r="AD92" s="216">
        <f t="shared" si="204"/>
        <v>177265.81802317442</v>
      </c>
      <c r="AE92" s="221">
        <f>SUM(W92:AD92)</f>
        <v>582774.26933013974</v>
      </c>
      <c r="AF92" s="218">
        <f t="shared" ref="AF92:AM92" si="205">AF32-AF90</f>
        <v>0</v>
      </c>
      <c r="AG92" s="216">
        <f t="shared" si="205"/>
        <v>56523.940681819338</v>
      </c>
      <c r="AH92" s="216">
        <f t="shared" si="205"/>
        <v>0</v>
      </c>
      <c r="AI92" s="216">
        <f t="shared" si="205"/>
        <v>-94845.104986560589</v>
      </c>
      <c r="AJ92" s="216">
        <f t="shared" si="205"/>
        <v>0</v>
      </c>
      <c r="AK92" s="216">
        <f t="shared" si="205"/>
        <v>57966.343415265263</v>
      </c>
      <c r="AL92" s="216">
        <f t="shared" si="205"/>
        <v>0</v>
      </c>
      <c r="AM92" s="216">
        <f t="shared" si="205"/>
        <v>10873.23713704478</v>
      </c>
      <c r="AN92" s="219">
        <f>SUM(AF92:AM92)</f>
        <v>30518.416247568792</v>
      </c>
      <c r="AO92" s="220">
        <f>AO32-AO90</f>
        <v>613292.68557770923</v>
      </c>
      <c r="AP92" s="300">
        <v>61</v>
      </c>
      <c r="AQ92" s="216">
        <f t="shared" ref="AQ92:AX92" si="206">AQ32-AQ90</f>
        <v>-421010.33344298601</v>
      </c>
      <c r="AR92" s="216">
        <f t="shared" si="206"/>
        <v>-69289.063429880887</v>
      </c>
      <c r="AS92" s="216">
        <f t="shared" si="206"/>
        <v>26305.601901800837</v>
      </c>
      <c r="AT92" s="216">
        <f t="shared" si="206"/>
        <v>604984.3906061016</v>
      </c>
      <c r="AU92" s="216">
        <f t="shared" si="206"/>
        <v>-182946.31124036852</v>
      </c>
      <c r="AV92" s="216">
        <f t="shared" si="206"/>
        <v>367529.93954792246</v>
      </c>
      <c r="AW92" s="216">
        <f t="shared" si="206"/>
        <v>-690881.4048114419</v>
      </c>
      <c r="AX92" s="216">
        <f t="shared" si="206"/>
        <v>530891.26073260792</v>
      </c>
      <c r="AY92" s="221">
        <f>SUM(AQ92:AX92)</f>
        <v>165584.0798637555</v>
      </c>
      <c r="AZ92" s="218">
        <f t="shared" ref="AZ92:BG92" si="207">AZ32-AZ90</f>
        <v>0</v>
      </c>
      <c r="BA92" s="216">
        <f t="shared" si="207"/>
        <v>1901566.5162617005</v>
      </c>
      <c r="BB92" s="216">
        <f t="shared" si="207"/>
        <v>0</v>
      </c>
      <c r="BC92" s="216">
        <f t="shared" si="207"/>
        <v>141444.27990739979</v>
      </c>
      <c r="BD92" s="216">
        <f t="shared" si="207"/>
        <v>0</v>
      </c>
      <c r="BE92" s="216">
        <f t="shared" si="207"/>
        <v>507362.57090359554</v>
      </c>
      <c r="BF92" s="216">
        <f t="shared" si="207"/>
        <v>0</v>
      </c>
      <c r="BG92" s="216">
        <f t="shared" si="207"/>
        <v>-716240.11940917931</v>
      </c>
      <c r="BH92" s="219">
        <f>SUM(AZ92:BG92)</f>
        <v>1834133.2476635166</v>
      </c>
      <c r="BI92" s="220">
        <f>BI32-BI90</f>
        <v>1999717.3275272548</v>
      </c>
      <c r="BJ92" s="300">
        <v>61</v>
      </c>
      <c r="BK92" s="216">
        <f t="shared" ref="BK92:BR92" si="208">BK32-BK90</f>
        <v>9510.887568311402</v>
      </c>
      <c r="BL92" s="216">
        <f t="shared" si="208"/>
        <v>-133611.91069872794</v>
      </c>
      <c r="BM92" s="216">
        <f t="shared" si="208"/>
        <v>24161.74963013122</v>
      </c>
      <c r="BN92" s="216">
        <f t="shared" si="208"/>
        <v>144493.33675943152</v>
      </c>
      <c r="BO92" s="216">
        <f t="shared" si="208"/>
        <v>46169.210141480857</v>
      </c>
      <c r="BP92" s="216">
        <f t="shared" si="208"/>
        <v>157642.91592176631</v>
      </c>
      <c r="BQ92" s="216">
        <f t="shared" si="208"/>
        <v>63310.589038357073</v>
      </c>
      <c r="BR92" s="216">
        <f t="shared" si="208"/>
        <v>283366.14127159258</v>
      </c>
      <c r="BS92" s="221">
        <f>SUM(BK92:BR92)</f>
        <v>595042.91963234311</v>
      </c>
      <c r="BT92" s="218">
        <f t="shared" ref="BT92:CA92" si="209">BT32-BT90</f>
        <v>0</v>
      </c>
      <c r="BU92" s="216">
        <f t="shared" si="209"/>
        <v>-18629.788850009092</v>
      </c>
      <c r="BV92" s="216">
        <f t="shared" si="209"/>
        <v>0</v>
      </c>
      <c r="BW92" s="216">
        <f t="shared" si="209"/>
        <v>-24611.081280827173</v>
      </c>
      <c r="BX92" s="216">
        <f t="shared" si="209"/>
        <v>0</v>
      </c>
      <c r="BY92" s="216">
        <f t="shared" si="209"/>
        <v>38402.828738101292</v>
      </c>
      <c r="BZ92" s="216">
        <f t="shared" si="209"/>
        <v>0</v>
      </c>
      <c r="CA92" s="216">
        <f t="shared" si="209"/>
        <v>-118426.22146316094</v>
      </c>
      <c r="CB92" s="219">
        <f>SUM(BT92:CA92)</f>
        <v>-123264.26285589591</v>
      </c>
      <c r="CC92" s="220">
        <f>CC32-CC90</f>
        <v>471778.65677644778</v>
      </c>
      <c r="CD92" s="300">
        <v>61</v>
      </c>
      <c r="CE92" s="219">
        <f t="shared" ref="CE92:CS92" si="210">CE32-CE90</f>
        <v>-811112.53237007186</v>
      </c>
      <c r="CF92" s="219">
        <f t="shared" si="210"/>
        <v>-65938.532427072525</v>
      </c>
      <c r="CG92" s="219">
        <f t="shared" si="210"/>
        <v>-390706.64616286196</v>
      </c>
      <c r="CH92" s="219">
        <f t="shared" si="210"/>
        <v>140704.79999602586</v>
      </c>
      <c r="CI92" s="216">
        <f t="shared" si="210"/>
        <v>-1127052.9109639898</v>
      </c>
      <c r="CJ92" s="219">
        <f t="shared" si="210"/>
        <v>2165562.6169536561</v>
      </c>
      <c r="CK92" s="219">
        <f t="shared" si="210"/>
        <v>-893370.22612223588</v>
      </c>
      <c r="CL92" s="219">
        <f t="shared" si="210"/>
        <v>210.71207344718277</v>
      </c>
      <c r="CM92" s="219">
        <f t="shared" si="210"/>
        <v>-1041051.8884265833</v>
      </c>
      <c r="CN92" s="216">
        <f t="shared" si="210"/>
        <v>-3849226.0246729073</v>
      </c>
      <c r="CO92" s="219">
        <f t="shared" si="210"/>
        <v>1354450.0845835879</v>
      </c>
      <c r="CP92" s="219">
        <f t="shared" si="210"/>
        <v>-959308.75854931027</v>
      </c>
      <c r="CQ92" s="219">
        <f t="shared" si="210"/>
        <v>-390495.93408942223</v>
      </c>
      <c r="CR92" s="219">
        <f t="shared" si="210"/>
        <v>-900347.08843056485</v>
      </c>
      <c r="CS92" s="216">
        <f t="shared" si="210"/>
        <v>-895701.69648571312</v>
      </c>
      <c r="CT92" s="318"/>
      <c r="CU92" s="318"/>
      <c r="CV92" s="318"/>
      <c r="CW92" s="318"/>
      <c r="CX92" s="318"/>
      <c r="CY92" s="318"/>
      <c r="CZ92" s="318"/>
      <c r="DA92" s="318"/>
      <c r="DB92" s="318"/>
      <c r="DC92" s="318"/>
      <c r="DD92" s="318"/>
      <c r="DE92" s="318"/>
      <c r="DF92" s="318"/>
      <c r="DG92" s="318"/>
      <c r="DH92" s="318"/>
      <c r="DI92" s="318"/>
      <c r="DJ92" s="318"/>
      <c r="DK92" s="318"/>
      <c r="DL92" s="318"/>
      <c r="DM92" s="318"/>
      <c r="DN92" s="318"/>
      <c r="DO92" s="318"/>
      <c r="DP92" s="318"/>
      <c r="DQ92" s="318"/>
      <c r="DR92" s="318"/>
      <c r="DS92" s="318"/>
      <c r="DT92" s="318"/>
      <c r="DU92" s="318"/>
      <c r="DV92" s="318"/>
      <c r="DW92" s="318"/>
      <c r="DX92" s="318"/>
      <c r="DY92" s="318"/>
      <c r="DZ92" s="318"/>
      <c r="EA92" s="318"/>
    </row>
    <row r="93" spans="1:131" ht="15.75" customHeight="1">
      <c r="B93" s="300"/>
      <c r="C93" s="306" t="s">
        <v>1320</v>
      </c>
      <c r="D93" s="306" t="s">
        <v>1320</v>
      </c>
      <c r="E93" s="306" t="s">
        <v>1320</v>
      </c>
      <c r="F93" s="306" t="s">
        <v>1320</v>
      </c>
      <c r="G93" s="306" t="s">
        <v>1320</v>
      </c>
      <c r="H93" s="306" t="s">
        <v>1320</v>
      </c>
      <c r="I93" s="306" t="s">
        <v>1320</v>
      </c>
      <c r="J93" s="306" t="s">
        <v>1320</v>
      </c>
      <c r="K93" s="384"/>
      <c r="L93" s="385" t="s">
        <v>1320</v>
      </c>
      <c r="M93" s="306" t="s">
        <v>1320</v>
      </c>
      <c r="N93" s="306" t="s">
        <v>1320</v>
      </c>
      <c r="O93" s="306" t="s">
        <v>1320</v>
      </c>
      <c r="P93" s="306" t="s">
        <v>1320</v>
      </c>
      <c r="Q93" s="306" t="s">
        <v>1320</v>
      </c>
      <c r="R93" s="306" t="s">
        <v>1320</v>
      </c>
      <c r="S93" s="306" t="s">
        <v>1320</v>
      </c>
      <c r="T93" s="386" t="s">
        <v>1320</v>
      </c>
      <c r="U93" s="385" t="s">
        <v>1320</v>
      </c>
      <c r="V93" s="300"/>
      <c r="W93" s="306" t="s">
        <v>1320</v>
      </c>
      <c r="X93" s="306" t="s">
        <v>1320</v>
      </c>
      <c r="Y93" s="306" t="s">
        <v>1320</v>
      </c>
      <c r="Z93" s="306" t="s">
        <v>1320</v>
      </c>
      <c r="AA93" s="306" t="s">
        <v>1320</v>
      </c>
      <c r="AB93" s="306" t="s">
        <v>1320</v>
      </c>
      <c r="AC93" s="306" t="s">
        <v>1320</v>
      </c>
      <c r="AD93" s="306" t="s">
        <v>1320</v>
      </c>
      <c r="AE93" s="384"/>
      <c r="AF93" s="385" t="s">
        <v>1320</v>
      </c>
      <c r="AG93" s="306" t="s">
        <v>1320</v>
      </c>
      <c r="AH93" s="306" t="s">
        <v>1320</v>
      </c>
      <c r="AI93" s="306" t="s">
        <v>1320</v>
      </c>
      <c r="AJ93" s="306" t="s">
        <v>1320</v>
      </c>
      <c r="AK93" s="306" t="s">
        <v>1320</v>
      </c>
      <c r="AL93" s="306" t="s">
        <v>1320</v>
      </c>
      <c r="AM93" s="306" t="s">
        <v>1320</v>
      </c>
      <c r="AN93" s="386" t="s">
        <v>1320</v>
      </c>
      <c r="AO93" s="385" t="s">
        <v>1320</v>
      </c>
      <c r="AP93" s="300"/>
      <c r="AQ93" s="306" t="s">
        <v>1320</v>
      </c>
      <c r="AR93" s="306" t="s">
        <v>1320</v>
      </c>
      <c r="AS93" s="306" t="s">
        <v>1320</v>
      </c>
      <c r="AT93" s="306" t="s">
        <v>1320</v>
      </c>
      <c r="AU93" s="306" t="s">
        <v>1320</v>
      </c>
      <c r="AV93" s="306" t="s">
        <v>1320</v>
      </c>
      <c r="AW93" s="306" t="s">
        <v>1320</v>
      </c>
      <c r="AX93" s="306" t="s">
        <v>1320</v>
      </c>
      <c r="AY93" s="384"/>
      <c r="AZ93" s="385" t="s">
        <v>1320</v>
      </c>
      <c r="BA93" s="306" t="s">
        <v>1320</v>
      </c>
      <c r="BB93" s="306" t="s">
        <v>1320</v>
      </c>
      <c r="BC93" s="306" t="s">
        <v>1320</v>
      </c>
      <c r="BD93" s="306" t="s">
        <v>1320</v>
      </c>
      <c r="BE93" s="306" t="s">
        <v>1320</v>
      </c>
      <c r="BF93" s="306" t="s">
        <v>1320</v>
      </c>
      <c r="BG93" s="306" t="s">
        <v>1320</v>
      </c>
      <c r="BH93" s="386" t="s">
        <v>1320</v>
      </c>
      <c r="BI93" s="385" t="s">
        <v>1320</v>
      </c>
      <c r="BJ93" s="300"/>
      <c r="BK93" s="306" t="s">
        <v>1320</v>
      </c>
      <c r="BL93" s="306" t="s">
        <v>1320</v>
      </c>
      <c r="BM93" s="306" t="s">
        <v>1320</v>
      </c>
      <c r="BN93" s="306" t="s">
        <v>1320</v>
      </c>
      <c r="BO93" s="306" t="s">
        <v>1320</v>
      </c>
      <c r="BP93" s="306" t="s">
        <v>1320</v>
      </c>
      <c r="BQ93" s="306" t="s">
        <v>1320</v>
      </c>
      <c r="BR93" s="306" t="s">
        <v>1320</v>
      </c>
      <c r="BS93" s="384"/>
      <c r="BT93" s="385" t="s">
        <v>1320</v>
      </c>
      <c r="BU93" s="306" t="s">
        <v>1320</v>
      </c>
      <c r="BV93" s="306" t="s">
        <v>1320</v>
      </c>
      <c r="BW93" s="306" t="s">
        <v>1320</v>
      </c>
      <c r="BX93" s="306" t="s">
        <v>1320</v>
      </c>
      <c r="BY93" s="306" t="s">
        <v>1320</v>
      </c>
      <c r="BZ93" s="306" t="s">
        <v>1320</v>
      </c>
      <c r="CA93" s="306" t="s">
        <v>1320</v>
      </c>
      <c r="CB93" s="386" t="s">
        <v>1320</v>
      </c>
      <c r="CC93" s="385" t="s">
        <v>1320</v>
      </c>
      <c r="CD93" s="300"/>
      <c r="CE93" s="386" t="s">
        <v>1320</v>
      </c>
      <c r="CF93" s="386"/>
      <c r="CG93" s="386"/>
      <c r="CH93" s="386"/>
      <c r="CI93" s="306"/>
      <c r="CJ93" s="386" t="s">
        <v>1320</v>
      </c>
      <c r="CK93" s="386"/>
      <c r="CL93" s="386"/>
      <c r="CM93" s="386"/>
      <c r="CN93" s="306"/>
      <c r="CO93" s="386" t="s">
        <v>1320</v>
      </c>
      <c r="CP93" s="386"/>
      <c r="CQ93" s="386"/>
      <c r="CR93" s="386"/>
      <c r="CS93" s="306"/>
    </row>
    <row r="94" spans="1:131" ht="15.75" customHeight="1">
      <c r="A94" s="135" t="s">
        <v>272</v>
      </c>
      <c r="B94" s="300">
        <v>62</v>
      </c>
      <c r="C94" s="387">
        <f t="shared" ref="C94:U94" si="211">IF((C32-C28)=0,"",C92/(C32-C28))</f>
        <v>-9.793137649078297E-2</v>
      </c>
      <c r="D94" s="387">
        <f t="shared" si="211"/>
        <v>-0.70626927235418613</v>
      </c>
      <c r="E94" s="387">
        <f t="shared" si="211"/>
        <v>-2.0661892720998027</v>
      </c>
      <c r="F94" s="387">
        <f t="shared" si="211"/>
        <v>-1.9274448824828572</v>
      </c>
      <c r="G94" s="387">
        <f t="shared" si="211"/>
        <v>-1.4820622944993347</v>
      </c>
      <c r="H94" s="387">
        <f t="shared" si="211"/>
        <v>-1.7142943130253374</v>
      </c>
      <c r="I94" s="387">
        <f t="shared" si="211"/>
        <v>-0.44582680274119807</v>
      </c>
      <c r="J94" s="387">
        <f t="shared" si="211"/>
        <v>-0.40084258303234926</v>
      </c>
      <c r="K94" s="388">
        <f t="shared" si="211"/>
        <v>-1.145697514297735</v>
      </c>
      <c r="L94" s="389" t="str">
        <f t="shared" si="211"/>
        <v/>
      </c>
      <c r="M94" s="387">
        <f t="shared" si="211"/>
        <v>0.16786946632019664</v>
      </c>
      <c r="N94" s="387" t="str">
        <f t="shared" si="211"/>
        <v/>
      </c>
      <c r="O94" s="387">
        <f t="shared" si="211"/>
        <v>-0.78888859542570078</v>
      </c>
      <c r="P94" s="387" t="str">
        <f t="shared" si="211"/>
        <v/>
      </c>
      <c r="Q94" s="387">
        <f t="shared" si="211"/>
        <v>-0.45492340636276257</v>
      </c>
      <c r="R94" s="387" t="str">
        <f t="shared" si="211"/>
        <v/>
      </c>
      <c r="S94" s="387">
        <f t="shared" si="211"/>
        <v>-0.16499876818788731</v>
      </c>
      <c r="T94" s="390">
        <f t="shared" si="211"/>
        <v>-0.29317799699407743</v>
      </c>
      <c r="U94" s="389">
        <f t="shared" si="211"/>
        <v>-0.54476024367428666</v>
      </c>
      <c r="V94" s="300">
        <v>62</v>
      </c>
      <c r="W94" s="387">
        <f t="shared" ref="W94:AO94" si="212">IF((W32-W28)=0,"",W92/(W32-W28))</f>
        <v>0.61566466590232549</v>
      </c>
      <c r="X94" s="387">
        <f t="shared" si="212"/>
        <v>0.25304189677066113</v>
      </c>
      <c r="Y94" s="387">
        <f t="shared" si="212"/>
        <v>0.77627913312857411</v>
      </c>
      <c r="Z94" s="387">
        <f t="shared" si="212"/>
        <v>0.48026703055953501</v>
      </c>
      <c r="AA94" s="387">
        <f t="shared" si="212"/>
        <v>0.69033836008465999</v>
      </c>
      <c r="AB94" s="387">
        <f t="shared" si="212"/>
        <v>0.42903159810286134</v>
      </c>
      <c r="AC94" s="387">
        <f t="shared" si="212"/>
        <v>0.44525926226867574</v>
      </c>
      <c r="AD94" s="387">
        <f t="shared" si="212"/>
        <v>0.53187170335931067</v>
      </c>
      <c r="AE94" s="388">
        <f t="shared" si="212"/>
        <v>0.4362458920430583</v>
      </c>
      <c r="AF94" s="389" t="str">
        <f t="shared" si="212"/>
        <v/>
      </c>
      <c r="AG94" s="387">
        <f t="shared" si="212"/>
        <v>0.10083193088062284</v>
      </c>
      <c r="AH94" s="387" t="str">
        <f t="shared" si="212"/>
        <v/>
      </c>
      <c r="AI94" s="387">
        <f t="shared" si="212"/>
        <v>-0.18420880337755086</v>
      </c>
      <c r="AJ94" s="387" t="str">
        <f t="shared" si="212"/>
        <v/>
      </c>
      <c r="AK94" s="387">
        <f t="shared" si="212"/>
        <v>0.10497581385760286</v>
      </c>
      <c r="AL94" s="387" t="str">
        <f t="shared" si="212"/>
        <v/>
      </c>
      <c r="AM94" s="387">
        <f t="shared" si="212"/>
        <v>1.8062765044947096E-2</v>
      </c>
      <c r="AN94" s="390">
        <f t="shared" si="212"/>
        <v>1.3687774012776927E-2</v>
      </c>
      <c r="AO94" s="389">
        <f t="shared" si="212"/>
        <v>0.17200766883875707</v>
      </c>
      <c r="AP94" s="300">
        <v>62</v>
      </c>
      <c r="AQ94" s="387">
        <f t="shared" ref="AQ94:BI94" si="213">IF((AQ32-AQ28)=0,"",AQ92/(AQ32-AQ28))</f>
        <v>-0.14844526492453305</v>
      </c>
      <c r="AR94" s="387">
        <f t="shared" si="213"/>
        <v>-7.6937372978966422E-3</v>
      </c>
      <c r="AS94" s="387">
        <f t="shared" si="213"/>
        <v>8.701879513612433E-3</v>
      </c>
      <c r="AT94" s="387">
        <f t="shared" si="213"/>
        <v>6.5611727436706666E-2</v>
      </c>
      <c r="AU94" s="387">
        <f t="shared" si="213"/>
        <v>-5.8084876755731291E-2</v>
      </c>
      <c r="AV94" s="387">
        <f t="shared" si="213"/>
        <v>3.7863488537347195E-2</v>
      </c>
      <c r="AW94" s="387">
        <f t="shared" si="213"/>
        <v>-0.20640846268059851</v>
      </c>
      <c r="AX94" s="387">
        <f t="shared" si="213"/>
        <v>5.3323945104290414E-2</v>
      </c>
      <c r="AY94" s="388">
        <f t="shared" si="213"/>
        <v>3.2955230624152738E-3</v>
      </c>
      <c r="AZ94" s="389" t="str">
        <f t="shared" si="213"/>
        <v/>
      </c>
      <c r="BA94" s="387">
        <f t="shared" si="213"/>
        <v>0.15723982921665178</v>
      </c>
      <c r="BB94" s="387" t="str">
        <f t="shared" si="213"/>
        <v/>
      </c>
      <c r="BC94" s="387">
        <f t="shared" si="213"/>
        <v>1.3835942328087691E-2</v>
      </c>
      <c r="BD94" s="387" t="str">
        <f t="shared" si="213"/>
        <v/>
      </c>
      <c r="BE94" s="387">
        <f t="shared" si="213"/>
        <v>4.5109200738204853E-2</v>
      </c>
      <c r="BF94" s="387" t="str">
        <f t="shared" si="213"/>
        <v/>
      </c>
      <c r="BG94" s="387">
        <f t="shared" si="213"/>
        <v>-6.6019888811525068E-2</v>
      </c>
      <c r="BH94" s="390">
        <f t="shared" si="213"/>
        <v>4.1297533588078708E-2</v>
      </c>
      <c r="BI94" s="389">
        <f t="shared" si="213"/>
        <v>2.1125749433197324E-2</v>
      </c>
      <c r="BJ94" s="300">
        <v>62</v>
      </c>
      <c r="BK94" s="387">
        <f t="shared" ref="BK94:CC94" si="214">IF((BK32-BK28)=0,"",BK92/(BK32-BK28))</f>
        <v>0.22396011672326049</v>
      </c>
      <c r="BL94" s="387">
        <f t="shared" si="214"/>
        <v>-0.10747120897558271</v>
      </c>
      <c r="BM94" s="387">
        <f t="shared" si="214"/>
        <v>0.87565814898628858</v>
      </c>
      <c r="BN94" s="387">
        <f t="shared" si="214"/>
        <v>0.1158177688380312</v>
      </c>
      <c r="BO94" s="387">
        <f t="shared" si="214"/>
        <v>0.73161170451225621</v>
      </c>
      <c r="BP94" s="387">
        <f t="shared" si="214"/>
        <v>0.12561338839881639</v>
      </c>
      <c r="BQ94" s="387">
        <f t="shared" si="214"/>
        <v>0.54193909857384248</v>
      </c>
      <c r="BR94" s="387">
        <f t="shared" si="214"/>
        <v>0.17385226550466831</v>
      </c>
      <c r="BS94" s="388">
        <f t="shared" si="214"/>
        <v>0.10577178353706825</v>
      </c>
      <c r="BT94" s="389" t="str">
        <f t="shared" si="214"/>
        <v/>
      </c>
      <c r="BU94" s="387">
        <f t="shared" si="214"/>
        <v>-3.2545927850187326E-2</v>
      </c>
      <c r="BV94" s="387" t="str">
        <f t="shared" si="214"/>
        <v/>
      </c>
      <c r="BW94" s="387">
        <f t="shared" si="214"/>
        <v>-3.4401739989843742E-2</v>
      </c>
      <c r="BX94" s="387" t="str">
        <f t="shared" si="214"/>
        <v/>
      </c>
      <c r="BY94" s="387">
        <f t="shared" si="214"/>
        <v>6.5586751945481275E-2</v>
      </c>
      <c r="BZ94" s="387" t="str">
        <f t="shared" si="214"/>
        <v/>
      </c>
      <c r="CA94" s="387">
        <f t="shared" si="214"/>
        <v>-0.2020204659872947</v>
      </c>
      <c r="CB94" s="390">
        <f t="shared" si="214"/>
        <v>-5.011651351149949E-2</v>
      </c>
      <c r="CC94" s="389">
        <f t="shared" si="214"/>
        <v>5.8350329366999354E-2</v>
      </c>
      <c r="CD94" s="300">
        <v>62</v>
      </c>
      <c r="CE94" s="390">
        <f t="shared" ref="CE94:CS94" si="215">IF((CE32-CE28)=0,"",CE92/(CE32-CE28))</f>
        <v>-5.8081985790382151E-2</v>
      </c>
      <c r="CF94" s="390">
        <f t="shared" si="215"/>
        <v>-4.5912796497533685E-3</v>
      </c>
      <c r="CG94" s="390">
        <f t="shared" si="215"/>
        <v>-2.5953412909064732E-2</v>
      </c>
      <c r="CH94" s="390">
        <f t="shared" si="215"/>
        <v>8.8038136661748364E-3</v>
      </c>
      <c r="CI94" s="423">
        <f t="shared" si="215"/>
        <v>-1.8985762790080355E-2</v>
      </c>
      <c r="CJ94" s="390">
        <f t="shared" si="215"/>
        <v>0.14859798163024568</v>
      </c>
      <c r="CK94" s="390">
        <f t="shared" si="215"/>
        <v>-7.0826210726707806E-2</v>
      </c>
      <c r="CL94" s="390">
        <f t="shared" si="215"/>
        <v>1.5367220942737064E-5</v>
      </c>
      <c r="CM94" s="390">
        <f t="shared" si="215"/>
        <v>-7.7959444737245517E-2</v>
      </c>
      <c r="CN94" s="423" t="str">
        <f t="shared" si="215"/>
        <v/>
      </c>
      <c r="CO94" s="390">
        <f t="shared" si="215"/>
        <v>4.7460856338082752E-2</v>
      </c>
      <c r="CP94" s="390">
        <f t="shared" si="215"/>
        <v>-3.5562561825114324E-2</v>
      </c>
      <c r="CQ94" s="390">
        <f t="shared" si="215"/>
        <v>-1.357494049910259E-2</v>
      </c>
      <c r="CR94" s="390">
        <f t="shared" si="215"/>
        <v>-3.0690842044905752E-2</v>
      </c>
      <c r="CS94" s="423">
        <f t="shared" si="215"/>
        <v>-7.8836252611864128E-3</v>
      </c>
    </row>
    <row r="95" spans="1:131" s="317" customFormat="1" ht="15.75" customHeight="1">
      <c r="A95" s="135" t="s">
        <v>274</v>
      </c>
      <c r="B95" s="300">
        <v>63</v>
      </c>
      <c r="C95" s="392">
        <f>IF((C32-C28-C25)=0,"",(C73+C66-C64)/(C32-C28-C25))</f>
        <v>1.0133085388673904</v>
      </c>
      <c r="D95" s="392">
        <f t="shared" ref="D95:U95" si="216">IF((D32-D28-D25)=0,"",(D73+D66-D64)/(D32-D28-D25))</f>
        <v>1.6216464347307935</v>
      </c>
      <c r="E95" s="392">
        <f t="shared" si="216"/>
        <v>2.9723958399011861</v>
      </c>
      <c r="F95" s="392">
        <f t="shared" si="216"/>
        <v>2.8336514502842411</v>
      </c>
      <c r="G95" s="392">
        <f t="shared" si="216"/>
        <v>2.385357748171768</v>
      </c>
      <c r="H95" s="392">
        <f t="shared" si="216"/>
        <v>2.6175897666977712</v>
      </c>
      <c r="I95" s="392">
        <f t="shared" si="216"/>
        <v>1.3491564855022207</v>
      </c>
      <c r="J95" s="392">
        <f t="shared" si="216"/>
        <v>1.3041722657933721</v>
      </c>
      <c r="K95" s="388">
        <f t="shared" si="216"/>
        <v>2.0525363447120437</v>
      </c>
      <c r="L95" s="393" t="str">
        <f t="shared" si="216"/>
        <v/>
      </c>
      <c r="M95" s="392">
        <f t="shared" si="216"/>
        <v>0.76592176549716562</v>
      </c>
      <c r="N95" s="392" t="str">
        <f t="shared" si="216"/>
        <v/>
      </c>
      <c r="O95" s="392">
        <f t="shared" si="216"/>
        <v>1.7136019697378557</v>
      </c>
      <c r="P95" s="392" t="str">
        <f t="shared" si="216"/>
        <v/>
      </c>
      <c r="Q95" s="392">
        <f t="shared" si="216"/>
        <v>1.3833001287450621</v>
      </c>
      <c r="R95" s="392" t="str">
        <f t="shared" si="216"/>
        <v/>
      </c>
      <c r="S95" s="392">
        <f t="shared" si="216"/>
        <v>1.0931601485309856</v>
      </c>
      <c r="T95" s="390">
        <f t="shared" si="216"/>
        <v>1.2220903050548788</v>
      </c>
      <c r="U95" s="394">
        <f t="shared" si="216"/>
        <v>1.4671585717198106</v>
      </c>
      <c r="V95" s="300">
        <v>63</v>
      </c>
      <c r="W95" s="392">
        <f>IF((W32-W28-W25)=0,"",(W73+W66-W64)/(W32-W28-W25))</f>
        <v>0.29971249647428183</v>
      </c>
      <c r="X95" s="392">
        <f t="shared" ref="X95:AO95" si="217">IF((X32-X28-X25)=0,"",(X73+X66-X64)/(X32-X28-X25))</f>
        <v>0.66233526560594624</v>
      </c>
      <c r="Y95" s="392">
        <f t="shared" si="217"/>
        <v>0.12992743467280968</v>
      </c>
      <c r="Z95" s="392">
        <f t="shared" si="217"/>
        <v>0.42593953724184874</v>
      </c>
      <c r="AA95" s="392">
        <f t="shared" si="217"/>
        <v>0.21295709358777365</v>
      </c>
      <c r="AB95" s="392">
        <f t="shared" si="217"/>
        <v>0.47426385556957218</v>
      </c>
      <c r="AC95" s="392">
        <f t="shared" si="217"/>
        <v>0.45807042049234692</v>
      </c>
      <c r="AD95" s="392">
        <f t="shared" si="217"/>
        <v>0.3714579794017121</v>
      </c>
      <c r="AE95" s="388">
        <f t="shared" si="217"/>
        <v>0.47076250771045391</v>
      </c>
      <c r="AF95" s="393" t="str">
        <f t="shared" si="217"/>
        <v/>
      </c>
      <c r="AG95" s="392">
        <f t="shared" si="217"/>
        <v>0.83145176700844348</v>
      </c>
      <c r="AH95" s="392" t="str">
        <f t="shared" si="217"/>
        <v/>
      </c>
      <c r="AI95" s="392">
        <f t="shared" si="217"/>
        <v>1.1091719206300452</v>
      </c>
      <c r="AJ95" s="392" t="str">
        <f t="shared" si="217"/>
        <v/>
      </c>
      <c r="AK95" s="392">
        <f t="shared" si="217"/>
        <v>0.81597700446775956</v>
      </c>
      <c r="AL95" s="392" t="str">
        <f t="shared" si="217"/>
        <v/>
      </c>
      <c r="AM95" s="392">
        <f t="shared" si="217"/>
        <v>0.90393974740433691</v>
      </c>
      <c r="AN95" s="390">
        <f t="shared" si="217"/>
        <v>0.91132338239271848</v>
      </c>
      <c r="AO95" s="394">
        <f t="shared" si="217"/>
        <v>0.74625839282567497</v>
      </c>
      <c r="AP95" s="300">
        <v>63</v>
      </c>
      <c r="AQ95" s="392">
        <f>IF((AQ32-AQ28-AQ25)=0,"",(AQ73+AQ66-AQ64)/(AQ32-AQ28-AQ25))</f>
        <v>1.0638224273011403</v>
      </c>
      <c r="AR95" s="392">
        <f t="shared" ref="AR95:BI95" si="218">IF((AR32-AR28-AR25)=0,"",(AR73+AR66-AR64)/(AR32-AR28-AR25))</f>
        <v>0.92307089967450406</v>
      </c>
      <c r="AS95" s="392">
        <f t="shared" si="218"/>
        <v>0.89750468828777141</v>
      </c>
      <c r="AT95" s="392">
        <f t="shared" si="218"/>
        <v>0.84059484036467713</v>
      </c>
      <c r="AU95" s="392">
        <f t="shared" si="218"/>
        <v>0.96138033042816484</v>
      </c>
      <c r="AV95" s="392">
        <f t="shared" si="218"/>
        <v>0.86543196513508636</v>
      </c>
      <c r="AW95" s="392">
        <f t="shared" si="218"/>
        <v>1.1097381454416213</v>
      </c>
      <c r="AX95" s="392">
        <f t="shared" si="218"/>
        <v>0.85000573765673249</v>
      </c>
      <c r="AY95" s="388">
        <f t="shared" si="218"/>
        <v>0.90356584749877311</v>
      </c>
      <c r="AZ95" s="393" t="str">
        <f t="shared" si="218"/>
        <v/>
      </c>
      <c r="BA95" s="392">
        <f t="shared" si="218"/>
        <v>0.77647148709685632</v>
      </c>
      <c r="BB95" s="392" t="str">
        <f t="shared" si="218"/>
        <v/>
      </c>
      <c r="BC95" s="392">
        <f t="shared" si="218"/>
        <v>0.91648017108762136</v>
      </c>
      <c r="BD95" s="392" t="str">
        <f t="shared" si="218"/>
        <v/>
      </c>
      <c r="BE95" s="392">
        <f t="shared" si="218"/>
        <v>0.88102505234972395</v>
      </c>
      <c r="BF95" s="392" t="str">
        <f t="shared" si="218"/>
        <v/>
      </c>
      <c r="BG95" s="392">
        <f t="shared" si="218"/>
        <v>0.98970257899886294</v>
      </c>
      <c r="BH95" s="390">
        <f t="shared" si="218"/>
        <v>0.88726366074721086</v>
      </c>
      <c r="BI95" s="394">
        <f t="shared" si="218"/>
        <v>0.89591699744851538</v>
      </c>
      <c r="BJ95" s="300">
        <v>63</v>
      </c>
      <c r="BK95" s="392">
        <f>IF((BK32-BK28-BK25)=0,"",(BK73+BK66-BK64)/(BK32-BK28-BK25))</f>
        <v>0.75105079761710736</v>
      </c>
      <c r="BL95" s="392">
        <f t="shared" ref="BL95:CS95" si="219">IF((BL32-BL28-BL25)=0,"",(BL73+BL66-BL64)/(BL32-BL28-BL25))</f>
        <v>1.1079505224223107</v>
      </c>
      <c r="BM95" s="392">
        <f t="shared" si="219"/>
        <v>4.0473652490409885E-2</v>
      </c>
      <c r="BN95" s="392">
        <f t="shared" si="219"/>
        <v>0.86096612417042206</v>
      </c>
      <c r="BO95" s="392">
        <f t="shared" si="219"/>
        <v>0.19358278349951086</v>
      </c>
      <c r="BP95" s="392">
        <f t="shared" si="219"/>
        <v>0.84902728693654284</v>
      </c>
      <c r="BQ95" s="392">
        <f t="shared" si="219"/>
        <v>0.51063658603812534</v>
      </c>
      <c r="BR95" s="392">
        <f t="shared" si="219"/>
        <v>0.99865395235846888</v>
      </c>
      <c r="BS95" s="388">
        <f t="shared" si="219"/>
        <v>0.9313092637709367</v>
      </c>
      <c r="BT95" s="393" t="str">
        <f t="shared" si="219"/>
        <v/>
      </c>
      <c r="BU95" s="392">
        <f t="shared" si="219"/>
        <v>0.97987757344462956</v>
      </c>
      <c r="BV95" s="392" t="str">
        <f t="shared" si="219"/>
        <v/>
      </c>
      <c r="BW95" s="392">
        <f t="shared" si="219"/>
        <v>0.98804165484833584</v>
      </c>
      <c r="BX95" s="392" t="str">
        <f t="shared" si="219"/>
        <v/>
      </c>
      <c r="BY95" s="392">
        <f t="shared" si="219"/>
        <v>0.87326142218649427</v>
      </c>
      <c r="BZ95" s="392" t="str">
        <f t="shared" si="219"/>
        <v/>
      </c>
      <c r="CA95" s="392">
        <f t="shared" si="219"/>
        <v>1.1269964963988492</v>
      </c>
      <c r="CB95" s="390">
        <f t="shared" si="219"/>
        <v>0.99193520104391775</v>
      </c>
      <c r="CC95" s="394">
        <f t="shared" si="219"/>
        <v>0.95154010260093946</v>
      </c>
      <c r="CD95" s="300">
        <v>63</v>
      </c>
      <c r="CE95" s="390">
        <f t="shared" ref="CE95:CN95" si="220">IF((CE32-CE28-CE25)=0,"",(CE73+CE66-CE64)/(CE32-CE28-CE25))</f>
        <v>0.9804565668905435</v>
      </c>
      <c r="CF95" s="390">
        <f t="shared" si="220"/>
        <v>0.91743509615775509</v>
      </c>
      <c r="CG95" s="390">
        <f t="shared" si="220"/>
        <v>0.93607055318090704</v>
      </c>
      <c r="CH95" s="390">
        <f t="shared" si="220"/>
        <v>0.9218829809821697</v>
      </c>
      <c r="CI95" s="391">
        <f t="shared" si="220"/>
        <v>0.93827415057107699</v>
      </c>
      <c r="CJ95" s="390">
        <f t="shared" si="220"/>
        <v>0.78560079023075846</v>
      </c>
      <c r="CK95" s="390">
        <f t="shared" si="220"/>
        <v>1.0017312797013918</v>
      </c>
      <c r="CL95" s="390">
        <f t="shared" si="220"/>
        <v>0.92667010351143975</v>
      </c>
      <c r="CM95" s="390">
        <f t="shared" si="220"/>
        <v>1.0020647855646607</v>
      </c>
      <c r="CN95" s="391" t="str">
        <f t="shared" si="220"/>
        <v/>
      </c>
      <c r="CO95" s="390">
        <f t="shared" si="219"/>
        <v>0.88063091604148547</v>
      </c>
      <c r="CP95" s="390">
        <f t="shared" si="219"/>
        <v>0.95698999584835087</v>
      </c>
      <c r="CQ95" s="390">
        <f t="shared" si="219"/>
        <v>0.93157412184583166</v>
      </c>
      <c r="CR95" s="390">
        <f t="shared" si="219"/>
        <v>0.95892376266974966</v>
      </c>
      <c r="CS95" s="391">
        <f t="shared" si="219"/>
        <v>0.93179233637053116</v>
      </c>
    </row>
    <row r="96" spans="1:131" s="317" customFormat="1" ht="15.75" customHeight="1">
      <c r="A96" s="135" t="s">
        <v>276</v>
      </c>
      <c r="B96" s="300">
        <v>64</v>
      </c>
      <c r="C96" s="392">
        <f>IF((C32-C28)=0,"",(C73)/(C32-C28))</f>
        <v>3.7205231992840253E-2</v>
      </c>
      <c r="D96" s="392">
        <f t="shared" ref="D96:U96" si="221">IF((D32-D28)=0,"",(D73)/(D32-D28))</f>
        <v>3.720523199284026E-2</v>
      </c>
      <c r="E96" s="392">
        <f t="shared" si="221"/>
        <v>4.0473652490409885E-2</v>
      </c>
      <c r="F96" s="392">
        <f t="shared" si="221"/>
        <v>4.0473652490409892E-2</v>
      </c>
      <c r="G96" s="392">
        <f t="shared" si="221"/>
        <v>3.8211887225006465E-2</v>
      </c>
      <c r="H96" s="392">
        <f t="shared" si="221"/>
        <v>3.8211887225006458E-2</v>
      </c>
      <c r="I96" s="392">
        <f t="shared" si="221"/>
        <v>3.7631832553010024E-2</v>
      </c>
      <c r="J96" s="392">
        <f t="shared" si="221"/>
        <v>3.7631832553010017E-2</v>
      </c>
      <c r="K96" s="388">
        <f t="shared" si="221"/>
        <v>3.83706354952374E-2</v>
      </c>
      <c r="L96" s="393" t="str">
        <f t="shared" si="221"/>
        <v/>
      </c>
      <c r="M96" s="392">
        <f t="shared" si="221"/>
        <v>2.8165834824912431E-2</v>
      </c>
      <c r="N96" s="392" t="str">
        <f t="shared" si="221"/>
        <v/>
      </c>
      <c r="O96" s="392">
        <f t="shared" si="221"/>
        <v>3.1599182769284015E-2</v>
      </c>
      <c r="P96" s="392" t="str">
        <f t="shared" si="221"/>
        <v/>
      </c>
      <c r="Q96" s="392">
        <f t="shared" si="221"/>
        <v>2.7508637657356855E-2</v>
      </c>
      <c r="R96" s="392" t="str">
        <f t="shared" si="221"/>
        <v/>
      </c>
      <c r="S96" s="392">
        <f t="shared" si="221"/>
        <v>2.7221007870582476E-2</v>
      </c>
      <c r="T96" s="390">
        <f t="shared" si="221"/>
        <v>2.8528476268927905E-2</v>
      </c>
      <c r="U96" s="394">
        <f t="shared" si="221"/>
        <v>3.1432940600924338E-2</v>
      </c>
      <c r="V96" s="300">
        <v>64</v>
      </c>
      <c r="W96" s="392">
        <f t="shared" ref="W96:AO96" si="222">IF((W32-W28)=0,"",(W73)/(W32-W28))</f>
        <v>3.720523199284026E-2</v>
      </c>
      <c r="X96" s="392">
        <f t="shared" si="222"/>
        <v>3.7205231992840253E-2</v>
      </c>
      <c r="Y96" s="392">
        <f t="shared" si="222"/>
        <v>4.0473652490409892E-2</v>
      </c>
      <c r="Z96" s="392">
        <f t="shared" si="222"/>
        <v>4.0473652490409885E-2</v>
      </c>
      <c r="AA96" s="392">
        <f t="shared" si="222"/>
        <v>3.8211887225006458E-2</v>
      </c>
      <c r="AB96" s="392">
        <f t="shared" si="222"/>
        <v>3.8211887225006451E-2</v>
      </c>
      <c r="AC96" s="392">
        <f t="shared" si="222"/>
        <v>3.7631832553010017E-2</v>
      </c>
      <c r="AD96" s="392">
        <f t="shared" si="222"/>
        <v>3.7631832553010017E-2</v>
      </c>
      <c r="AE96" s="388">
        <f t="shared" si="222"/>
        <v>3.8346924473364227E-2</v>
      </c>
      <c r="AF96" s="393" t="str">
        <f t="shared" si="222"/>
        <v/>
      </c>
      <c r="AG96" s="392">
        <f t="shared" si="222"/>
        <v>2.88071539852418E-2</v>
      </c>
      <c r="AH96" s="392" t="str">
        <f t="shared" si="222"/>
        <v/>
      </c>
      <c r="AI96" s="392">
        <f t="shared" si="222"/>
        <v>3.1494361059650658E-2</v>
      </c>
      <c r="AJ96" s="392" t="str">
        <f t="shared" si="222"/>
        <v/>
      </c>
      <c r="AK96" s="392">
        <f t="shared" si="222"/>
        <v>3.0359966073173355E-2</v>
      </c>
      <c r="AL96" s="392" t="str">
        <f t="shared" si="222"/>
        <v/>
      </c>
      <c r="AM96" s="392">
        <f t="shared" si="222"/>
        <v>2.9554719072330076E-2</v>
      </c>
      <c r="AN96" s="390">
        <f t="shared" si="222"/>
        <v>3.0014108541440255E-2</v>
      </c>
      <c r="AO96" s="394">
        <f t="shared" si="222"/>
        <v>3.3136165568994305E-2</v>
      </c>
      <c r="AP96" s="300">
        <v>64</v>
      </c>
      <c r="AQ96" s="392">
        <f t="shared" ref="AQ96:BI96" si="223">IF((AQ32-AQ28)=0,"",(AQ73)/(AQ32-AQ28))</f>
        <v>3.720523199284026E-2</v>
      </c>
      <c r="AR96" s="392">
        <f t="shared" si="223"/>
        <v>3.720523199284026E-2</v>
      </c>
      <c r="AS96" s="392">
        <f t="shared" si="223"/>
        <v>4.0473652490409885E-2</v>
      </c>
      <c r="AT96" s="392">
        <f t="shared" si="223"/>
        <v>4.0473652490409885E-2</v>
      </c>
      <c r="AU96" s="392">
        <f t="shared" si="223"/>
        <v>3.8211887225006465E-2</v>
      </c>
      <c r="AV96" s="392">
        <f t="shared" si="223"/>
        <v>3.8211887225006458E-2</v>
      </c>
      <c r="AW96" s="392">
        <f t="shared" si="223"/>
        <v>3.7631832553010017E-2</v>
      </c>
      <c r="AX96" s="392">
        <f t="shared" si="223"/>
        <v>3.7631832553010017E-2</v>
      </c>
      <c r="AY96" s="388">
        <f t="shared" si="223"/>
        <v>3.8372198918477686E-2</v>
      </c>
      <c r="AZ96" s="393" t="str">
        <f t="shared" si="223"/>
        <v/>
      </c>
      <c r="BA96" s="392">
        <f t="shared" si="223"/>
        <v>2.8199831634448187E-2</v>
      </c>
      <c r="BB96" s="392" t="str">
        <f t="shared" si="223"/>
        <v/>
      </c>
      <c r="BC96" s="392">
        <f t="shared" si="223"/>
        <v>2.9247610025462611E-2</v>
      </c>
      <c r="BD96" s="392" t="str">
        <f t="shared" si="223"/>
        <v/>
      </c>
      <c r="BE96" s="392">
        <f t="shared" si="223"/>
        <v>2.8369911775610109E-2</v>
      </c>
      <c r="BF96" s="392" t="str">
        <f t="shared" si="223"/>
        <v/>
      </c>
      <c r="BG96" s="392">
        <f t="shared" si="223"/>
        <v>2.8918068039083946E-2</v>
      </c>
      <c r="BH96" s="390">
        <f t="shared" si="223"/>
        <v>2.8659529458452102E-2</v>
      </c>
      <c r="BI96" s="394">
        <f t="shared" si="223"/>
        <v>3.3815095419443386E-2</v>
      </c>
      <c r="BJ96" s="300">
        <v>64</v>
      </c>
      <c r="BK96" s="392">
        <f t="shared" ref="BK96:CC96" si="224">IF((BK32-BK28)=0,"",(BK73)/(BK32-BK28))</f>
        <v>3.455026301589427E-2</v>
      </c>
      <c r="BL96" s="392">
        <f t="shared" si="224"/>
        <v>3.4550263015894277E-2</v>
      </c>
      <c r="BM96" s="392">
        <f t="shared" si="224"/>
        <v>3.7481776561985605E-2</v>
      </c>
      <c r="BN96" s="392">
        <f t="shared" si="224"/>
        <v>3.7481776561985605E-2</v>
      </c>
      <c r="BO96" s="392">
        <f t="shared" si="224"/>
        <v>3.532921428502786E-2</v>
      </c>
      <c r="BP96" s="392">
        <f t="shared" si="224"/>
        <v>3.5329214285027853E-2</v>
      </c>
      <c r="BQ96" s="392">
        <f t="shared" si="224"/>
        <v>2.8383789231660954E-2</v>
      </c>
      <c r="BR96" s="392">
        <f t="shared" si="224"/>
        <v>2.8383789231660961E-2</v>
      </c>
      <c r="BS96" s="388">
        <f t="shared" si="224"/>
        <v>3.348261015976594E-2</v>
      </c>
      <c r="BT96" s="393" t="str">
        <f t="shared" si="224"/>
        <v/>
      </c>
      <c r="BU96" s="392">
        <f t="shared" si="224"/>
        <v>2.2405615017557421E-2</v>
      </c>
      <c r="BV96" s="392" t="str">
        <f t="shared" si="224"/>
        <v/>
      </c>
      <c r="BW96" s="392">
        <f t="shared" si="224"/>
        <v>1.9458181186922094E-2</v>
      </c>
      <c r="BX96" s="392" t="str">
        <f t="shared" si="224"/>
        <v/>
      </c>
      <c r="BY96" s="392">
        <f t="shared" si="224"/>
        <v>2.3486825454543784E-2</v>
      </c>
      <c r="BZ96" s="392" t="str">
        <f t="shared" si="224"/>
        <v/>
      </c>
      <c r="CA96" s="392">
        <f t="shared" si="224"/>
        <v>2.8427997035619677E-2</v>
      </c>
      <c r="CB96" s="390">
        <f t="shared" si="224"/>
        <v>2.3241072296319575E-2</v>
      </c>
      <c r="CC96" s="394">
        <f t="shared" si="224"/>
        <v>3.0367118954732531E-2</v>
      </c>
      <c r="CD96" s="300">
        <v>64</v>
      </c>
      <c r="CE96" s="390">
        <f t="shared" ref="CE96:CS96" si="225">IF((CE32-CE28)=0,"",(CE73)/(CE32-CE28))</f>
        <v>3.6960798961971839E-2</v>
      </c>
      <c r="CF96" s="390">
        <f t="shared" si="225"/>
        <v>4.0208001660640771E-2</v>
      </c>
      <c r="CG96" s="390">
        <f t="shared" si="225"/>
        <v>3.7959490048559225E-2</v>
      </c>
      <c r="CH96" s="390">
        <f t="shared" si="225"/>
        <v>3.6621086963676969E-2</v>
      </c>
      <c r="CI96" s="391">
        <f t="shared" si="225"/>
        <v>3.790819628699614E-2</v>
      </c>
      <c r="CJ96" s="390">
        <f t="shared" si="225"/>
        <v>2.7992463444220125E-2</v>
      </c>
      <c r="CK96" s="390">
        <f t="shared" si="225"/>
        <v>2.9000414535148081E-2</v>
      </c>
      <c r="CL96" s="390">
        <f t="shared" si="225"/>
        <v>2.8158203418271962E-2</v>
      </c>
      <c r="CM96" s="390">
        <f t="shared" si="225"/>
        <v>2.8757917740330968E-2</v>
      </c>
      <c r="CN96" s="391" t="str">
        <f t="shared" si="225"/>
        <v/>
      </c>
      <c r="CO96" s="390">
        <f t="shared" si="225"/>
        <v>3.2381043935308808E-2</v>
      </c>
      <c r="CP96" s="390">
        <f t="shared" si="225"/>
        <v>3.4967362956491055E-2</v>
      </c>
      <c r="CQ96" s="390">
        <f t="shared" si="225"/>
        <v>3.3287535666114032E-2</v>
      </c>
      <c r="CR96" s="390">
        <f t="shared" si="225"/>
        <v>3.3041770476621546E-2</v>
      </c>
      <c r="CS96" s="391">
        <f t="shared" si="225"/>
        <v>3.3395217180003413E-2</v>
      </c>
    </row>
    <row r="97" spans="1:102" ht="15.75" customHeight="1">
      <c r="A97" s="135" t="s">
        <v>278</v>
      </c>
      <c r="B97" s="300">
        <v>65</v>
      </c>
      <c r="C97" s="392">
        <f t="shared" ref="C97:U97" si="226">IF((C32-C28)=0,"",C88/(C32-C28))</f>
        <v>8.4622837623392622E-2</v>
      </c>
      <c r="D97" s="392">
        <f t="shared" si="226"/>
        <v>8.4622837623392635E-2</v>
      </c>
      <c r="E97" s="392">
        <f t="shared" si="226"/>
        <v>9.3793432198616217E-2</v>
      </c>
      <c r="F97" s="392">
        <f t="shared" si="226"/>
        <v>9.3793432198616203E-2</v>
      </c>
      <c r="G97" s="392">
        <f t="shared" si="226"/>
        <v>9.6704546327566476E-2</v>
      </c>
      <c r="H97" s="392">
        <f t="shared" si="226"/>
        <v>9.6704546327566476E-2</v>
      </c>
      <c r="I97" s="392">
        <f t="shared" si="226"/>
        <v>9.667031723897733E-2</v>
      </c>
      <c r="J97" s="392">
        <f t="shared" si="226"/>
        <v>9.6670317238977316E-2</v>
      </c>
      <c r="K97" s="395">
        <f t="shared" si="226"/>
        <v>9.3161169585691997E-2</v>
      </c>
      <c r="L97" s="393" t="str">
        <f t="shared" si="226"/>
        <v/>
      </c>
      <c r="M97" s="392">
        <f t="shared" si="226"/>
        <v>6.6208768182637878E-2</v>
      </c>
      <c r="N97" s="392" t="str">
        <f t="shared" si="226"/>
        <v/>
      </c>
      <c r="O97" s="392">
        <f t="shared" si="226"/>
        <v>7.5286625687845166E-2</v>
      </c>
      <c r="P97" s="392" t="str">
        <f t="shared" si="226"/>
        <v/>
      </c>
      <c r="Q97" s="392">
        <f t="shared" si="226"/>
        <v>7.1623277617700543E-2</v>
      </c>
      <c r="R97" s="392" t="str">
        <f t="shared" si="226"/>
        <v/>
      </c>
      <c r="S97" s="392">
        <f t="shared" si="226"/>
        <v>7.183861965690172E-2</v>
      </c>
      <c r="T97" s="396">
        <f t="shared" si="226"/>
        <v>7.1087691939198672E-2</v>
      </c>
      <c r="U97" s="393">
        <f t="shared" si="226"/>
        <v>7.7601671954476287E-2</v>
      </c>
      <c r="V97" s="300">
        <v>65</v>
      </c>
      <c r="W97" s="392">
        <f t="shared" ref="W97:AO97" si="227">IF((W32-W28)=0,"",W88/(W32-W28))</f>
        <v>8.4622837623392635E-2</v>
      </c>
      <c r="X97" s="392">
        <f t="shared" si="227"/>
        <v>8.4622837623392635E-2</v>
      </c>
      <c r="Y97" s="392">
        <f t="shared" si="227"/>
        <v>9.3793432198616231E-2</v>
      </c>
      <c r="Z97" s="392">
        <f t="shared" si="227"/>
        <v>9.3793432198616217E-2</v>
      </c>
      <c r="AA97" s="392">
        <f t="shared" si="227"/>
        <v>9.6704546327566476E-2</v>
      </c>
      <c r="AB97" s="392">
        <f t="shared" si="227"/>
        <v>9.6704546327566462E-2</v>
      </c>
      <c r="AC97" s="392">
        <f t="shared" si="227"/>
        <v>9.6670317238977316E-2</v>
      </c>
      <c r="AD97" s="392">
        <f t="shared" si="227"/>
        <v>9.6670317238977302E-2</v>
      </c>
      <c r="AE97" s="395">
        <f t="shared" si="227"/>
        <v>9.2991600246487865E-2</v>
      </c>
      <c r="AF97" s="393" t="str">
        <f t="shared" si="227"/>
        <v/>
      </c>
      <c r="AG97" s="392">
        <f t="shared" si="227"/>
        <v>6.7716302110933685E-2</v>
      </c>
      <c r="AH97" s="392" t="str">
        <f t="shared" si="227"/>
        <v/>
      </c>
      <c r="AI97" s="392">
        <f t="shared" si="227"/>
        <v>7.5036882747505668E-2</v>
      </c>
      <c r="AJ97" s="392" t="str">
        <f t="shared" si="227"/>
        <v/>
      </c>
      <c r="AK97" s="392">
        <f t="shared" si="227"/>
        <v>7.9047181674637604E-2</v>
      </c>
      <c r="AL97" s="392" t="str">
        <f t="shared" si="227"/>
        <v/>
      </c>
      <c r="AM97" s="392">
        <f t="shared" si="227"/>
        <v>7.7997487550716046E-2</v>
      </c>
      <c r="AN97" s="396">
        <f t="shared" si="227"/>
        <v>7.4988843594504473E-2</v>
      </c>
      <c r="AO97" s="393">
        <f t="shared" si="227"/>
        <v>8.1733938335567927E-2</v>
      </c>
      <c r="AP97" s="300">
        <v>65</v>
      </c>
      <c r="AQ97" s="392">
        <f t="shared" ref="AQ97:BI97" si="228">IF((AQ32-AQ28)=0,"",AQ88/(AQ32-AQ28))</f>
        <v>8.4622837623392635E-2</v>
      </c>
      <c r="AR97" s="392">
        <f t="shared" si="228"/>
        <v>8.4622837623392635E-2</v>
      </c>
      <c r="AS97" s="392">
        <f t="shared" si="228"/>
        <v>9.3793432198616217E-2</v>
      </c>
      <c r="AT97" s="392">
        <f t="shared" si="228"/>
        <v>9.3793432198616217E-2</v>
      </c>
      <c r="AU97" s="392">
        <f t="shared" si="228"/>
        <v>9.670454632756649E-2</v>
      </c>
      <c r="AV97" s="392">
        <f t="shared" si="228"/>
        <v>9.6704546327566462E-2</v>
      </c>
      <c r="AW97" s="392">
        <f t="shared" si="228"/>
        <v>9.6670317238977316E-2</v>
      </c>
      <c r="AX97" s="392">
        <f t="shared" si="228"/>
        <v>9.6670317238977316E-2</v>
      </c>
      <c r="AY97" s="395">
        <f t="shared" si="228"/>
        <v>9.3138629438811696E-2</v>
      </c>
      <c r="AZ97" s="393" t="str">
        <f t="shared" si="228"/>
        <v/>
      </c>
      <c r="BA97" s="392">
        <f t="shared" si="228"/>
        <v>6.628868368649192E-2</v>
      </c>
      <c r="BB97" s="392" t="str">
        <f t="shared" si="228"/>
        <v/>
      </c>
      <c r="BC97" s="392">
        <f t="shared" si="228"/>
        <v>6.9683886584291047E-2</v>
      </c>
      <c r="BD97" s="392" t="str">
        <f t="shared" si="228"/>
        <v/>
      </c>
      <c r="BE97" s="392">
        <f t="shared" si="228"/>
        <v>7.3865746912071262E-2</v>
      </c>
      <c r="BF97" s="392" t="str">
        <f t="shared" si="228"/>
        <v/>
      </c>
      <c r="BG97" s="392">
        <f t="shared" si="228"/>
        <v>7.631730981266216E-2</v>
      </c>
      <c r="BH97" s="396">
        <f t="shared" si="228"/>
        <v>7.1438805664710239E-2</v>
      </c>
      <c r="BI97" s="393">
        <f t="shared" si="228"/>
        <v>8.295725311828725E-2</v>
      </c>
      <c r="BJ97" s="300">
        <v>65</v>
      </c>
      <c r="BK97" s="392">
        <f t="shared" ref="BK97:CC97" si="229">IF((BK32-BK28)=0,"",BK88/(BK32-BK28))</f>
        <v>7.8584143692536856E-2</v>
      </c>
      <c r="BL97" s="392">
        <f t="shared" si="229"/>
        <v>7.858414369253687E-2</v>
      </c>
      <c r="BM97" s="392">
        <f t="shared" si="229"/>
        <v>8.6860074451725777E-2</v>
      </c>
      <c r="BN97" s="392">
        <f t="shared" si="229"/>
        <v>8.6860074451725777E-2</v>
      </c>
      <c r="BO97" s="392">
        <f t="shared" si="229"/>
        <v>8.940923591199107E-2</v>
      </c>
      <c r="BP97" s="392">
        <f t="shared" si="229"/>
        <v>8.940923591199107E-2</v>
      </c>
      <c r="BQ97" s="392">
        <f t="shared" si="229"/>
        <v>7.2913534189539803E-2</v>
      </c>
      <c r="BR97" s="392">
        <f t="shared" si="229"/>
        <v>7.2913534189539816E-2</v>
      </c>
      <c r="BS97" s="395">
        <f t="shared" si="229"/>
        <v>8.1235655976099067E-2</v>
      </c>
      <c r="BT97" s="393" t="str">
        <f t="shared" si="229"/>
        <v/>
      </c>
      <c r="BU97" s="392">
        <f t="shared" si="229"/>
        <v>5.2668354405557775E-2</v>
      </c>
      <c r="BV97" s="392" t="str">
        <f t="shared" si="229"/>
        <v/>
      </c>
      <c r="BW97" s="392">
        <f t="shared" si="229"/>
        <v>4.6360085141507842E-2</v>
      </c>
      <c r="BX97" s="392" t="str">
        <f t="shared" si="229"/>
        <v/>
      </c>
      <c r="BY97" s="392">
        <f t="shared" si="229"/>
        <v>6.1151825868024402E-2</v>
      </c>
      <c r="BZ97" s="392" t="str">
        <f t="shared" si="229"/>
        <v/>
      </c>
      <c r="CA97" s="392">
        <f t="shared" si="229"/>
        <v>7.5023969588445372E-2</v>
      </c>
      <c r="CB97" s="396">
        <f t="shared" si="229"/>
        <v>5.8181312467581708E-2</v>
      </c>
      <c r="CC97" s="393">
        <f t="shared" si="229"/>
        <v>7.4222490043767603E-2</v>
      </c>
      <c r="CD97" s="300">
        <v>65</v>
      </c>
      <c r="CE97" s="396">
        <f t="shared" ref="CE97:CS97" si="230">IF((CE32-CE28)=0,"",CE88/(CE32-CE28))</f>
        <v>8.4066877733532192E-2</v>
      </c>
      <c r="CF97" s="396">
        <f t="shared" si="230"/>
        <v>9.3177814344597251E-2</v>
      </c>
      <c r="CG97" s="396">
        <f t="shared" si="230"/>
        <v>9.6065793410209502E-2</v>
      </c>
      <c r="CH97" s="396">
        <f t="shared" si="230"/>
        <v>9.4073869228344695E-2</v>
      </c>
      <c r="CI97" s="423">
        <f t="shared" si="230"/>
        <v>9.2008117215827565E-2</v>
      </c>
      <c r="CJ97" s="396">
        <f t="shared" si="230"/>
        <v>6.580122813899579E-2</v>
      </c>
      <c r="CK97" s="396">
        <f t="shared" si="230"/>
        <v>6.909493102531615E-2</v>
      </c>
      <c r="CL97" s="396">
        <f t="shared" si="230"/>
        <v>7.3314529267617598E-2</v>
      </c>
      <c r="CM97" s="396">
        <f t="shared" si="230"/>
        <v>7.5894659172584741E-2</v>
      </c>
      <c r="CN97" s="423" t="str">
        <f t="shared" si="230"/>
        <v/>
      </c>
      <c r="CO97" s="396">
        <f t="shared" si="230"/>
        <v>7.4739372046410596E-2</v>
      </c>
      <c r="CP97" s="396">
        <f t="shared" si="230"/>
        <v>8.191672049653155E-2</v>
      </c>
      <c r="CQ97" s="396">
        <f t="shared" si="230"/>
        <v>8.5221006166798868E-2</v>
      </c>
      <c r="CR97" s="396">
        <f t="shared" si="230"/>
        <v>8.5798688518633759E-2</v>
      </c>
      <c r="CS97" s="423">
        <f t="shared" si="230"/>
        <v>8.1952836698554202E-2</v>
      </c>
    </row>
    <row r="98" spans="1:102" s="317" customFormat="1" ht="15.75" customHeight="1">
      <c r="A98" s="316"/>
      <c r="AP98" s="424"/>
    </row>
    <row r="99" spans="1:102" s="317" customFormat="1" ht="15.75" customHeight="1">
      <c r="A99" s="316"/>
    </row>
    <row r="100" spans="1:102" s="317" customFormat="1" ht="15.75" customHeight="1">
      <c r="C100" s="319"/>
      <c r="D100" s="319"/>
      <c r="E100" s="319"/>
      <c r="F100" s="319"/>
      <c r="G100" s="319"/>
      <c r="H100" s="319"/>
      <c r="I100" s="319"/>
      <c r="J100" s="319"/>
      <c r="L100" s="319"/>
      <c r="M100" s="319"/>
      <c r="N100" s="319"/>
      <c r="O100" s="319"/>
      <c r="P100" s="319"/>
      <c r="Q100" s="319"/>
      <c r="R100" s="319"/>
      <c r="S100" s="319"/>
      <c r="W100" s="319"/>
      <c r="X100" s="319"/>
      <c r="Y100" s="319"/>
      <c r="Z100" s="319"/>
      <c r="AA100" s="319"/>
      <c r="AB100" s="319"/>
      <c r="AC100" s="319"/>
      <c r="AD100" s="319"/>
      <c r="AF100" s="319"/>
      <c r="AG100" s="319"/>
      <c r="AH100" s="319"/>
      <c r="AI100" s="319"/>
      <c r="AJ100" s="319"/>
      <c r="AK100" s="319"/>
      <c r="AL100" s="319"/>
      <c r="AM100" s="319"/>
      <c r="AQ100" s="319"/>
      <c r="AR100" s="319"/>
      <c r="AS100" s="319"/>
      <c r="AT100" s="319"/>
      <c r="AU100" s="319"/>
      <c r="AV100" s="319"/>
      <c r="AW100" s="319"/>
      <c r="AX100" s="319"/>
      <c r="AZ100" s="319"/>
      <c r="BA100" s="319"/>
      <c r="BB100" s="319"/>
      <c r="BC100" s="319"/>
      <c r="BD100" s="319"/>
      <c r="BE100" s="319"/>
      <c r="BF100" s="319"/>
      <c r="BG100" s="319"/>
      <c r="BK100" s="319"/>
      <c r="BL100" s="319"/>
      <c r="BM100" s="319"/>
      <c r="BN100" s="319"/>
      <c r="BO100" s="319"/>
      <c r="BP100" s="319"/>
      <c r="BQ100" s="319"/>
      <c r="BR100" s="319"/>
      <c r="BT100" s="319"/>
      <c r="BU100" s="319"/>
      <c r="BV100" s="319"/>
      <c r="BW100" s="319"/>
      <c r="BX100" s="319"/>
      <c r="BY100" s="319"/>
      <c r="BZ100" s="319"/>
      <c r="CA100" s="319"/>
      <c r="CT100" s="319"/>
      <c r="CU100" s="319"/>
      <c r="CV100" s="319"/>
      <c r="CW100" s="319"/>
      <c r="CX100" s="319"/>
    </row>
    <row r="101" spans="1:102" s="317" customFormat="1" ht="15.75" customHeight="1">
      <c r="C101" s="319"/>
      <c r="D101" s="319"/>
      <c r="F101" s="319"/>
      <c r="H101" s="319"/>
      <c r="J101" s="319"/>
      <c r="L101" s="319"/>
      <c r="M101" s="319"/>
      <c r="O101" s="319"/>
      <c r="Q101" s="319"/>
      <c r="S101" s="319"/>
      <c r="W101" s="319"/>
      <c r="X101" s="319"/>
      <c r="Z101" s="319"/>
      <c r="AB101" s="319"/>
      <c r="AD101" s="319"/>
      <c r="AF101" s="319"/>
      <c r="AG101" s="319"/>
      <c r="AI101" s="319"/>
      <c r="AK101" s="319"/>
      <c r="AM101" s="319"/>
      <c r="AQ101" s="319"/>
      <c r="AR101" s="319"/>
      <c r="AT101" s="319"/>
      <c r="AV101" s="319"/>
      <c r="AX101" s="319"/>
      <c r="AZ101" s="319"/>
      <c r="BA101" s="319"/>
      <c r="BC101" s="319"/>
      <c r="BE101" s="319"/>
      <c r="BG101" s="319"/>
      <c r="BK101" s="319"/>
      <c r="BL101" s="319"/>
      <c r="BN101" s="319"/>
      <c r="BP101" s="319"/>
      <c r="BR101" s="319"/>
      <c r="BT101" s="319"/>
      <c r="BU101" s="319"/>
      <c r="BW101" s="319"/>
      <c r="BY101" s="319"/>
      <c r="CA101" s="319"/>
      <c r="CT101" s="319"/>
      <c r="CV101" s="319"/>
      <c r="CX101" s="319"/>
    </row>
    <row r="102" spans="1:102" s="317" customFormat="1" ht="15.75" customHeight="1"/>
    <row r="103" spans="1:102" s="317" customFormat="1">
      <c r="C103" s="319"/>
      <c r="D103" s="319"/>
      <c r="E103" s="319"/>
      <c r="F103" s="319"/>
      <c r="G103" s="319"/>
      <c r="H103" s="319"/>
      <c r="I103" s="319"/>
      <c r="J103" s="319"/>
      <c r="L103" s="319"/>
      <c r="M103" s="319"/>
      <c r="N103" s="319"/>
      <c r="O103" s="319"/>
      <c r="P103" s="319"/>
      <c r="Q103" s="319"/>
      <c r="R103" s="319"/>
      <c r="S103" s="319"/>
      <c r="W103" s="319"/>
      <c r="X103" s="319"/>
      <c r="Y103" s="319"/>
      <c r="Z103" s="319"/>
      <c r="AA103" s="319"/>
      <c r="AB103" s="319"/>
      <c r="AC103" s="319"/>
      <c r="AD103" s="319"/>
      <c r="AF103" s="319"/>
      <c r="AG103" s="319"/>
      <c r="AH103" s="319"/>
      <c r="AI103" s="319"/>
      <c r="AJ103" s="319"/>
      <c r="AK103" s="319"/>
      <c r="AL103" s="319"/>
      <c r="AM103" s="319"/>
      <c r="AQ103" s="319"/>
      <c r="AR103" s="319"/>
      <c r="AS103" s="319"/>
      <c r="AT103" s="319"/>
      <c r="AU103" s="319"/>
      <c r="AV103" s="319"/>
      <c r="AW103" s="319"/>
      <c r="AX103" s="319"/>
      <c r="AZ103" s="319"/>
      <c r="BA103" s="319"/>
      <c r="BB103" s="319"/>
      <c r="BC103" s="319"/>
      <c r="BD103" s="319"/>
      <c r="BE103" s="319"/>
      <c r="BF103" s="319"/>
      <c r="BG103" s="319"/>
      <c r="BK103" s="319"/>
      <c r="BL103" s="319"/>
      <c r="BM103" s="319"/>
      <c r="BN103" s="319"/>
      <c r="BO103" s="319"/>
      <c r="BP103" s="319"/>
      <c r="BQ103" s="319"/>
      <c r="BR103" s="319"/>
      <c r="BT103" s="319"/>
      <c r="BU103" s="319"/>
      <c r="BV103" s="319"/>
      <c r="BW103" s="319"/>
      <c r="BX103" s="319"/>
      <c r="BY103" s="319"/>
      <c r="BZ103" s="319"/>
      <c r="CA103" s="319"/>
      <c r="CT103" s="319"/>
      <c r="CU103" s="319"/>
      <c r="CV103" s="319"/>
      <c r="CW103" s="319"/>
      <c r="CX103" s="319"/>
    </row>
    <row r="104" spans="1:102" s="317" customFormat="1">
      <c r="C104" s="319"/>
      <c r="D104" s="319"/>
      <c r="F104" s="319"/>
      <c r="H104" s="319"/>
      <c r="J104" s="319"/>
      <c r="L104" s="319"/>
      <c r="M104" s="319"/>
      <c r="O104" s="319"/>
      <c r="Q104" s="319"/>
      <c r="S104" s="319"/>
      <c r="W104" s="319"/>
      <c r="X104" s="319"/>
      <c r="Z104" s="319"/>
      <c r="AB104" s="319"/>
      <c r="AD104" s="319"/>
      <c r="AF104" s="319"/>
      <c r="AG104" s="319"/>
      <c r="AI104" s="319"/>
      <c r="AK104" s="319"/>
      <c r="AM104" s="319"/>
      <c r="AQ104" s="319"/>
      <c r="AR104" s="319"/>
      <c r="AT104" s="319"/>
      <c r="AV104" s="319"/>
      <c r="AX104" s="319"/>
      <c r="AZ104" s="319"/>
      <c r="BA104" s="319"/>
      <c r="BC104" s="319"/>
      <c r="BE104" s="319"/>
      <c r="BG104" s="319"/>
      <c r="BK104" s="319"/>
      <c r="BL104" s="319"/>
      <c r="BN104" s="319"/>
      <c r="BP104" s="319"/>
      <c r="BR104" s="319"/>
      <c r="BT104" s="319"/>
      <c r="BU104" s="319"/>
      <c r="BW104" s="319"/>
      <c r="BY104" s="319"/>
      <c r="CA104" s="319"/>
      <c r="CT104" s="319"/>
      <c r="CV104" s="319"/>
      <c r="CX104" s="319"/>
    </row>
    <row r="105" spans="1:102" s="317" customFormat="1"/>
    <row r="106" spans="1:102" s="317" customFormat="1">
      <c r="CT106" s="319"/>
      <c r="CV106" s="319"/>
      <c r="CX106" s="319"/>
    </row>
    <row r="107" spans="1:102" s="317" customFormat="1">
      <c r="CT107" s="319"/>
      <c r="CV107" s="319"/>
      <c r="CX107" s="319"/>
    </row>
    <row r="108" spans="1:102" s="317" customFormat="1">
      <c r="CT108" s="319"/>
      <c r="CV108" s="319"/>
      <c r="CX108" s="319"/>
    </row>
    <row r="109" spans="1:102" s="317" customFormat="1"/>
    <row r="110" spans="1:102" s="317" customFormat="1">
      <c r="CT110" s="319"/>
      <c r="CV110" s="319"/>
      <c r="CX110" s="319"/>
    </row>
    <row r="111" spans="1:102" s="317" customFormat="1"/>
    <row r="112" spans="1:102" s="317" customFormat="1"/>
    <row r="113" s="317" customFormat="1"/>
    <row r="114" s="317" customFormat="1"/>
    <row r="115" s="317" customFormat="1"/>
    <row r="116" s="317" customFormat="1"/>
    <row r="117" s="317" customFormat="1"/>
    <row r="118" s="317" customFormat="1"/>
    <row r="119" s="317" customFormat="1"/>
    <row r="120" s="317" customFormat="1"/>
    <row r="121" s="317" customFormat="1"/>
    <row r="122" s="317" customFormat="1"/>
    <row r="123" s="317" customFormat="1"/>
    <row r="124" s="317" customFormat="1"/>
    <row r="125" s="317" customFormat="1"/>
    <row r="126" s="317" customFormat="1"/>
    <row r="127" s="317" customFormat="1"/>
    <row r="128" s="317" customFormat="1"/>
    <row r="129" s="317" customFormat="1"/>
    <row r="130" s="317" customFormat="1"/>
    <row r="131" s="317" customFormat="1"/>
    <row r="132" s="317" customFormat="1"/>
    <row r="133" s="317" customFormat="1"/>
    <row r="134" s="317" customFormat="1"/>
    <row r="135" s="317" customFormat="1"/>
    <row r="136" s="317" customFormat="1"/>
    <row r="137" s="317" customFormat="1"/>
    <row r="138" s="317" customFormat="1"/>
    <row r="139" s="317" customFormat="1"/>
    <row r="140" s="317" customFormat="1"/>
    <row r="141" s="317" customFormat="1"/>
    <row r="142" s="317" customFormat="1"/>
    <row r="143" s="317" customFormat="1"/>
    <row r="144" s="317" customFormat="1"/>
    <row r="145" s="317" customFormat="1"/>
    <row r="146" s="317" customFormat="1"/>
    <row r="147" s="317" customFormat="1"/>
    <row r="148" s="317" customFormat="1"/>
    <row r="149" s="317" customFormat="1"/>
    <row r="150" s="317" customFormat="1"/>
    <row r="151" s="317" customFormat="1"/>
    <row r="152" s="317" customFormat="1"/>
    <row r="153" s="317" customFormat="1"/>
    <row r="154" s="317" customFormat="1"/>
    <row r="155" s="317" customFormat="1"/>
    <row r="156" s="317" customFormat="1"/>
    <row r="157" s="317" customFormat="1"/>
    <row r="158" s="317" customFormat="1"/>
    <row r="159" s="317" customFormat="1"/>
    <row r="160" s="317" customFormat="1"/>
    <row r="161" s="317" customFormat="1"/>
    <row r="162" s="317" customFormat="1"/>
    <row r="163" s="317" customFormat="1"/>
    <row r="164" s="317" customFormat="1"/>
    <row r="165" s="317" customFormat="1"/>
    <row r="166" s="317" customFormat="1"/>
    <row r="167" s="317" customFormat="1"/>
    <row r="168" s="317" customFormat="1"/>
    <row r="169" s="317" customFormat="1"/>
    <row r="170" s="317" customFormat="1"/>
    <row r="171" s="317" customFormat="1"/>
    <row r="172" s="317" customFormat="1"/>
    <row r="173" s="317" customFormat="1"/>
    <row r="174" s="317" customFormat="1"/>
    <row r="175" s="317" customFormat="1"/>
    <row r="176" s="317" customFormat="1"/>
    <row r="177" s="317" customFormat="1"/>
    <row r="178" s="317" customFormat="1"/>
    <row r="179" s="317" customFormat="1"/>
    <row r="180" s="317" customFormat="1"/>
    <row r="181" s="317" customFormat="1"/>
    <row r="182" s="317" customFormat="1"/>
    <row r="183" s="317" customFormat="1"/>
    <row r="184" s="317" customFormat="1"/>
    <row r="185" s="317" customFormat="1"/>
    <row r="186" s="317" customFormat="1"/>
    <row r="187" s="317" customFormat="1"/>
    <row r="188" s="317" customFormat="1"/>
    <row r="189" s="317" customFormat="1"/>
    <row r="190" s="317" customFormat="1"/>
    <row r="191" s="317" customFormat="1"/>
    <row r="192" s="317" customFormat="1"/>
    <row r="193" s="317" customFormat="1"/>
    <row r="194" s="317" customFormat="1"/>
    <row r="195" s="317" customFormat="1"/>
    <row r="196" s="317" customFormat="1"/>
    <row r="197" s="317" customFormat="1"/>
    <row r="198" s="317" customFormat="1"/>
    <row r="199" s="317" customFormat="1"/>
    <row r="200" s="317" customFormat="1"/>
    <row r="201" s="317" customFormat="1"/>
    <row r="202" s="317" customFormat="1"/>
    <row r="203" s="317" customFormat="1"/>
    <row r="204" s="317" customFormat="1"/>
    <row r="205" s="317" customFormat="1"/>
    <row r="206" s="317" customFormat="1"/>
    <row r="207" s="317" customFormat="1"/>
    <row r="208" s="317" customFormat="1"/>
    <row r="209" s="317" customFormat="1"/>
    <row r="210" s="317" customFormat="1"/>
    <row r="211" s="317" customFormat="1"/>
    <row r="212" s="317" customFormat="1"/>
    <row r="213" s="317" customFormat="1"/>
    <row r="214" s="317" customFormat="1"/>
    <row r="215" s="317" customFormat="1"/>
    <row r="216" s="317" customFormat="1"/>
    <row r="217" s="317" customFormat="1"/>
    <row r="218" s="317" customFormat="1"/>
    <row r="219" s="317" customFormat="1"/>
    <row r="220" s="317" customFormat="1"/>
    <row r="221" s="317" customFormat="1"/>
    <row r="222" s="317" customFormat="1"/>
    <row r="223" s="317" customFormat="1"/>
    <row r="224" s="317" customFormat="1"/>
    <row r="225" s="317" customFormat="1"/>
    <row r="226" s="317" customFormat="1"/>
    <row r="227" s="317" customFormat="1"/>
    <row r="228" s="317" customFormat="1"/>
    <row r="229" s="317" customFormat="1"/>
    <row r="230" s="317" customFormat="1"/>
    <row r="231" s="317" customFormat="1"/>
    <row r="232" s="317" customFormat="1"/>
    <row r="233" s="317" customFormat="1"/>
    <row r="234" s="317" customFormat="1"/>
    <row r="235" s="317" customFormat="1"/>
    <row r="236" s="317" customFormat="1"/>
    <row r="237" s="317" customFormat="1"/>
    <row r="238" s="317" customFormat="1"/>
    <row r="239" s="317" customFormat="1"/>
    <row r="240" s="317" customFormat="1"/>
    <row r="241" s="317" customFormat="1"/>
    <row r="242" s="317" customFormat="1"/>
    <row r="243" s="317" customFormat="1"/>
    <row r="244" s="317" customFormat="1"/>
    <row r="245" s="317" customFormat="1"/>
    <row r="246" s="317" customFormat="1"/>
    <row r="247" s="317" customFormat="1"/>
    <row r="248" s="317" customFormat="1"/>
    <row r="249" s="317" customFormat="1"/>
    <row r="250" s="317" customFormat="1"/>
    <row r="251" s="317" customFormat="1"/>
    <row r="252" s="317" customFormat="1"/>
    <row r="253" s="317" customFormat="1"/>
    <row r="254" s="317" customFormat="1"/>
    <row r="255" s="317" customFormat="1"/>
    <row r="256" s="317" customFormat="1"/>
    <row r="257" s="317" customFormat="1"/>
    <row r="258" s="317" customFormat="1"/>
    <row r="259" s="317" customFormat="1"/>
    <row r="260" s="317" customFormat="1"/>
    <row r="261" s="317" customFormat="1"/>
    <row r="262" s="317" customFormat="1"/>
    <row r="263" s="317" customFormat="1"/>
    <row r="264" s="317" customFormat="1"/>
    <row r="265" s="317" customFormat="1"/>
    <row r="266" s="317" customFormat="1"/>
    <row r="267" s="317" customFormat="1"/>
    <row r="268" s="317" customFormat="1"/>
    <row r="269" s="317" customFormat="1"/>
    <row r="270" s="317" customFormat="1"/>
    <row r="271" s="317" customFormat="1"/>
    <row r="272" s="317" customFormat="1"/>
    <row r="273" s="317" customFormat="1"/>
    <row r="274" s="317" customFormat="1"/>
    <row r="275" s="317" customFormat="1"/>
    <row r="276" s="317" customFormat="1"/>
    <row r="277" s="317" customFormat="1"/>
    <row r="278" s="317" customFormat="1"/>
    <row r="279" s="317" customFormat="1"/>
    <row r="280" s="317" customFormat="1"/>
    <row r="281" s="317" customFormat="1"/>
    <row r="282" s="317" customFormat="1"/>
    <row r="283" s="317" customFormat="1"/>
    <row r="284" s="317" customFormat="1"/>
    <row r="285" s="317" customFormat="1"/>
    <row r="286" s="317" customFormat="1"/>
    <row r="287" s="317" customFormat="1"/>
    <row r="288" s="317" customFormat="1"/>
    <row r="289" s="317" customFormat="1"/>
    <row r="290" s="317" customFormat="1"/>
    <row r="291" s="317" customFormat="1"/>
    <row r="292" s="317" customFormat="1"/>
    <row r="293" s="317" customFormat="1"/>
    <row r="294" s="317" customFormat="1"/>
    <row r="295" s="317" customFormat="1"/>
    <row r="296" s="317" customFormat="1"/>
    <row r="297" s="317" customFormat="1"/>
    <row r="298" s="317" customFormat="1"/>
    <row r="299" s="317" customFormat="1"/>
    <row r="300" s="317" customFormat="1"/>
    <row r="301" s="317" customFormat="1"/>
    <row r="302" s="317" customFormat="1"/>
    <row r="303" s="317" customFormat="1"/>
    <row r="304" s="317" customFormat="1"/>
    <row r="305" s="317" customFormat="1"/>
    <row r="306" s="317" customFormat="1"/>
    <row r="307" s="317" customFormat="1"/>
    <row r="308" s="317" customFormat="1"/>
    <row r="309" s="317" customFormat="1"/>
    <row r="310" s="317" customFormat="1"/>
    <row r="311" s="317" customFormat="1"/>
    <row r="312" s="317" customFormat="1"/>
    <row r="313" s="317" customFormat="1"/>
    <row r="314" s="317" customFormat="1"/>
    <row r="315" s="317" customFormat="1"/>
    <row r="316" s="317" customFormat="1"/>
    <row r="317" s="317" customFormat="1"/>
    <row r="318" s="317" customFormat="1"/>
    <row r="319" s="317" customFormat="1"/>
    <row r="320" s="317" customFormat="1"/>
    <row r="321" s="317" customFormat="1"/>
    <row r="322" s="317" customFormat="1"/>
    <row r="323" s="317" customFormat="1"/>
    <row r="324" s="317" customFormat="1"/>
    <row r="325" s="317" customFormat="1"/>
    <row r="326" s="317" customFormat="1"/>
    <row r="327" s="317" customFormat="1"/>
    <row r="328" s="317" customFormat="1"/>
    <row r="329" s="317" customFormat="1"/>
    <row r="330" s="317" customFormat="1"/>
    <row r="331" s="317" customFormat="1"/>
    <row r="332" s="317" customFormat="1"/>
    <row r="333" s="317" customFormat="1"/>
    <row r="334" s="317" customFormat="1"/>
    <row r="335" s="317" customFormat="1"/>
    <row r="336" s="317" customFormat="1"/>
    <row r="337" s="317" customFormat="1"/>
    <row r="338" s="317" customFormat="1"/>
    <row r="339" s="317" customFormat="1"/>
    <row r="340" s="317" customFormat="1"/>
    <row r="341" s="317" customFormat="1"/>
    <row r="342" s="317" customFormat="1"/>
  </sheetData>
  <sheetProtection formatColumns="0"/>
  <mergeCells count="13">
    <mergeCell ref="G1:I1"/>
    <mergeCell ref="B10:B13"/>
    <mergeCell ref="V10:V13"/>
    <mergeCell ref="AP10:AP13"/>
    <mergeCell ref="BJ10:BJ13"/>
    <mergeCell ref="CI10:CI13"/>
    <mergeCell ref="CN10:CN13"/>
    <mergeCell ref="CS10:CS13"/>
    <mergeCell ref="U11:U13"/>
    <mergeCell ref="AO11:AO13"/>
    <mergeCell ref="BI11:BI13"/>
    <mergeCell ref="CC11:CC13"/>
    <mergeCell ref="CD10:CD13"/>
  </mergeCells>
  <pageMargins left="0.25" right="0.25" top="0.5" bottom="0.75" header="0.3" footer="0.3"/>
  <pageSetup paperSize="9" scale="5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56"/>
  </sheetPr>
  <dimension ref="A1:D31"/>
  <sheetViews>
    <sheetView topLeftCell="A14" zoomScale="70" zoomScaleNormal="70" workbookViewId="0">
      <selection activeCell="I18" sqref="I18"/>
    </sheetView>
  </sheetViews>
  <sheetFormatPr defaultColWidth="9.28515625" defaultRowHeight="13.15"/>
  <cols>
    <col min="1" max="1" width="25" style="536" bestFit="1" customWidth="1"/>
    <col min="2" max="2" width="65.5703125" style="536" bestFit="1" customWidth="1"/>
    <col min="3" max="3" width="28.28515625" style="536" customWidth="1"/>
    <col min="4" max="4" width="73" style="536" customWidth="1"/>
    <col min="5" max="16384" width="9.28515625" style="536"/>
  </cols>
  <sheetData>
    <row r="1" spans="1:4" ht="15.6">
      <c r="A1" s="533" t="s">
        <v>280</v>
      </c>
      <c r="B1" s="534"/>
      <c r="C1" s="535"/>
      <c r="D1" s="535"/>
    </row>
    <row r="2" spans="1:4">
      <c r="A2" s="230" t="s">
        <v>1303</v>
      </c>
      <c r="B2" s="397" t="str">
        <f>'Schedule 2_Balance Sheet'!C2</f>
        <v>Tufts Associated Health Plans, Inc. (TAHMO)</v>
      </c>
      <c r="C2" s="399"/>
      <c r="D2" s="535"/>
    </row>
    <row r="3" spans="1:4">
      <c r="A3" s="230" t="s">
        <v>1285</v>
      </c>
      <c r="B3" s="520" t="str">
        <f>'Schedule 2_Balance Sheet'!C3</f>
        <v>01/01/2024 - 12/31/2024</v>
      </c>
      <c r="C3" s="522"/>
      <c r="D3" s="535"/>
    </row>
    <row r="4" spans="1:4">
      <c r="A4" s="230" t="s">
        <v>1306</v>
      </c>
      <c r="B4" s="401">
        <f>'Schedule 2_Balance Sheet'!C4</f>
        <v>45657</v>
      </c>
      <c r="C4" s="399"/>
      <c r="D4" s="535"/>
    </row>
    <row r="5" spans="1:4">
      <c r="A5" s="230" t="s">
        <v>1307</v>
      </c>
      <c r="B5" s="397" t="str">
        <f>'Schedule 2_Balance Sheet'!C5</f>
        <v>Roshni Parikh</v>
      </c>
      <c r="C5" s="399"/>
      <c r="D5" s="535"/>
    </row>
    <row r="6" spans="1:4">
      <c r="A6" s="230" t="s">
        <v>1288</v>
      </c>
      <c r="B6" s="401">
        <f>'Schedule 2_Balance Sheet'!C6</f>
        <v>45657</v>
      </c>
      <c r="C6" s="399"/>
      <c r="D6" s="535"/>
    </row>
    <row r="7" spans="1:4" ht="15.6">
      <c r="A7" s="533"/>
      <c r="B7" s="537"/>
      <c r="C7" s="537"/>
      <c r="D7" s="535"/>
    </row>
    <row r="8" spans="1:4" ht="38.1" customHeight="1">
      <c r="A8" s="621" t="s">
        <v>1326</v>
      </c>
      <c r="B8" s="621" t="s">
        <v>1343</v>
      </c>
      <c r="C8" s="622" t="s">
        <v>1344</v>
      </c>
      <c r="D8" s="621" t="s">
        <v>1345</v>
      </c>
    </row>
    <row r="9" spans="1:4" ht="72.75" customHeight="1">
      <c r="A9" s="538">
        <v>1</v>
      </c>
      <c r="B9" s="539" t="s">
        <v>283</v>
      </c>
      <c r="C9" s="320"/>
      <c r="D9" s="692" t="s">
        <v>1346</v>
      </c>
    </row>
    <row r="10" spans="1:4" ht="60.75" customHeight="1">
      <c r="A10" s="538">
        <v>2</v>
      </c>
      <c r="B10" s="539" t="s">
        <v>286</v>
      </c>
      <c r="C10" s="320"/>
      <c r="D10" s="692" t="s">
        <v>1347</v>
      </c>
    </row>
    <row r="11" spans="1:4" ht="60.75" customHeight="1">
      <c r="A11" s="538">
        <v>3</v>
      </c>
      <c r="B11" s="540" t="s">
        <v>289</v>
      </c>
      <c r="C11" s="320"/>
      <c r="D11" s="692" t="s">
        <v>1347</v>
      </c>
    </row>
    <row r="12" spans="1:4" ht="60.75" customHeight="1">
      <c r="A12" s="538">
        <v>4</v>
      </c>
      <c r="B12" s="539" t="s">
        <v>292</v>
      </c>
      <c r="C12" s="320"/>
      <c r="D12" s="320" t="s">
        <v>597</v>
      </c>
    </row>
    <row r="13" spans="1:4" ht="60.75" customHeight="1">
      <c r="A13" s="538">
        <v>5</v>
      </c>
      <c r="B13" s="539" t="s">
        <v>295</v>
      </c>
      <c r="C13" s="320"/>
      <c r="D13" s="692" t="s">
        <v>1348</v>
      </c>
    </row>
    <row r="14" spans="1:4" ht="66">
      <c r="A14" s="538">
        <v>6</v>
      </c>
      <c r="B14" s="540" t="s">
        <v>1349</v>
      </c>
      <c r="C14" s="320"/>
      <c r="D14" s="320" t="s">
        <v>597</v>
      </c>
    </row>
    <row r="15" spans="1:4" ht="60.75" customHeight="1">
      <c r="A15" s="538">
        <v>7</v>
      </c>
      <c r="B15" s="539" t="s">
        <v>301</v>
      </c>
      <c r="C15" s="320"/>
      <c r="D15" s="320" t="s">
        <v>1350</v>
      </c>
    </row>
    <row r="16" spans="1:4" ht="60.75" customHeight="1">
      <c r="A16" s="538">
        <v>8</v>
      </c>
      <c r="B16" s="539" t="s">
        <v>304</v>
      </c>
      <c r="C16" s="320"/>
      <c r="D16" s="320" t="s">
        <v>597</v>
      </c>
    </row>
    <row r="17" spans="1:4" ht="60.75" customHeight="1">
      <c r="A17" s="538">
        <v>9</v>
      </c>
      <c r="B17" s="539" t="s">
        <v>307</v>
      </c>
      <c r="C17" s="320"/>
      <c r="D17" s="692" t="s">
        <v>1351</v>
      </c>
    </row>
    <row r="18" spans="1:4" ht="95.25" customHeight="1">
      <c r="A18" s="538">
        <v>10</v>
      </c>
      <c r="B18" s="539" t="s">
        <v>310</v>
      </c>
      <c r="C18" s="320"/>
      <c r="D18" s="692" t="s">
        <v>1352</v>
      </c>
    </row>
    <row r="19" spans="1:4" ht="60.75" customHeight="1">
      <c r="A19" s="538">
        <v>11</v>
      </c>
      <c r="B19" s="539" t="s">
        <v>313</v>
      </c>
      <c r="C19" s="320"/>
      <c r="D19" s="320" t="s">
        <v>597</v>
      </c>
    </row>
    <row r="20" spans="1:4" ht="60.75" customHeight="1">
      <c r="A20" s="538">
        <v>12</v>
      </c>
      <c r="B20" s="539" t="s">
        <v>316</v>
      </c>
      <c r="C20" s="320"/>
      <c r="D20" s="320" t="s">
        <v>597</v>
      </c>
    </row>
    <row r="21" spans="1:4" ht="60.75" customHeight="1">
      <c r="A21" s="538">
        <v>13</v>
      </c>
      <c r="B21" s="539" t="s">
        <v>319</v>
      </c>
      <c r="C21" s="320"/>
      <c r="D21" s="320" t="s">
        <v>597</v>
      </c>
    </row>
    <row r="22" spans="1:4" ht="60.75" customHeight="1">
      <c r="A22" s="538">
        <v>14</v>
      </c>
      <c r="B22" s="539" t="s">
        <v>322</v>
      </c>
      <c r="C22" s="320"/>
      <c r="D22" s="320" t="s">
        <v>597</v>
      </c>
    </row>
    <row r="23" spans="1:4" ht="60.75" customHeight="1">
      <c r="A23" s="538">
        <v>15</v>
      </c>
      <c r="B23" s="539" t="s">
        <v>325</v>
      </c>
      <c r="C23" s="320"/>
      <c r="D23" s="320" t="s">
        <v>1353</v>
      </c>
    </row>
    <row r="24" spans="1:4" ht="60.75" customHeight="1">
      <c r="A24" s="538">
        <v>16</v>
      </c>
      <c r="B24" s="539" t="s">
        <v>328</v>
      </c>
      <c r="C24" s="320"/>
      <c r="D24" s="320" t="s">
        <v>597</v>
      </c>
    </row>
    <row r="25" spans="1:4" ht="60.75" customHeight="1">
      <c r="A25" s="538">
        <v>17</v>
      </c>
      <c r="B25" s="539" t="s">
        <v>331</v>
      </c>
      <c r="C25" s="320"/>
      <c r="D25" s="320" t="s">
        <v>597</v>
      </c>
    </row>
    <row r="26" spans="1:4" ht="60.75" customHeight="1">
      <c r="A26" s="538">
        <v>18</v>
      </c>
      <c r="B26" s="539" t="s">
        <v>334</v>
      </c>
      <c r="C26" s="320"/>
      <c r="D26" s="692" t="s">
        <v>1354</v>
      </c>
    </row>
    <row r="27" spans="1:4">
      <c r="A27" s="541"/>
      <c r="B27" s="541"/>
      <c r="C27" s="541"/>
      <c r="D27" s="542"/>
    </row>
    <row r="28" spans="1:4">
      <c r="A28" s="541"/>
      <c r="B28" s="541"/>
      <c r="C28" s="541"/>
      <c r="D28" s="542"/>
    </row>
    <row r="29" spans="1:4">
      <c r="A29" s="541"/>
      <c r="B29" s="541"/>
      <c r="C29" s="541"/>
      <c r="D29" s="542"/>
    </row>
    <row r="30" spans="1:4">
      <c r="A30" s="543"/>
      <c r="B30" s="541"/>
      <c r="C30" s="542"/>
      <c r="D30" s="542"/>
    </row>
    <row r="31" spans="1:4">
      <c r="A31" s="544"/>
      <c r="B31" s="544"/>
      <c r="C31" s="541"/>
      <c r="D31" s="542"/>
    </row>
  </sheetData>
  <sheetProtection formatColumns="0" formatRows="0"/>
  <pageMargins left="0.75" right="0.75" top="1" bottom="1" header="0.5" footer="0.5"/>
  <pageSetup scale="52" orientation="portrait" r:id="rId1"/>
  <headerFooter alignWithMargins="0">
    <oddFooter>&amp;CPage &amp;P of &amp;N&amp;R&amp;D</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190"/>
  <sheetViews>
    <sheetView zoomScale="90" zoomScaleNormal="90" workbookViewId="0">
      <selection activeCell="I37" sqref="I37"/>
    </sheetView>
  </sheetViews>
  <sheetFormatPr defaultColWidth="9.28515625" defaultRowHeight="13.15"/>
  <cols>
    <col min="1" max="1" width="53" style="185" customWidth="1"/>
    <col min="2" max="5" width="14.5703125" style="185" customWidth="1"/>
    <col min="6" max="6" width="5.28515625" style="321" customWidth="1"/>
    <col min="7" max="7" width="9.28515625" style="321"/>
    <col min="8" max="8" width="15.7109375" style="698" bestFit="1" customWidth="1"/>
    <col min="9" max="9" width="13.85546875" style="698" bestFit="1" customWidth="1"/>
    <col min="10" max="23" width="9.28515625" style="321"/>
    <col min="24" max="16384" width="9.28515625" style="185"/>
  </cols>
  <sheetData>
    <row r="1" spans="1:23" s="179" customFormat="1" ht="21" customHeight="1">
      <c r="A1" s="17" t="s">
        <v>1355</v>
      </c>
      <c r="D1" s="759"/>
      <c r="E1" s="759"/>
      <c r="F1" s="710"/>
      <c r="G1" s="180"/>
      <c r="H1" s="699"/>
      <c r="I1" s="699"/>
      <c r="J1" s="180"/>
      <c r="K1" s="180"/>
      <c r="L1" s="180"/>
      <c r="M1" s="180"/>
      <c r="N1" s="180"/>
      <c r="O1" s="180"/>
      <c r="P1" s="180"/>
      <c r="Q1" s="180"/>
      <c r="R1" s="180"/>
      <c r="S1" s="180"/>
      <c r="T1" s="180"/>
      <c r="U1" s="180"/>
      <c r="V1" s="180"/>
      <c r="W1" s="180"/>
    </row>
    <row r="2" spans="1:23" s="179" customFormat="1" ht="21" customHeight="1">
      <c r="A2" s="15" t="s">
        <v>1303</v>
      </c>
      <c r="B2" s="397" t="str">
        <f>'Schedule 2_Balance Sheet'!C2</f>
        <v>Tufts Associated Health Plans, Inc. (TAHMO)</v>
      </c>
      <c r="C2" s="398"/>
      <c r="D2" s="398"/>
      <c r="E2" s="398"/>
      <c r="F2" s="399"/>
      <c r="G2" s="180"/>
      <c r="H2" s="699"/>
      <c r="I2" s="699"/>
      <c r="J2" s="180"/>
      <c r="K2" s="180"/>
      <c r="L2" s="180"/>
      <c r="M2" s="180"/>
      <c r="N2" s="180"/>
      <c r="O2" s="180"/>
      <c r="P2" s="180"/>
      <c r="Q2" s="180"/>
      <c r="R2" s="180"/>
      <c r="S2" s="180"/>
      <c r="T2" s="180"/>
      <c r="U2" s="180"/>
      <c r="V2" s="180"/>
      <c r="W2" s="180"/>
    </row>
    <row r="3" spans="1:23" s="179" customFormat="1" ht="21" customHeight="1">
      <c r="A3" s="15" t="s">
        <v>1285</v>
      </c>
      <c r="B3" s="520" t="str">
        <f>'Schedule 2_Balance Sheet'!C3</f>
        <v>01/01/2024 - 12/31/2024</v>
      </c>
      <c r="C3" s="521"/>
      <c r="D3" s="521"/>
      <c r="E3" s="521"/>
      <c r="F3" s="522"/>
      <c r="G3" s="180"/>
      <c r="H3" s="699"/>
      <c r="I3" s="699"/>
      <c r="J3" s="180"/>
      <c r="K3" s="180"/>
      <c r="L3" s="180"/>
      <c r="M3" s="180"/>
      <c r="N3" s="180"/>
      <c r="O3" s="180"/>
      <c r="P3" s="180"/>
      <c r="Q3" s="180"/>
      <c r="R3" s="180"/>
      <c r="S3" s="180"/>
      <c r="T3" s="180"/>
      <c r="U3" s="180"/>
      <c r="V3" s="180"/>
      <c r="W3" s="180"/>
    </row>
    <row r="4" spans="1:23" s="179" customFormat="1" ht="21" customHeight="1">
      <c r="A4" s="15" t="s">
        <v>1306</v>
      </c>
      <c r="B4" s="401">
        <f>'Schedule 2_Balance Sheet'!C4</f>
        <v>45657</v>
      </c>
      <c r="C4" s="398"/>
      <c r="D4" s="398"/>
      <c r="E4" s="398"/>
      <c r="F4" s="399"/>
      <c r="G4" s="180"/>
      <c r="H4" s="699"/>
      <c r="I4" s="699"/>
      <c r="J4" s="180"/>
      <c r="K4" s="180"/>
      <c r="L4" s="180"/>
      <c r="M4" s="180"/>
      <c r="N4" s="180"/>
      <c r="O4" s="180"/>
      <c r="P4" s="180"/>
      <c r="Q4" s="180"/>
      <c r="R4" s="180"/>
      <c r="S4" s="180"/>
      <c r="T4" s="180"/>
      <c r="U4" s="180"/>
      <c r="V4" s="180"/>
      <c r="W4" s="180"/>
    </row>
    <row r="5" spans="1:23" s="179" customFormat="1" ht="21" customHeight="1">
      <c r="A5" s="15" t="s">
        <v>1307</v>
      </c>
      <c r="B5" s="397" t="str">
        <f>'Schedule 2_Balance Sheet'!C5</f>
        <v>Roshni Parikh</v>
      </c>
      <c r="C5" s="398"/>
      <c r="D5" s="398"/>
      <c r="E5" s="398"/>
      <c r="F5" s="399"/>
      <c r="G5" s="180"/>
      <c r="H5" s="699"/>
      <c r="I5" s="699"/>
      <c r="J5" s="180"/>
      <c r="K5" s="180"/>
      <c r="L5" s="180"/>
      <c r="M5" s="180"/>
      <c r="N5" s="180"/>
      <c r="O5" s="180"/>
      <c r="P5" s="180"/>
      <c r="Q5" s="180"/>
      <c r="R5" s="180"/>
      <c r="S5" s="180"/>
      <c r="T5" s="180"/>
      <c r="U5" s="180"/>
      <c r="V5" s="180"/>
      <c r="W5" s="180"/>
    </row>
    <row r="6" spans="1:23" s="179" customFormat="1" ht="21" customHeight="1">
      <c r="A6" s="15" t="s">
        <v>1288</v>
      </c>
      <c r="B6" s="401">
        <f>'Schedule 2_Balance Sheet'!C6</f>
        <v>45657</v>
      </c>
      <c r="C6" s="398"/>
      <c r="D6" s="398"/>
      <c r="E6" s="398"/>
      <c r="F6" s="399"/>
      <c r="G6" s="180"/>
      <c r="H6" s="699"/>
      <c r="I6" s="699"/>
      <c r="J6" s="180"/>
      <c r="K6" s="180"/>
      <c r="L6" s="180"/>
      <c r="M6" s="180"/>
      <c r="N6" s="180"/>
      <c r="O6" s="180"/>
      <c r="P6" s="180"/>
      <c r="Q6" s="180"/>
      <c r="R6" s="180"/>
      <c r="S6" s="180"/>
      <c r="T6" s="180"/>
      <c r="U6" s="180"/>
      <c r="V6" s="180"/>
      <c r="W6" s="180"/>
    </row>
    <row r="7" spans="1:23">
      <c r="A7" s="230" t="s">
        <v>1309</v>
      </c>
      <c r="B7" s="136"/>
      <c r="C7" s="136"/>
      <c r="D7" s="136"/>
      <c r="E7" s="136"/>
    </row>
    <row r="8" spans="1:23">
      <c r="A8" s="26"/>
      <c r="B8" s="74"/>
      <c r="C8" s="74"/>
      <c r="D8" s="74"/>
      <c r="E8" s="74"/>
    </row>
    <row r="9" spans="1:23">
      <c r="A9" s="136"/>
      <c r="B9" s="75" t="s">
        <v>1291</v>
      </c>
      <c r="C9" s="75" t="s">
        <v>1298</v>
      </c>
      <c r="D9" s="75" t="s">
        <v>1299</v>
      </c>
      <c r="E9" s="75" t="s">
        <v>1300</v>
      </c>
    </row>
    <row r="10" spans="1:23">
      <c r="A10" s="135" t="s">
        <v>1356</v>
      </c>
      <c r="B10" s="320">
        <f>'Schedule 3A_Income Statement'!CO92</f>
        <v>9085615.9703456163</v>
      </c>
      <c r="C10" s="320">
        <f>'Schedule 3A_Income Statement'!CP92</f>
        <v>-4337545.4123331606</v>
      </c>
      <c r="D10" s="320">
        <f>'Schedule 3A_Income Statement'!CQ92</f>
        <v>-1889817.4163889885</v>
      </c>
      <c r="E10" s="320">
        <f>'Schedule 3A_Income Statement'!CR92</f>
        <v>-5086079.1373834908</v>
      </c>
    </row>
    <row r="11" spans="1:23">
      <c r="A11" s="135" t="s">
        <v>1357</v>
      </c>
      <c r="B11" s="320"/>
      <c r="C11" s="320"/>
      <c r="D11" s="320"/>
      <c r="E11" s="320"/>
    </row>
    <row r="12" spans="1:23">
      <c r="A12" s="136"/>
      <c r="B12" s="187" t="s">
        <v>1315</v>
      </c>
      <c r="C12" s="187" t="s">
        <v>1315</v>
      </c>
      <c r="D12" s="187" t="s">
        <v>1315</v>
      </c>
      <c r="E12" s="187" t="s">
        <v>1315</v>
      </c>
    </row>
    <row r="13" spans="1:23">
      <c r="A13" s="135" t="s">
        <v>1358</v>
      </c>
      <c r="B13" s="186">
        <f>+B10+B11</f>
        <v>9085615.9703456163</v>
      </c>
      <c r="C13" s="186">
        <f>+C10+C11</f>
        <v>-4337545.4123331606</v>
      </c>
      <c r="D13" s="186">
        <f>+D10+D11</f>
        <v>-1889817.4163889885</v>
      </c>
      <c r="E13" s="186">
        <f>+E10+E11</f>
        <v>-5086079.1373834908</v>
      </c>
    </row>
    <row r="14" spans="1:23">
      <c r="A14" s="136"/>
      <c r="B14" s="183" t="s">
        <v>1315</v>
      </c>
      <c r="C14" s="183" t="s">
        <v>1315</v>
      </c>
      <c r="D14" s="183" t="s">
        <v>1315</v>
      </c>
      <c r="E14" s="183" t="s">
        <v>1315</v>
      </c>
    </row>
    <row r="15" spans="1:23">
      <c r="A15" s="135" t="s">
        <v>1359</v>
      </c>
      <c r="B15" s="187"/>
      <c r="C15" s="187"/>
      <c r="D15" s="187"/>
      <c r="E15" s="187"/>
    </row>
    <row r="16" spans="1:23">
      <c r="A16" s="188" t="s">
        <v>1360</v>
      </c>
      <c r="B16" s="320"/>
      <c r="C16" s="320"/>
      <c r="D16" s="320"/>
      <c r="E16" s="320"/>
    </row>
    <row r="17" spans="1:5">
      <c r="A17" s="188" t="s">
        <v>1361</v>
      </c>
      <c r="B17" s="320">
        <f>-'Schedule 2_Balance Sheet'!C13+16840726</f>
        <v>-960007.21000000089</v>
      </c>
      <c r="C17" s="320">
        <f>-'Schedule 2_Balance Sheet'!D13+'Schedule 2_Balance Sheet'!C13</f>
        <v>11167246</v>
      </c>
      <c r="D17" s="320">
        <f>-'Schedule 2_Balance Sheet'!E13+'Schedule 2_Balance Sheet'!D13</f>
        <v>-123162.65999999922</v>
      </c>
      <c r="E17" s="320">
        <f>-'Schedule 2_Balance Sheet'!F13+'Schedule 2_Balance Sheet'!E13</f>
        <v>-4806043.6499999994</v>
      </c>
    </row>
    <row r="18" spans="1:5">
      <c r="A18" s="188" t="s">
        <v>69</v>
      </c>
      <c r="B18" s="320">
        <f>-'Schedule 2_Balance Sheet'!C16</f>
        <v>0</v>
      </c>
      <c r="C18" s="320">
        <f>-'Schedule 2_Balance Sheet'!D16</f>
        <v>0</v>
      </c>
      <c r="D18" s="320">
        <f>-'Schedule 2_Balance Sheet'!E16</f>
        <v>0</v>
      </c>
      <c r="E18" s="320">
        <f>-'Schedule 2_Balance Sheet'!F16</f>
        <v>0</v>
      </c>
    </row>
    <row r="19" spans="1:5">
      <c r="A19" s="188" t="s">
        <v>1316</v>
      </c>
      <c r="B19" s="320">
        <f>-'Schedule 2_Balance Sheet'!C17-'Schedule 2_Balance Sheet'!C18-'Schedule 2_Balance Sheet'!C19-'Schedule 2_Balance Sheet'!C20+8202775+965528</f>
        <v>-18534524.25</v>
      </c>
      <c r="C19" s="320">
        <f>-SUM('Schedule 2_Balance Sheet'!D17:D20)+SUM('Schedule 2_Balance Sheet'!C17:C20)</f>
        <v>12395665.32</v>
      </c>
      <c r="D19" s="320">
        <f>-SUM('Schedule 2_Balance Sheet'!E17:E20)+SUM('Schedule 2_Balance Sheet'!D17:D20)+3000000</f>
        <v>-1716584.1120133325</v>
      </c>
      <c r="E19" s="320">
        <f>-SUM('Schedule 2_Balance Sheet'!F17:F20)+SUM('Schedule 2_Balance Sheet'!E17:E20)+3500000</f>
        <v>6795717.9220133331</v>
      </c>
    </row>
    <row r="20" spans="1:5">
      <c r="A20" s="188" t="s">
        <v>111</v>
      </c>
      <c r="B20" s="320"/>
      <c r="C20" s="320"/>
      <c r="D20" s="320"/>
      <c r="E20" s="320"/>
    </row>
    <row r="21" spans="1:5">
      <c r="A21" s="188" t="s">
        <v>1362</v>
      </c>
      <c r="B21" s="320">
        <f>'Schedule 2_Balance Sheet'!C67-54904631-B22-7691052-4618492-294828-936019</f>
        <v>-6996660.4599999925</v>
      </c>
      <c r="C21" s="320">
        <f>'Schedule 2_Balance Sheet'!D67-'Schedule 2_Balance Sheet'!C67-C22+11795785-6442966-55065-986383</f>
        <v>15991913.769999988</v>
      </c>
      <c r="D21" s="320">
        <f>'Schedule 2_Balance Sheet'!E67-'Schedule 2_Balance Sheet'!D67-D22+11795785-9765217-2675907-762463</f>
        <v>-8667417.4099999964</v>
      </c>
      <c r="E21" s="320">
        <f>'Schedule 2_Balance Sheet'!F67-'Schedule 2_Balance Sheet'!E67-E22+8822364-4329740</f>
        <v>-50321190.030000001</v>
      </c>
    </row>
    <row r="22" spans="1:5">
      <c r="A22" s="188" t="s">
        <v>125</v>
      </c>
      <c r="B22" s="320">
        <f>'Schedule 2_Balance Sheet'!C60-875875</f>
        <v>0.2099999999627471</v>
      </c>
      <c r="C22" s="320">
        <f>'Schedule 2_Balance Sheet'!D60-'Schedule 2_Balance Sheet'!C60</f>
        <v>0</v>
      </c>
      <c r="D22" s="320">
        <f>'Schedule 2_Balance Sheet'!E60-'Schedule 2_Balance Sheet'!D60</f>
        <v>288666.79000000004</v>
      </c>
      <c r="E22" s="320">
        <f>'Schedule 2_Balance Sheet'!F60-'Schedule 2_Balance Sheet'!E60</f>
        <v>-163196.56999999995</v>
      </c>
    </row>
    <row r="23" spans="1:5">
      <c r="A23" s="188" t="s">
        <v>1363</v>
      </c>
      <c r="B23" s="320">
        <f>'Schedule 2_Balance Sheet'!C70-292207</f>
        <v>-158989.78999999166</v>
      </c>
      <c r="C23" s="320">
        <f>'Schedule 2_Balance Sheet'!D70-'Schedule 2_Balance Sheet'!C70</f>
        <v>4749.0099999904633</v>
      </c>
      <c r="D23" s="320">
        <f>'Schedule 2_Balance Sheet'!E70-'Schedule 2_Balance Sheet'!D70</f>
        <v>31981.17999997735</v>
      </c>
      <c r="E23" s="320">
        <f>'Schedule 2_Balance Sheet'!F70-'Schedule 2_Balance Sheet'!E70</f>
        <v>-13066.379999995232</v>
      </c>
    </row>
    <row r="24" spans="1:5">
      <c r="A24" s="136"/>
      <c r="B24" s="187" t="s">
        <v>1315</v>
      </c>
      <c r="C24" s="187" t="s">
        <v>1315</v>
      </c>
      <c r="D24" s="187" t="s">
        <v>1315</v>
      </c>
      <c r="E24" s="187" t="s">
        <v>1315</v>
      </c>
    </row>
    <row r="25" spans="1:5">
      <c r="A25" s="135" t="s">
        <v>1364</v>
      </c>
      <c r="B25" s="186">
        <f>SUM(B16:B23)</f>
        <v>-26650181.499999985</v>
      </c>
      <c r="C25" s="186">
        <f>SUM(C16:C23)</f>
        <v>39559574.099999979</v>
      </c>
      <c r="D25" s="186">
        <f>SUM(D16:D23)</f>
        <v>-10186516.212013353</v>
      </c>
      <c r="E25" s="186">
        <f>SUM(E16:E23)</f>
        <v>-48507778.70798666</v>
      </c>
    </row>
    <row r="26" spans="1:5">
      <c r="A26" s="136"/>
      <c r="B26" s="187" t="s">
        <v>1315</v>
      </c>
      <c r="C26" s="187" t="s">
        <v>1315</v>
      </c>
      <c r="D26" s="187" t="s">
        <v>1315</v>
      </c>
      <c r="E26" s="187" t="s">
        <v>1315</v>
      </c>
    </row>
    <row r="27" spans="1:5">
      <c r="A27" s="135" t="s">
        <v>1365</v>
      </c>
      <c r="B27" s="186">
        <f>+B25+B13</f>
        <v>-17564565.529654369</v>
      </c>
      <c r="C27" s="186">
        <f>+C25+C13</f>
        <v>35222028.687666818</v>
      </c>
      <c r="D27" s="186">
        <f>+D25+D13</f>
        <v>-12076333.628402341</v>
      </c>
      <c r="E27" s="186">
        <f>+E25+E13</f>
        <v>-53593857.845370151</v>
      </c>
    </row>
    <row r="28" spans="1:5">
      <c r="A28" s="136"/>
      <c r="B28" s="187" t="s">
        <v>1315</v>
      </c>
      <c r="C28" s="187" t="s">
        <v>1315</v>
      </c>
      <c r="D28" s="187" t="s">
        <v>1315</v>
      </c>
      <c r="E28" s="187" t="s">
        <v>1315</v>
      </c>
    </row>
    <row r="29" spans="1:5">
      <c r="A29" s="135" t="s">
        <v>1366</v>
      </c>
      <c r="B29" s="320"/>
      <c r="C29" s="320"/>
      <c r="D29" s="320"/>
      <c r="E29" s="320"/>
    </row>
    <row r="30" spans="1:5">
      <c r="A30" s="135" t="s">
        <v>1367</v>
      </c>
      <c r="B30" s="320"/>
      <c r="C30" s="320"/>
      <c r="D30" s="320"/>
      <c r="E30" s="320"/>
    </row>
    <row r="31" spans="1:5">
      <c r="A31" s="135" t="s">
        <v>1368</v>
      </c>
      <c r="B31" s="320"/>
      <c r="C31" s="320"/>
      <c r="D31" s="320"/>
      <c r="E31" s="320"/>
    </row>
    <row r="32" spans="1:5">
      <c r="A32" s="135" t="s">
        <v>1369</v>
      </c>
      <c r="B32" s="320"/>
      <c r="C32" s="320"/>
      <c r="D32" s="320"/>
      <c r="E32" s="320"/>
    </row>
    <row r="33" spans="1:9">
      <c r="A33" s="136"/>
      <c r="B33" s="187" t="s">
        <v>1315</v>
      </c>
      <c r="C33" s="187" t="s">
        <v>1315</v>
      </c>
      <c r="D33" s="187" t="s">
        <v>1315</v>
      </c>
      <c r="E33" s="187" t="s">
        <v>1315</v>
      </c>
    </row>
    <row r="34" spans="1:9">
      <c r="A34" s="136"/>
      <c r="B34" s="178"/>
      <c r="C34" s="178"/>
      <c r="D34" s="178"/>
      <c r="E34" s="178"/>
    </row>
    <row r="35" spans="1:9">
      <c r="A35" s="136"/>
      <c r="B35" s="187" t="s">
        <v>1315</v>
      </c>
      <c r="C35" s="187" t="s">
        <v>1315</v>
      </c>
      <c r="D35" s="187" t="s">
        <v>1315</v>
      </c>
      <c r="E35" s="187" t="s">
        <v>1315</v>
      </c>
    </row>
    <row r="36" spans="1:9">
      <c r="A36" s="135" t="s">
        <v>1370</v>
      </c>
      <c r="B36" s="186">
        <f>SUM(B27:B35)</f>
        <v>-17564565.529654369</v>
      </c>
      <c r="C36" s="186">
        <f>SUM(C27:C35)</f>
        <v>35222028.687666818</v>
      </c>
      <c r="D36" s="186">
        <f>SUM(D27:D35)</f>
        <v>-12076333.628402341</v>
      </c>
      <c r="E36" s="186">
        <f>SUM(E27:E35)</f>
        <v>-53593857.845370151</v>
      </c>
    </row>
    <row r="37" spans="1:9">
      <c r="A37" s="136"/>
      <c r="B37" s="184"/>
      <c r="C37" s="184"/>
      <c r="D37" s="184"/>
      <c r="E37" s="184"/>
    </row>
    <row r="38" spans="1:9">
      <c r="A38" s="136"/>
      <c r="B38" s="184"/>
      <c r="C38" s="184"/>
      <c r="D38" s="184"/>
      <c r="E38" s="184"/>
    </row>
    <row r="39" spans="1:9">
      <c r="A39" s="135" t="s">
        <v>1371</v>
      </c>
      <c r="B39" s="320">
        <v>108398390.94</v>
      </c>
      <c r="C39" s="186">
        <f>+B40</f>
        <v>90833825.410345629</v>
      </c>
      <c r="D39" s="186">
        <f>+C40</f>
        <v>126055854.09801245</v>
      </c>
      <c r="E39" s="186">
        <f>+D40</f>
        <v>113979520.46961011</v>
      </c>
    </row>
    <row r="40" spans="1:9">
      <c r="A40" s="135" t="s">
        <v>1372</v>
      </c>
      <c r="B40" s="186">
        <f>+B39+B36</f>
        <v>90833825.410345629</v>
      </c>
      <c r="C40" s="186">
        <f>+C39+C36</f>
        <v>126055854.09801245</v>
      </c>
      <c r="D40" s="186">
        <f>+D39+D36</f>
        <v>113979520.46961011</v>
      </c>
      <c r="E40" s="186">
        <f>+E39+E36</f>
        <v>60385662.624239959</v>
      </c>
    </row>
    <row r="41" spans="1:9" s="321" customFormat="1">
      <c r="A41" s="322"/>
      <c r="B41" s="323"/>
      <c r="C41" s="323"/>
      <c r="D41" s="323"/>
      <c r="E41" s="323"/>
      <c r="H41" s="698"/>
      <c r="I41" s="698"/>
    </row>
    <row r="42" spans="1:9" s="321" customFormat="1">
      <c r="A42" s="322"/>
      <c r="B42" s="324"/>
      <c r="C42" s="695"/>
      <c r="D42" s="695"/>
      <c r="E42" s="695"/>
      <c r="H42" s="698"/>
      <c r="I42" s="698"/>
    </row>
    <row r="43" spans="1:9" s="321" customFormat="1">
      <c r="B43" s="324"/>
      <c r="C43" s="324"/>
      <c r="D43" s="324"/>
      <c r="E43" s="324"/>
      <c r="H43" s="698"/>
      <c r="I43" s="698"/>
    </row>
    <row r="44" spans="1:9" s="321" customFormat="1">
      <c r="H44" s="698"/>
      <c r="I44" s="698"/>
    </row>
    <row r="45" spans="1:9" s="321" customFormat="1">
      <c r="B45" s="324"/>
      <c r="C45" s="324"/>
      <c r="D45" s="324"/>
      <c r="E45" s="325"/>
      <c r="H45" s="698"/>
      <c r="I45" s="698"/>
    </row>
    <row r="46" spans="1:9" s="321" customFormat="1">
      <c r="H46" s="698"/>
      <c r="I46" s="698"/>
    </row>
    <row r="47" spans="1:9" s="321" customFormat="1">
      <c r="B47" s="325"/>
      <c r="D47" s="325"/>
      <c r="E47" s="325"/>
      <c r="H47" s="698"/>
      <c r="I47" s="698"/>
    </row>
    <row r="48" spans="1:9" s="321" customFormat="1">
      <c r="C48" s="325"/>
      <c r="H48" s="698"/>
      <c r="I48" s="698"/>
    </row>
    <row r="49" spans="4:9" s="321" customFormat="1">
      <c r="H49" s="698"/>
      <c r="I49" s="698"/>
    </row>
    <row r="50" spans="4:9" s="321" customFormat="1">
      <c r="H50" s="698"/>
      <c r="I50" s="698"/>
    </row>
    <row r="51" spans="4:9" s="321" customFormat="1">
      <c r="D51" s="326"/>
      <c r="H51" s="698"/>
      <c r="I51" s="698"/>
    </row>
    <row r="52" spans="4:9" s="321" customFormat="1">
      <c r="H52" s="698"/>
      <c r="I52" s="698"/>
    </row>
    <row r="53" spans="4:9" s="321" customFormat="1">
      <c r="H53" s="698"/>
      <c r="I53" s="698"/>
    </row>
    <row r="54" spans="4:9" s="321" customFormat="1">
      <c r="H54" s="698"/>
      <c r="I54" s="698"/>
    </row>
    <row r="55" spans="4:9" s="321" customFormat="1">
      <c r="H55" s="698"/>
      <c r="I55" s="698"/>
    </row>
    <row r="56" spans="4:9" s="321" customFormat="1">
      <c r="H56" s="698"/>
      <c r="I56" s="698"/>
    </row>
    <row r="57" spans="4:9" s="321" customFormat="1">
      <c r="H57" s="698"/>
      <c r="I57" s="698"/>
    </row>
    <row r="58" spans="4:9" s="321" customFormat="1">
      <c r="H58" s="698"/>
      <c r="I58" s="698"/>
    </row>
    <row r="59" spans="4:9" s="321" customFormat="1">
      <c r="H59" s="698"/>
      <c r="I59" s="698"/>
    </row>
    <row r="60" spans="4:9" s="321" customFormat="1">
      <c r="H60" s="698"/>
      <c r="I60" s="698"/>
    </row>
    <row r="61" spans="4:9" s="321" customFormat="1">
      <c r="H61" s="698"/>
      <c r="I61" s="698"/>
    </row>
    <row r="62" spans="4:9" s="321" customFormat="1">
      <c r="H62" s="698"/>
      <c r="I62" s="698"/>
    </row>
    <row r="63" spans="4:9" s="321" customFormat="1">
      <c r="H63" s="698"/>
      <c r="I63" s="698"/>
    </row>
    <row r="64" spans="4:9" s="321" customFormat="1">
      <c r="H64" s="698"/>
      <c r="I64" s="698"/>
    </row>
    <row r="65" spans="8:9" s="321" customFormat="1">
      <c r="H65" s="698"/>
      <c r="I65" s="698"/>
    </row>
    <row r="66" spans="8:9" s="321" customFormat="1">
      <c r="H66" s="698"/>
      <c r="I66" s="698"/>
    </row>
    <row r="67" spans="8:9" s="321" customFormat="1">
      <c r="H67" s="698"/>
      <c r="I67" s="698"/>
    </row>
    <row r="68" spans="8:9" s="321" customFormat="1">
      <c r="H68" s="698"/>
      <c r="I68" s="698"/>
    </row>
    <row r="69" spans="8:9" s="321" customFormat="1">
      <c r="H69" s="698"/>
      <c r="I69" s="698"/>
    </row>
    <row r="70" spans="8:9" s="321" customFormat="1">
      <c r="H70" s="698"/>
      <c r="I70" s="698"/>
    </row>
    <row r="71" spans="8:9" s="321" customFormat="1">
      <c r="H71" s="698"/>
      <c r="I71" s="698"/>
    </row>
    <row r="72" spans="8:9" s="321" customFormat="1">
      <c r="H72" s="698"/>
      <c r="I72" s="698"/>
    </row>
    <row r="73" spans="8:9" s="321" customFormat="1">
      <c r="H73" s="698"/>
      <c r="I73" s="698"/>
    </row>
    <row r="74" spans="8:9" s="321" customFormat="1">
      <c r="H74" s="698"/>
      <c r="I74" s="698"/>
    </row>
    <row r="75" spans="8:9" s="321" customFormat="1">
      <c r="H75" s="698"/>
      <c r="I75" s="698"/>
    </row>
    <row r="76" spans="8:9" s="321" customFormat="1">
      <c r="H76" s="698"/>
      <c r="I76" s="698"/>
    </row>
    <row r="77" spans="8:9" s="321" customFormat="1">
      <c r="H77" s="698"/>
      <c r="I77" s="698"/>
    </row>
    <row r="78" spans="8:9" s="321" customFormat="1">
      <c r="H78" s="698"/>
      <c r="I78" s="698"/>
    </row>
    <row r="79" spans="8:9" s="321" customFormat="1">
      <c r="H79" s="698"/>
      <c r="I79" s="698"/>
    </row>
    <row r="80" spans="8:9" s="321" customFormat="1">
      <c r="H80" s="698"/>
      <c r="I80" s="698"/>
    </row>
    <row r="81" spans="8:9" s="321" customFormat="1">
      <c r="H81" s="698"/>
      <c r="I81" s="698"/>
    </row>
    <row r="82" spans="8:9" s="321" customFormat="1">
      <c r="H82" s="698"/>
      <c r="I82" s="698"/>
    </row>
    <row r="83" spans="8:9" s="321" customFormat="1">
      <c r="H83" s="698"/>
      <c r="I83" s="698"/>
    </row>
    <row r="84" spans="8:9" s="321" customFormat="1">
      <c r="H84" s="698"/>
      <c r="I84" s="698"/>
    </row>
    <row r="85" spans="8:9" s="321" customFormat="1">
      <c r="H85" s="698"/>
      <c r="I85" s="698"/>
    </row>
    <row r="86" spans="8:9" s="321" customFormat="1">
      <c r="H86" s="698"/>
      <c r="I86" s="698"/>
    </row>
    <row r="87" spans="8:9" s="321" customFormat="1">
      <c r="H87" s="698"/>
      <c r="I87" s="698"/>
    </row>
    <row r="88" spans="8:9" s="321" customFormat="1">
      <c r="H88" s="698"/>
      <c r="I88" s="698"/>
    </row>
    <row r="89" spans="8:9" s="321" customFormat="1">
      <c r="H89" s="698"/>
      <c r="I89" s="698"/>
    </row>
    <row r="90" spans="8:9" s="321" customFormat="1">
      <c r="H90" s="698"/>
      <c r="I90" s="698"/>
    </row>
    <row r="91" spans="8:9" s="321" customFormat="1">
      <c r="H91" s="698"/>
      <c r="I91" s="698"/>
    </row>
    <row r="92" spans="8:9" s="321" customFormat="1">
      <c r="H92" s="698"/>
      <c r="I92" s="698"/>
    </row>
    <row r="93" spans="8:9" s="321" customFormat="1">
      <c r="H93" s="698"/>
      <c r="I93" s="698"/>
    </row>
    <row r="94" spans="8:9" s="321" customFormat="1">
      <c r="H94" s="698"/>
      <c r="I94" s="698"/>
    </row>
    <row r="95" spans="8:9" s="321" customFormat="1">
      <c r="H95" s="698"/>
      <c r="I95" s="698"/>
    </row>
    <row r="96" spans="8:9" s="321" customFormat="1">
      <c r="H96" s="698"/>
      <c r="I96" s="698"/>
    </row>
    <row r="97" spans="8:9" s="321" customFormat="1">
      <c r="H97" s="698"/>
      <c r="I97" s="698"/>
    </row>
    <row r="98" spans="8:9" s="321" customFormat="1">
      <c r="H98" s="698"/>
      <c r="I98" s="698"/>
    </row>
    <row r="99" spans="8:9" s="321" customFormat="1">
      <c r="H99" s="698"/>
      <c r="I99" s="698"/>
    </row>
    <row r="100" spans="8:9" s="321" customFormat="1">
      <c r="H100" s="698"/>
      <c r="I100" s="698"/>
    </row>
    <row r="101" spans="8:9" s="321" customFormat="1">
      <c r="H101" s="698"/>
      <c r="I101" s="698"/>
    </row>
    <row r="102" spans="8:9" s="321" customFormat="1">
      <c r="H102" s="698"/>
      <c r="I102" s="698"/>
    </row>
    <row r="103" spans="8:9" s="321" customFormat="1">
      <c r="H103" s="698"/>
      <c r="I103" s="698"/>
    </row>
    <row r="104" spans="8:9" s="321" customFormat="1">
      <c r="H104" s="698"/>
      <c r="I104" s="698"/>
    </row>
    <row r="105" spans="8:9" s="321" customFormat="1">
      <c r="H105" s="698"/>
      <c r="I105" s="698"/>
    </row>
    <row r="106" spans="8:9" s="321" customFormat="1">
      <c r="H106" s="698"/>
      <c r="I106" s="698"/>
    </row>
    <row r="107" spans="8:9" s="321" customFormat="1">
      <c r="H107" s="698"/>
      <c r="I107" s="698"/>
    </row>
    <row r="108" spans="8:9" s="321" customFormat="1">
      <c r="H108" s="698"/>
      <c r="I108" s="698"/>
    </row>
    <row r="109" spans="8:9" s="321" customFormat="1">
      <c r="H109" s="698"/>
      <c r="I109" s="698"/>
    </row>
    <row r="110" spans="8:9" s="321" customFormat="1">
      <c r="H110" s="698"/>
      <c r="I110" s="698"/>
    </row>
    <row r="111" spans="8:9" s="321" customFormat="1">
      <c r="H111" s="698"/>
      <c r="I111" s="698"/>
    </row>
    <row r="112" spans="8:9" s="321" customFormat="1">
      <c r="H112" s="698"/>
      <c r="I112" s="698"/>
    </row>
    <row r="113" spans="8:9" s="321" customFormat="1">
      <c r="H113" s="698"/>
      <c r="I113" s="698"/>
    </row>
    <row r="114" spans="8:9" s="321" customFormat="1">
      <c r="H114" s="698"/>
      <c r="I114" s="698"/>
    </row>
    <row r="115" spans="8:9" s="321" customFormat="1">
      <c r="H115" s="698"/>
      <c r="I115" s="698"/>
    </row>
    <row r="116" spans="8:9" s="321" customFormat="1">
      <c r="H116" s="698"/>
      <c r="I116" s="698"/>
    </row>
    <row r="117" spans="8:9" s="321" customFormat="1">
      <c r="H117" s="698"/>
      <c r="I117" s="698"/>
    </row>
    <row r="118" spans="8:9" s="321" customFormat="1">
      <c r="H118" s="698"/>
      <c r="I118" s="698"/>
    </row>
    <row r="119" spans="8:9" s="321" customFormat="1">
      <c r="H119" s="698"/>
      <c r="I119" s="698"/>
    </row>
    <row r="120" spans="8:9" s="321" customFormat="1">
      <c r="H120" s="698"/>
      <c r="I120" s="698"/>
    </row>
    <row r="121" spans="8:9" s="321" customFormat="1">
      <c r="H121" s="698"/>
      <c r="I121" s="698"/>
    </row>
    <row r="122" spans="8:9" s="321" customFormat="1">
      <c r="H122" s="698"/>
      <c r="I122" s="698"/>
    </row>
    <row r="123" spans="8:9" s="321" customFormat="1">
      <c r="H123" s="698"/>
      <c r="I123" s="698"/>
    </row>
    <row r="124" spans="8:9" s="321" customFormat="1">
      <c r="H124" s="698"/>
      <c r="I124" s="698"/>
    </row>
    <row r="125" spans="8:9" s="321" customFormat="1">
      <c r="H125" s="698"/>
      <c r="I125" s="698"/>
    </row>
    <row r="126" spans="8:9" s="321" customFormat="1">
      <c r="H126" s="698"/>
      <c r="I126" s="698"/>
    </row>
    <row r="127" spans="8:9" s="321" customFormat="1">
      <c r="H127" s="698"/>
      <c r="I127" s="698"/>
    </row>
    <row r="128" spans="8:9" s="321" customFormat="1">
      <c r="H128" s="698"/>
      <c r="I128" s="698"/>
    </row>
    <row r="129" spans="8:9" s="321" customFormat="1">
      <c r="H129" s="698"/>
      <c r="I129" s="698"/>
    </row>
    <row r="130" spans="8:9" s="321" customFormat="1">
      <c r="H130" s="698"/>
      <c r="I130" s="698"/>
    </row>
    <row r="131" spans="8:9" s="321" customFormat="1">
      <c r="H131" s="698"/>
      <c r="I131" s="698"/>
    </row>
    <row r="132" spans="8:9" s="321" customFormat="1">
      <c r="H132" s="698"/>
      <c r="I132" s="698"/>
    </row>
    <row r="133" spans="8:9" s="321" customFormat="1">
      <c r="H133" s="698"/>
      <c r="I133" s="698"/>
    </row>
    <row r="134" spans="8:9" s="321" customFormat="1">
      <c r="H134" s="698"/>
      <c r="I134" s="698"/>
    </row>
    <row r="135" spans="8:9" s="321" customFormat="1">
      <c r="H135" s="698"/>
      <c r="I135" s="698"/>
    </row>
    <row r="136" spans="8:9" s="321" customFormat="1">
      <c r="H136" s="698"/>
      <c r="I136" s="698"/>
    </row>
    <row r="137" spans="8:9" s="321" customFormat="1">
      <c r="H137" s="698"/>
      <c r="I137" s="698"/>
    </row>
    <row r="138" spans="8:9" s="321" customFormat="1">
      <c r="H138" s="698"/>
      <c r="I138" s="698"/>
    </row>
    <row r="139" spans="8:9" s="321" customFormat="1">
      <c r="H139" s="698"/>
      <c r="I139" s="698"/>
    </row>
    <row r="140" spans="8:9" s="321" customFormat="1">
      <c r="H140" s="698"/>
      <c r="I140" s="698"/>
    </row>
    <row r="141" spans="8:9" s="321" customFormat="1">
      <c r="H141" s="698"/>
      <c r="I141" s="698"/>
    </row>
    <row r="142" spans="8:9" s="321" customFormat="1">
      <c r="H142" s="698"/>
      <c r="I142" s="698"/>
    </row>
    <row r="143" spans="8:9" s="321" customFormat="1">
      <c r="H143" s="698"/>
      <c r="I143" s="698"/>
    </row>
    <row r="144" spans="8:9" s="321" customFormat="1">
      <c r="H144" s="698"/>
      <c r="I144" s="698"/>
    </row>
    <row r="145" spans="8:9" s="321" customFormat="1">
      <c r="H145" s="698"/>
      <c r="I145" s="698"/>
    </row>
    <row r="146" spans="8:9" s="321" customFormat="1">
      <c r="H146" s="698"/>
      <c r="I146" s="698"/>
    </row>
    <row r="147" spans="8:9" s="321" customFormat="1">
      <c r="H147" s="698"/>
      <c r="I147" s="698"/>
    </row>
    <row r="148" spans="8:9" s="321" customFormat="1">
      <c r="H148" s="698"/>
      <c r="I148" s="698"/>
    </row>
    <row r="149" spans="8:9" s="321" customFormat="1">
      <c r="H149" s="698"/>
      <c r="I149" s="698"/>
    </row>
    <row r="150" spans="8:9" s="321" customFormat="1">
      <c r="H150" s="698"/>
      <c r="I150" s="698"/>
    </row>
    <row r="151" spans="8:9" s="321" customFormat="1">
      <c r="H151" s="698"/>
      <c r="I151" s="698"/>
    </row>
    <row r="152" spans="8:9" s="321" customFormat="1">
      <c r="H152" s="698"/>
      <c r="I152" s="698"/>
    </row>
    <row r="153" spans="8:9" s="321" customFormat="1">
      <c r="H153" s="698"/>
      <c r="I153" s="698"/>
    </row>
    <row r="154" spans="8:9" s="321" customFormat="1">
      <c r="H154" s="698"/>
      <c r="I154" s="698"/>
    </row>
    <row r="155" spans="8:9" s="321" customFormat="1">
      <c r="H155" s="698"/>
      <c r="I155" s="698"/>
    </row>
    <row r="156" spans="8:9" s="321" customFormat="1">
      <c r="H156" s="698"/>
      <c r="I156" s="698"/>
    </row>
    <row r="157" spans="8:9" s="321" customFormat="1">
      <c r="H157" s="698"/>
      <c r="I157" s="698"/>
    </row>
    <row r="158" spans="8:9" s="321" customFormat="1">
      <c r="H158" s="698"/>
      <c r="I158" s="698"/>
    </row>
    <row r="159" spans="8:9" s="321" customFormat="1">
      <c r="H159" s="698"/>
      <c r="I159" s="698"/>
    </row>
    <row r="160" spans="8:9" s="321" customFormat="1">
      <c r="H160" s="698"/>
      <c r="I160" s="698"/>
    </row>
    <row r="161" spans="8:9" s="321" customFormat="1">
      <c r="H161" s="698"/>
      <c r="I161" s="698"/>
    </row>
    <row r="162" spans="8:9" s="321" customFormat="1">
      <c r="H162" s="698"/>
      <c r="I162" s="698"/>
    </row>
    <row r="163" spans="8:9" s="321" customFormat="1">
      <c r="H163" s="698"/>
      <c r="I163" s="698"/>
    </row>
    <row r="164" spans="8:9" s="321" customFormat="1">
      <c r="H164" s="698"/>
      <c r="I164" s="698"/>
    </row>
    <row r="165" spans="8:9" s="321" customFormat="1">
      <c r="H165" s="698"/>
      <c r="I165" s="698"/>
    </row>
    <row r="166" spans="8:9" s="321" customFormat="1">
      <c r="H166" s="698"/>
      <c r="I166" s="698"/>
    </row>
    <row r="167" spans="8:9" s="321" customFormat="1">
      <c r="H167" s="698"/>
      <c r="I167" s="698"/>
    </row>
    <row r="168" spans="8:9" s="321" customFormat="1">
      <c r="H168" s="698"/>
      <c r="I168" s="698"/>
    </row>
    <row r="169" spans="8:9" s="321" customFormat="1">
      <c r="H169" s="698"/>
      <c r="I169" s="698"/>
    </row>
    <row r="170" spans="8:9" s="321" customFormat="1">
      <c r="H170" s="698"/>
      <c r="I170" s="698"/>
    </row>
    <row r="171" spans="8:9" s="321" customFormat="1">
      <c r="H171" s="698"/>
      <c r="I171" s="698"/>
    </row>
    <row r="172" spans="8:9" s="321" customFormat="1">
      <c r="H172" s="698"/>
      <c r="I172" s="698"/>
    </row>
    <row r="173" spans="8:9" s="321" customFormat="1">
      <c r="H173" s="698"/>
      <c r="I173" s="698"/>
    </row>
    <row r="174" spans="8:9" s="321" customFormat="1">
      <c r="H174" s="698"/>
      <c r="I174" s="698"/>
    </row>
    <row r="175" spans="8:9" s="321" customFormat="1">
      <c r="H175" s="698"/>
      <c r="I175" s="698"/>
    </row>
    <row r="176" spans="8:9" s="321" customFormat="1">
      <c r="H176" s="698"/>
      <c r="I176" s="698"/>
    </row>
    <row r="177" spans="8:9" s="321" customFormat="1">
      <c r="H177" s="698"/>
      <c r="I177" s="698"/>
    </row>
    <row r="178" spans="8:9" s="321" customFormat="1">
      <c r="H178" s="698"/>
      <c r="I178" s="698"/>
    </row>
    <row r="179" spans="8:9" s="321" customFormat="1">
      <c r="H179" s="698"/>
      <c r="I179" s="698"/>
    </row>
    <row r="180" spans="8:9" s="321" customFormat="1">
      <c r="H180" s="698"/>
      <c r="I180" s="698"/>
    </row>
    <row r="181" spans="8:9" s="321" customFormat="1">
      <c r="H181" s="698"/>
      <c r="I181" s="698"/>
    </row>
    <row r="182" spans="8:9" s="321" customFormat="1">
      <c r="H182" s="698"/>
      <c r="I182" s="698"/>
    </row>
    <row r="183" spans="8:9" s="321" customFormat="1">
      <c r="H183" s="698"/>
      <c r="I183" s="698"/>
    </row>
    <row r="184" spans="8:9" s="321" customFormat="1">
      <c r="H184" s="698"/>
      <c r="I184" s="698"/>
    </row>
    <row r="185" spans="8:9" s="321" customFormat="1">
      <c r="H185" s="698"/>
      <c r="I185" s="698"/>
    </row>
    <row r="186" spans="8:9" s="321" customFormat="1">
      <c r="H186" s="698"/>
      <c r="I186" s="698"/>
    </row>
    <row r="187" spans="8:9" s="321" customFormat="1">
      <c r="H187" s="698"/>
      <c r="I187" s="698"/>
    </row>
    <row r="188" spans="8:9" s="321" customFormat="1">
      <c r="H188" s="698"/>
      <c r="I188" s="698"/>
    </row>
    <row r="189" spans="8:9" s="321" customFormat="1">
      <c r="H189" s="698"/>
      <c r="I189" s="698"/>
    </row>
    <row r="190" spans="8:9" s="321" customFormat="1">
      <c r="H190" s="698"/>
      <c r="I190" s="698"/>
    </row>
  </sheetData>
  <sheetProtection formatColumns="0"/>
  <mergeCells count="1">
    <mergeCell ref="D1:E1"/>
  </mergeCells>
  <phoneticPr fontId="0" type="noConversion"/>
  <pageMargins left="0.75" right="0.75" top="1" bottom="1" header="0.5" footer="0.5"/>
  <pageSetup scale="7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Y63"/>
  <sheetViews>
    <sheetView topLeftCell="A28" zoomScale="90" zoomScaleNormal="90" workbookViewId="0">
      <selection activeCell="Q49" sqref="Q49:Q55"/>
    </sheetView>
  </sheetViews>
  <sheetFormatPr defaultColWidth="9.28515625" defaultRowHeight="13.15"/>
  <cols>
    <col min="1" max="1" width="6.5703125" style="334" customWidth="1"/>
    <col min="2" max="2" width="38.28515625" style="327" customWidth="1"/>
    <col min="3" max="3" width="11.5703125" style="327" bestFit="1" customWidth="1"/>
    <col min="4" max="4" width="14.5703125" style="327" customWidth="1"/>
    <col min="5" max="5" width="18.28515625" style="327" customWidth="1"/>
    <col min="6" max="7" width="14.5703125" style="327" customWidth="1"/>
    <col min="8" max="8" width="17.28515625" style="327" customWidth="1"/>
    <col min="9" max="19" width="14.5703125" style="327" customWidth="1"/>
    <col min="20" max="20" width="17.28515625" style="327" customWidth="1"/>
    <col min="21" max="22" width="14.5703125" style="327" customWidth="1"/>
    <col min="23" max="23" width="17.85546875" style="327" customWidth="1"/>
    <col min="24" max="34" width="14.5703125" style="327" customWidth="1"/>
    <col min="35" max="35" width="17.28515625" style="327" customWidth="1"/>
    <col min="36" max="37" width="14.5703125" style="327" customWidth="1"/>
    <col min="38" max="38" width="17.5703125" style="327" customWidth="1"/>
    <col min="39" max="49" width="14.5703125" style="327" customWidth="1"/>
    <col min="50" max="50" width="17.28515625" style="327" customWidth="1"/>
    <col min="51" max="52" width="14.5703125" style="327" customWidth="1"/>
    <col min="53" max="53" width="16.85546875" style="327" customWidth="1"/>
    <col min="54" max="64" width="14.5703125" style="327" customWidth="1"/>
    <col min="65" max="65" width="17.28515625" style="327" customWidth="1"/>
    <col min="66" max="67" width="14.5703125" style="327" customWidth="1"/>
    <col min="68" max="68" width="16.85546875" style="327" customWidth="1"/>
    <col min="69" max="77" width="14.5703125" style="327" customWidth="1"/>
    <col min="78" max="16384" width="9.28515625" style="327"/>
  </cols>
  <sheetData>
    <row r="1" spans="1:77" ht="15.6">
      <c r="A1" s="17" t="s">
        <v>1373</v>
      </c>
      <c r="B1" s="336"/>
      <c r="C1" s="336"/>
      <c r="D1" s="337"/>
      <c r="E1" s="337"/>
      <c r="F1" s="337"/>
      <c r="G1" s="337"/>
    </row>
    <row r="2" spans="1:77" ht="15.6">
      <c r="A2" s="338"/>
      <c r="B2" s="15" t="s">
        <v>1303</v>
      </c>
      <c r="C2" s="15"/>
      <c r="D2" s="397" t="str">
        <f>'Schedule 2_Balance Sheet'!C2</f>
        <v>Tufts Associated Health Plans, Inc. (TAHMO)</v>
      </c>
      <c r="E2" s="398"/>
      <c r="F2" s="398"/>
      <c r="G2" s="398"/>
      <c r="H2" s="399"/>
    </row>
    <row r="3" spans="1:77" ht="15.6">
      <c r="A3" s="339"/>
      <c r="B3" s="15" t="s">
        <v>1285</v>
      </c>
      <c r="C3" s="15"/>
      <c r="D3" s="520" t="str">
        <f>'Schedule 2_Balance Sheet'!C3</f>
        <v>01/01/2024 - 12/31/2024</v>
      </c>
      <c r="E3" s="521"/>
      <c r="F3" s="521"/>
      <c r="G3" s="521"/>
      <c r="H3" s="522"/>
    </row>
    <row r="4" spans="1:77" s="329" customFormat="1" ht="18" customHeight="1">
      <c r="A4" s="237"/>
      <c r="B4" s="15" t="s">
        <v>1306</v>
      </c>
      <c r="C4" s="15"/>
      <c r="D4" s="401">
        <f>'Schedule 2_Balance Sheet'!C4</f>
        <v>45657</v>
      </c>
      <c r="E4" s="398"/>
      <c r="F4" s="398"/>
      <c r="G4" s="398"/>
      <c r="H4" s="399"/>
      <c r="I4" s="328"/>
      <c r="J4" s="328"/>
      <c r="K4" s="328"/>
      <c r="L4" s="328"/>
      <c r="M4" s="328"/>
      <c r="U4" s="328"/>
      <c r="V4" s="328"/>
      <c r="X4" s="328"/>
      <c r="AF4" s="328"/>
      <c r="AG4" s="328"/>
      <c r="AI4" s="328"/>
      <c r="AP4" s="328"/>
      <c r="AQ4" s="328"/>
      <c r="AR4" s="328"/>
      <c r="AS4" s="328"/>
      <c r="AT4" s="328"/>
    </row>
    <row r="5" spans="1:77" s="329" customFormat="1" ht="15.6">
      <c r="A5" s="237"/>
      <c r="B5" s="15" t="s">
        <v>1307</v>
      </c>
      <c r="C5" s="15"/>
      <c r="D5" s="397" t="str">
        <f>'Schedule 2_Balance Sheet'!C5</f>
        <v>Roshni Parikh</v>
      </c>
      <c r="E5" s="398"/>
      <c r="F5" s="398"/>
      <c r="G5" s="398"/>
      <c r="H5" s="399"/>
    </row>
    <row r="6" spans="1:77" s="329" customFormat="1" ht="15.6">
      <c r="A6" s="238"/>
      <c r="B6" s="15" t="s">
        <v>1288</v>
      </c>
      <c r="C6" s="15"/>
      <c r="D6" s="401">
        <f>'Schedule 2_Balance Sheet'!C6</f>
        <v>45657</v>
      </c>
      <c r="E6" s="398"/>
      <c r="F6" s="398"/>
      <c r="G6" s="398"/>
      <c r="H6" s="399"/>
    </row>
    <row r="7" spans="1:77" s="329" customFormat="1" ht="18" customHeight="1">
      <c r="A7" s="237" t="s">
        <v>1374</v>
      </c>
      <c r="B7" s="239"/>
      <c r="C7" s="239"/>
      <c r="D7" s="145"/>
      <c r="E7" s="145"/>
      <c r="F7" s="145"/>
      <c r="G7" s="145"/>
    </row>
    <row r="8" spans="1:77" s="329" customFormat="1" ht="18" customHeight="1">
      <c r="A8" s="237" t="s">
        <v>1375</v>
      </c>
      <c r="B8" s="239"/>
      <c r="C8" s="239"/>
      <c r="D8" s="145"/>
      <c r="E8" s="145"/>
      <c r="F8" s="145"/>
      <c r="G8" s="145"/>
    </row>
    <row r="9" spans="1:77" s="329" customFormat="1" ht="18" customHeight="1">
      <c r="A9" s="330" t="s">
        <v>1289</v>
      </c>
    </row>
    <row r="10" spans="1:77" s="329" customFormat="1" ht="11.25" customHeight="1">
      <c r="A10" s="331"/>
      <c r="P10" s="696"/>
      <c r="AE10" s="696"/>
    </row>
    <row r="11" spans="1:77" s="329" customFormat="1" ht="14.25" customHeight="1">
      <c r="A11" s="330"/>
      <c r="P11" s="696"/>
      <c r="AE11" s="696"/>
      <c r="AT11" s="696"/>
      <c r="BX11" s="696"/>
    </row>
    <row r="12" spans="1:77" s="329" customFormat="1" ht="15" customHeight="1">
      <c r="A12" s="331"/>
      <c r="P12" s="696"/>
      <c r="Q12" s="696"/>
      <c r="AE12" s="696"/>
      <c r="AF12" s="696"/>
      <c r="AT12" s="696"/>
      <c r="AU12" s="696"/>
      <c r="BX12" s="696"/>
      <c r="BY12" s="696"/>
    </row>
    <row r="13" spans="1:77" s="329" customFormat="1" ht="15" customHeight="1">
      <c r="A13" s="227"/>
      <c r="B13" s="146"/>
      <c r="C13" s="627"/>
      <c r="D13" s="151" t="s">
        <v>1291</v>
      </c>
      <c r="E13" s="152"/>
      <c r="F13" s="152"/>
      <c r="G13" s="152"/>
      <c r="H13" s="152"/>
      <c r="I13" s="152"/>
      <c r="J13" s="152"/>
      <c r="K13" s="152"/>
      <c r="L13" s="152"/>
      <c r="M13" s="152"/>
      <c r="N13" s="152"/>
      <c r="O13" s="152"/>
      <c r="P13" s="630"/>
      <c r="Q13" s="630"/>
      <c r="R13" s="145"/>
      <c r="S13" s="147" t="s">
        <v>1298</v>
      </c>
      <c r="T13" s="148"/>
      <c r="U13" s="148"/>
      <c r="V13" s="148"/>
      <c r="W13" s="148"/>
      <c r="X13" s="148"/>
      <c r="Y13" s="148"/>
      <c r="Z13" s="148"/>
      <c r="AA13" s="148"/>
      <c r="AB13" s="148"/>
      <c r="AC13" s="148"/>
      <c r="AD13" s="148"/>
      <c r="AE13" s="149"/>
      <c r="AF13" s="630"/>
      <c r="AG13" s="145"/>
      <c r="AH13" s="147" t="s">
        <v>1299</v>
      </c>
      <c r="AI13" s="148"/>
      <c r="AJ13" s="148"/>
      <c r="AK13" s="148"/>
      <c r="AL13" s="148"/>
      <c r="AM13" s="148"/>
      <c r="AN13" s="148"/>
      <c r="AO13" s="148"/>
      <c r="AP13" s="148"/>
      <c r="AQ13" s="148"/>
      <c r="AR13" s="148"/>
      <c r="AS13" s="148"/>
      <c r="AT13" s="149"/>
      <c r="AU13" s="630"/>
      <c r="AV13" s="145"/>
      <c r="AW13" s="147" t="s">
        <v>1300</v>
      </c>
      <c r="AX13" s="148"/>
      <c r="AY13" s="148"/>
      <c r="AZ13" s="148"/>
      <c r="BA13" s="148"/>
      <c r="BB13" s="148"/>
      <c r="BC13" s="148"/>
      <c r="BD13" s="148"/>
      <c r="BE13" s="148"/>
      <c r="BF13" s="148"/>
      <c r="BG13" s="148"/>
      <c r="BH13" s="148"/>
      <c r="BI13" s="149"/>
      <c r="BJ13" s="630"/>
      <c r="BL13" s="147" t="s">
        <v>1301</v>
      </c>
      <c r="BM13" s="148"/>
      <c r="BN13" s="148"/>
      <c r="BO13" s="148"/>
      <c r="BP13" s="148"/>
      <c r="BQ13" s="148"/>
      <c r="BR13" s="148"/>
      <c r="BS13" s="148"/>
      <c r="BT13" s="148"/>
      <c r="BU13" s="148"/>
      <c r="BV13" s="148"/>
      <c r="BW13" s="148"/>
      <c r="BX13" s="149"/>
      <c r="BY13" s="630"/>
    </row>
    <row r="14" spans="1:77" s="332" customFormat="1" ht="15" customHeight="1">
      <c r="A14" s="125" t="s">
        <v>434</v>
      </c>
      <c r="B14" s="150"/>
      <c r="C14" s="150"/>
      <c r="D14" s="781" t="s">
        <v>1376</v>
      </c>
      <c r="E14" s="781" t="s">
        <v>343</v>
      </c>
      <c r="F14" s="781" t="s">
        <v>345</v>
      </c>
      <c r="G14" s="781" t="s">
        <v>1377</v>
      </c>
      <c r="H14" s="781" t="s">
        <v>349</v>
      </c>
      <c r="I14" s="781" t="s">
        <v>351</v>
      </c>
      <c r="J14" s="781" t="s">
        <v>353</v>
      </c>
      <c r="K14" s="151" t="s">
        <v>1378</v>
      </c>
      <c r="L14" s="152"/>
      <c r="M14" s="152"/>
      <c r="N14" s="152"/>
      <c r="O14" s="148"/>
      <c r="P14" s="783" t="s">
        <v>365</v>
      </c>
      <c r="Q14" s="785" t="s">
        <v>1379</v>
      </c>
      <c r="R14" s="153"/>
      <c r="S14" s="781" t="s">
        <v>1376</v>
      </c>
      <c r="T14" s="781" t="s">
        <v>343</v>
      </c>
      <c r="U14" s="781" t="s">
        <v>345</v>
      </c>
      <c r="V14" s="781" t="s">
        <v>1377</v>
      </c>
      <c r="W14" s="781" t="s">
        <v>349</v>
      </c>
      <c r="X14" s="781" t="s">
        <v>351</v>
      </c>
      <c r="Y14" s="781" t="s">
        <v>353</v>
      </c>
      <c r="Z14" s="151" t="s">
        <v>1378</v>
      </c>
      <c r="AA14" s="152"/>
      <c r="AB14" s="152"/>
      <c r="AC14" s="152"/>
      <c r="AD14" s="148"/>
      <c r="AE14" s="783" t="s">
        <v>365</v>
      </c>
      <c r="AF14" s="785" t="s">
        <v>1379</v>
      </c>
      <c r="AG14" s="153"/>
      <c r="AH14" s="781" t="s">
        <v>1376</v>
      </c>
      <c r="AI14" s="781" t="s">
        <v>343</v>
      </c>
      <c r="AJ14" s="781" t="s">
        <v>345</v>
      </c>
      <c r="AK14" s="781" t="s">
        <v>1377</v>
      </c>
      <c r="AL14" s="781" t="s">
        <v>349</v>
      </c>
      <c r="AM14" s="781" t="s">
        <v>351</v>
      </c>
      <c r="AN14" s="781" t="s">
        <v>353</v>
      </c>
      <c r="AO14" s="151" t="s">
        <v>1378</v>
      </c>
      <c r="AP14" s="152"/>
      <c r="AQ14" s="152"/>
      <c r="AR14" s="152"/>
      <c r="AS14" s="148"/>
      <c r="AT14" s="783" t="s">
        <v>365</v>
      </c>
      <c r="AU14" s="785" t="s">
        <v>1379</v>
      </c>
      <c r="AV14" s="153"/>
      <c r="AW14" s="781" t="s">
        <v>1376</v>
      </c>
      <c r="AX14" s="781" t="s">
        <v>343</v>
      </c>
      <c r="AY14" s="781" t="s">
        <v>345</v>
      </c>
      <c r="AZ14" s="781" t="s">
        <v>1377</v>
      </c>
      <c r="BA14" s="781" t="s">
        <v>349</v>
      </c>
      <c r="BB14" s="781" t="s">
        <v>351</v>
      </c>
      <c r="BC14" s="781" t="s">
        <v>353</v>
      </c>
      <c r="BD14" s="151" t="s">
        <v>1378</v>
      </c>
      <c r="BE14" s="152"/>
      <c r="BF14" s="152"/>
      <c r="BG14" s="152"/>
      <c r="BH14" s="148"/>
      <c r="BI14" s="783" t="s">
        <v>1380</v>
      </c>
      <c r="BJ14" s="785" t="s">
        <v>1379</v>
      </c>
      <c r="BL14" s="781" t="s">
        <v>1376</v>
      </c>
      <c r="BM14" s="781" t="s">
        <v>343</v>
      </c>
      <c r="BN14" s="781" t="s">
        <v>345</v>
      </c>
      <c r="BO14" s="781" t="s">
        <v>1377</v>
      </c>
      <c r="BP14" s="781" t="s">
        <v>349</v>
      </c>
      <c r="BQ14" s="781" t="s">
        <v>351</v>
      </c>
      <c r="BR14" s="781" t="s">
        <v>353</v>
      </c>
      <c r="BS14" s="151" t="s">
        <v>1378</v>
      </c>
      <c r="BT14" s="152"/>
      <c r="BU14" s="152"/>
      <c r="BV14" s="152"/>
      <c r="BW14" s="148"/>
      <c r="BX14" s="783" t="s">
        <v>1380</v>
      </c>
      <c r="BY14" s="785" t="s">
        <v>1379</v>
      </c>
    </row>
    <row r="15" spans="1:77" s="333" customFormat="1" ht="35.65" customHeight="1">
      <c r="A15" s="127" t="s">
        <v>437</v>
      </c>
      <c r="B15" s="154"/>
      <c r="C15" s="154"/>
      <c r="D15" s="782"/>
      <c r="E15" s="782"/>
      <c r="F15" s="782"/>
      <c r="G15" s="782"/>
      <c r="H15" s="782"/>
      <c r="I15" s="782"/>
      <c r="J15" s="782"/>
      <c r="K15" s="618" t="s">
        <v>355</v>
      </c>
      <c r="L15" s="632" t="s">
        <v>1381</v>
      </c>
      <c r="M15" s="618" t="s">
        <v>1382</v>
      </c>
      <c r="N15" s="618" t="s">
        <v>361</v>
      </c>
      <c r="O15" s="618" t="s">
        <v>1383</v>
      </c>
      <c r="P15" s="784"/>
      <c r="Q15" s="786"/>
      <c r="R15" s="155"/>
      <c r="S15" s="782"/>
      <c r="T15" s="782"/>
      <c r="U15" s="782"/>
      <c r="V15" s="782"/>
      <c r="W15" s="782"/>
      <c r="X15" s="782"/>
      <c r="Y15" s="782"/>
      <c r="Z15" s="618" t="s">
        <v>355</v>
      </c>
      <c r="AA15" s="632" t="s">
        <v>1381</v>
      </c>
      <c r="AB15" s="618" t="s">
        <v>1382</v>
      </c>
      <c r="AC15" s="618" t="s">
        <v>361</v>
      </c>
      <c r="AD15" s="618" t="s">
        <v>1383</v>
      </c>
      <c r="AE15" s="784"/>
      <c r="AF15" s="786"/>
      <c r="AG15" s="155"/>
      <c r="AH15" s="782"/>
      <c r="AI15" s="782"/>
      <c r="AJ15" s="782"/>
      <c r="AK15" s="782"/>
      <c r="AL15" s="782"/>
      <c r="AM15" s="782"/>
      <c r="AN15" s="782"/>
      <c r="AO15" s="618" t="s">
        <v>355</v>
      </c>
      <c r="AP15" s="632" t="s">
        <v>1381</v>
      </c>
      <c r="AQ15" s="618" t="s">
        <v>1382</v>
      </c>
      <c r="AR15" s="618" t="s">
        <v>361</v>
      </c>
      <c r="AS15" s="618" t="s">
        <v>1383</v>
      </c>
      <c r="AT15" s="784"/>
      <c r="AU15" s="786"/>
      <c r="AV15" s="155"/>
      <c r="AW15" s="782"/>
      <c r="AX15" s="782"/>
      <c r="AY15" s="782"/>
      <c r="AZ15" s="782"/>
      <c r="BA15" s="782"/>
      <c r="BB15" s="782"/>
      <c r="BC15" s="782"/>
      <c r="BD15" s="618" t="s">
        <v>355</v>
      </c>
      <c r="BE15" s="632" t="s">
        <v>1381</v>
      </c>
      <c r="BF15" s="618" t="s">
        <v>1382</v>
      </c>
      <c r="BG15" s="618" t="s">
        <v>361</v>
      </c>
      <c r="BH15" s="618" t="s">
        <v>1383</v>
      </c>
      <c r="BI15" s="784"/>
      <c r="BJ15" s="786"/>
      <c r="BL15" s="782"/>
      <c r="BM15" s="782"/>
      <c r="BN15" s="782"/>
      <c r="BO15" s="782"/>
      <c r="BP15" s="782"/>
      <c r="BQ15" s="782"/>
      <c r="BR15" s="782"/>
      <c r="BS15" s="618" t="s">
        <v>355</v>
      </c>
      <c r="BT15" s="632" t="s">
        <v>1381</v>
      </c>
      <c r="BU15" s="618" t="s">
        <v>1382</v>
      </c>
      <c r="BV15" s="618" t="s">
        <v>361</v>
      </c>
      <c r="BW15" s="618" t="s">
        <v>1383</v>
      </c>
      <c r="BX15" s="784"/>
      <c r="BY15" s="786"/>
    </row>
    <row r="16" spans="1:77" s="329" customFormat="1">
      <c r="A16" s="156"/>
      <c r="B16" s="157" t="s">
        <v>1384</v>
      </c>
      <c r="C16" s="169"/>
      <c r="D16" s="158"/>
      <c r="E16" s="158"/>
      <c r="F16" s="159"/>
      <c r="G16" s="158"/>
      <c r="H16" s="158"/>
      <c r="I16" s="159"/>
      <c r="J16" s="159"/>
      <c r="K16" s="160"/>
      <c r="L16" s="160"/>
      <c r="M16" s="160"/>
      <c r="N16" s="160"/>
      <c r="O16" s="160"/>
      <c r="P16" s="159"/>
      <c r="Q16" s="159"/>
      <c r="R16" s="145"/>
      <c r="S16" s="158"/>
      <c r="T16" s="158"/>
      <c r="U16" s="159"/>
      <c r="V16" s="158"/>
      <c r="W16" s="158"/>
      <c r="X16" s="159"/>
      <c r="Y16" s="159"/>
      <c r="Z16" s="160"/>
      <c r="AA16" s="160"/>
      <c r="AB16" s="160"/>
      <c r="AC16" s="160"/>
      <c r="AD16" s="160"/>
      <c r="AE16" s="159"/>
      <c r="AF16" s="934"/>
      <c r="AG16" s="145"/>
      <c r="AH16" s="158"/>
      <c r="AI16" s="158"/>
      <c r="AJ16" s="159"/>
      <c r="AK16" s="158"/>
      <c r="AL16" s="158"/>
      <c r="AM16" s="159"/>
      <c r="AN16" s="159"/>
      <c r="AO16" s="160"/>
      <c r="AP16" s="160"/>
      <c r="AQ16" s="160"/>
      <c r="AR16" s="160"/>
      <c r="AS16" s="160"/>
      <c r="AT16" s="159"/>
      <c r="AU16" s="934"/>
      <c r="AV16" s="145"/>
      <c r="AW16" s="158"/>
      <c r="AX16" s="158"/>
      <c r="AY16" s="159"/>
      <c r="AZ16" s="158"/>
      <c r="BA16" s="158"/>
      <c r="BB16" s="159"/>
      <c r="BC16" s="159"/>
      <c r="BD16" s="160"/>
      <c r="BE16" s="160"/>
      <c r="BF16" s="160"/>
      <c r="BG16" s="160"/>
      <c r="BH16" s="160"/>
      <c r="BI16" s="159"/>
      <c r="BJ16" s="934"/>
      <c r="BL16" s="158"/>
      <c r="BM16" s="158"/>
      <c r="BN16" s="159"/>
      <c r="BO16" s="158"/>
      <c r="BP16" s="158"/>
      <c r="BQ16" s="159"/>
      <c r="BR16" s="159"/>
      <c r="BS16" s="160"/>
      <c r="BT16" s="160"/>
      <c r="BU16" s="160"/>
      <c r="BV16" s="160"/>
      <c r="BW16" s="160"/>
      <c r="BX16" s="159"/>
      <c r="BY16" s="934"/>
    </row>
    <row r="17" spans="1:77" s="329" customFormat="1">
      <c r="A17" s="161"/>
      <c r="B17" s="162" t="s">
        <v>439</v>
      </c>
      <c r="C17" s="628"/>
      <c r="D17" s="163"/>
      <c r="E17" s="163"/>
      <c r="F17" s="164"/>
      <c r="G17" s="163"/>
      <c r="H17" s="163"/>
      <c r="I17" s="164"/>
      <c r="J17" s="164"/>
      <c r="K17" s="165"/>
      <c r="L17" s="165"/>
      <c r="M17" s="165"/>
      <c r="N17" s="165"/>
      <c r="O17" s="165"/>
      <c r="P17" s="164"/>
      <c r="Q17" s="164"/>
      <c r="R17" s="145"/>
      <c r="S17" s="163"/>
      <c r="T17" s="163"/>
      <c r="U17" s="164"/>
      <c r="V17" s="163"/>
      <c r="W17" s="163"/>
      <c r="X17" s="164"/>
      <c r="Y17" s="164"/>
      <c r="Z17" s="165"/>
      <c r="AA17" s="165"/>
      <c r="AB17" s="165"/>
      <c r="AC17" s="165"/>
      <c r="AD17" s="165"/>
      <c r="AE17" s="164"/>
      <c r="AF17" s="935"/>
      <c r="AG17" s="145"/>
      <c r="AH17" s="163"/>
      <c r="AI17" s="163"/>
      <c r="AJ17" s="164"/>
      <c r="AK17" s="163"/>
      <c r="AL17" s="163"/>
      <c r="AM17" s="164"/>
      <c r="AN17" s="164"/>
      <c r="AO17" s="165"/>
      <c r="AP17" s="165"/>
      <c r="AQ17" s="165"/>
      <c r="AR17" s="165"/>
      <c r="AS17" s="165"/>
      <c r="AT17" s="164"/>
      <c r="AU17" s="935"/>
      <c r="AV17" s="145"/>
      <c r="AW17" s="163"/>
      <c r="AX17" s="163"/>
      <c r="AY17" s="164"/>
      <c r="AZ17" s="163"/>
      <c r="BA17" s="163"/>
      <c r="BB17" s="164"/>
      <c r="BC17" s="164"/>
      <c r="BD17" s="165"/>
      <c r="BE17" s="165"/>
      <c r="BF17" s="165"/>
      <c r="BG17" s="165"/>
      <c r="BH17" s="165"/>
      <c r="BI17" s="164"/>
      <c r="BJ17" s="935"/>
      <c r="BL17" s="163"/>
      <c r="BM17" s="163"/>
      <c r="BN17" s="164"/>
      <c r="BO17" s="163"/>
      <c r="BP17" s="163"/>
      <c r="BQ17" s="164"/>
      <c r="BR17" s="164"/>
      <c r="BS17" s="165"/>
      <c r="BT17" s="165"/>
      <c r="BU17" s="165"/>
      <c r="BV17" s="165"/>
      <c r="BW17" s="165"/>
      <c r="BX17" s="164"/>
      <c r="BY17" s="935"/>
    </row>
    <row r="18" spans="1:77" s="329" customFormat="1">
      <c r="A18" s="166">
        <v>1</v>
      </c>
      <c r="B18" s="120" t="s">
        <v>197</v>
      </c>
      <c r="C18" s="120" t="s">
        <v>375</v>
      </c>
      <c r="D18" s="231">
        <v>12281550.219999997</v>
      </c>
      <c r="E18" s="231"/>
      <c r="F18" s="340">
        <f>SUM(D18:E18)</f>
        <v>12281550.219999997</v>
      </c>
      <c r="G18" s="231">
        <v>3166014.92</v>
      </c>
      <c r="H18" s="231"/>
      <c r="I18" s="340">
        <f>SUM(G18:H18)</f>
        <v>3166014.92</v>
      </c>
      <c r="J18" s="340">
        <f>F18+I18</f>
        <v>15447565.139999997</v>
      </c>
      <c r="K18" s="231">
        <v>17433.709056765765</v>
      </c>
      <c r="L18" s="231"/>
      <c r="M18" s="231"/>
      <c r="N18" s="231"/>
      <c r="O18" s="635"/>
      <c r="P18" s="222">
        <f>SUM(J18:N18)</f>
        <v>15464998.849056762</v>
      </c>
      <c r="Q18" s="936">
        <f>P18-O18-'Schedule 3A_Income Statement'!CO35</f>
        <v>0</v>
      </c>
      <c r="R18" s="223"/>
      <c r="S18" s="231">
        <v>12996146.350000001</v>
      </c>
      <c r="T18" s="231"/>
      <c r="U18" s="340">
        <f>SUM(S18:T18)</f>
        <v>12996146.350000001</v>
      </c>
      <c r="V18" s="231">
        <v>2264461.5599999996</v>
      </c>
      <c r="W18" s="231"/>
      <c r="X18" s="340">
        <f>SUM(V18:W18)</f>
        <v>2264461.5599999996</v>
      </c>
      <c r="Y18" s="340">
        <f>U18+X18</f>
        <v>15260607.91</v>
      </c>
      <c r="Z18" s="231">
        <v>39585.063905503586</v>
      </c>
      <c r="AA18" s="231"/>
      <c r="AB18" s="231"/>
      <c r="AC18" s="231"/>
      <c r="AD18" s="635"/>
      <c r="AE18" s="222">
        <f>SUM(Y18:AC18)</f>
        <v>15300192.973905504</v>
      </c>
      <c r="AF18" s="936">
        <f>AE18-AD18-'Schedule 3A_Income Statement'!CP35</f>
        <v>0</v>
      </c>
      <c r="AG18" s="223"/>
      <c r="AH18" s="231">
        <v>13591032.42</v>
      </c>
      <c r="AI18" s="231"/>
      <c r="AJ18" s="340">
        <f>SUM(AH18:AI18)</f>
        <v>13591032.42</v>
      </c>
      <c r="AK18" s="231">
        <v>2318638.85</v>
      </c>
      <c r="AL18" s="231"/>
      <c r="AM18" s="340">
        <f>SUM(AK18:AL18)</f>
        <v>2318638.85</v>
      </c>
      <c r="AN18" s="340">
        <f>AJ18+AM18</f>
        <v>15909671.27</v>
      </c>
      <c r="AO18" s="231">
        <v>178118.39495634218</v>
      </c>
      <c r="AP18" s="231"/>
      <c r="AQ18" s="231"/>
      <c r="AR18" s="231"/>
      <c r="AS18" s="635"/>
      <c r="AT18" s="222">
        <f>SUM(AN18:AR18)</f>
        <v>16087789.664956342</v>
      </c>
      <c r="AU18" s="936">
        <f>AT18-AS18-'Schedule 3A_Income Statement'!CQ35</f>
        <v>0</v>
      </c>
      <c r="AV18" s="223"/>
      <c r="AW18" s="231">
        <v>13754064</v>
      </c>
      <c r="AX18" s="231"/>
      <c r="AY18" s="340">
        <f>SUM(AW18:AX18)</f>
        <v>13754064</v>
      </c>
      <c r="AZ18" s="231">
        <v>3082305.4499999993</v>
      </c>
      <c r="BA18" s="231"/>
      <c r="BB18" s="340">
        <f>SUM(AZ18:BA18)</f>
        <v>3082305.4499999993</v>
      </c>
      <c r="BC18" s="340">
        <f>AY18+BB18</f>
        <v>16836369.449999999</v>
      </c>
      <c r="BD18" s="231">
        <v>823851.31848348735</v>
      </c>
      <c r="BE18" s="231"/>
      <c r="BF18" s="231"/>
      <c r="BG18" s="231"/>
      <c r="BH18" s="635"/>
      <c r="BI18" s="222">
        <f>SUM(BC18:BG18)</f>
        <v>17660220.768483486</v>
      </c>
      <c r="BJ18" s="936">
        <f>BI18-BH18-'Schedule 3A_Income Statement'!CR35</f>
        <v>0</v>
      </c>
      <c r="BL18" s="340">
        <f>D18+S18+AH18+AW18</f>
        <v>52622792.990000002</v>
      </c>
      <c r="BM18" s="340">
        <f t="shared" ref="BM18:BM45" si="0">E18+T18+AI18+AX18</f>
        <v>0</v>
      </c>
      <c r="BN18" s="340">
        <f t="shared" ref="BN18:BN45" si="1">F18+U18+AJ18+AY18</f>
        <v>52622792.990000002</v>
      </c>
      <c r="BO18" s="340">
        <f t="shared" ref="BO18:BO45" si="2">G18+V18+AK18+AZ18</f>
        <v>10831420.779999999</v>
      </c>
      <c r="BP18" s="340">
        <f t="shared" ref="BP18:BP45" si="3">H18+W18+AL18+BA18</f>
        <v>0</v>
      </c>
      <c r="BQ18" s="340">
        <f t="shared" ref="BQ18:BQ45" si="4">I18+X18+AM18+BB18</f>
        <v>10831420.779999999</v>
      </c>
      <c r="BR18" s="340">
        <f t="shared" ref="BR18:BR45" si="5">J18+Y18+AN18+BC18</f>
        <v>63454213.769999996</v>
      </c>
      <c r="BS18" s="340">
        <f t="shared" ref="BS18:BS45" si="6">K18+Z18+AO18+BD18</f>
        <v>1058988.4864020988</v>
      </c>
      <c r="BT18" s="340">
        <f t="shared" ref="BT18:BT45" si="7">L18+AA18+AP18+BE18</f>
        <v>0</v>
      </c>
      <c r="BU18" s="340">
        <f t="shared" ref="BU18:BU45" si="8">M18+AB18+AQ18+BF18</f>
        <v>0</v>
      </c>
      <c r="BV18" s="340">
        <f t="shared" ref="BV18:BV45" si="9">N18+AC18+AR18+BG18</f>
        <v>0</v>
      </c>
      <c r="BW18" s="340">
        <f t="shared" ref="BW18:BW45" si="10">O18+AD18+AS18+BH18</f>
        <v>0</v>
      </c>
      <c r="BX18" s="340">
        <f t="shared" ref="BX18:BX45" si="11">P18+AE18+AT18+BI18</f>
        <v>64513202.25640209</v>
      </c>
      <c r="BY18" s="340">
        <f t="shared" ref="BY18:BY45" si="12">Q18+AF18+AU18+BJ18</f>
        <v>0</v>
      </c>
    </row>
    <row r="19" spans="1:77" s="329" customFormat="1">
      <c r="A19" s="167">
        <v>2</v>
      </c>
      <c r="B19" s="122" t="s">
        <v>199</v>
      </c>
      <c r="C19" s="122" t="s">
        <v>375</v>
      </c>
      <c r="D19" s="231">
        <v>591789.46000000008</v>
      </c>
      <c r="E19" s="231"/>
      <c r="F19" s="340">
        <f t="shared" ref="F19:F52" si="13">SUM(D19:E19)</f>
        <v>591789.46000000008</v>
      </c>
      <c r="G19" s="231">
        <v>32176</v>
      </c>
      <c r="H19" s="231"/>
      <c r="I19" s="340">
        <f t="shared" ref="I19:I45" si="14">SUM(G19:H19)</f>
        <v>32176</v>
      </c>
      <c r="J19" s="340">
        <f t="shared" ref="J19:J45" si="15">F19+I19</f>
        <v>623965.46000000008</v>
      </c>
      <c r="K19" s="231">
        <v>676.90651832174808</v>
      </c>
      <c r="L19" s="231"/>
      <c r="M19" s="231"/>
      <c r="N19" s="231"/>
      <c r="O19" s="635"/>
      <c r="P19" s="222">
        <f t="shared" ref="P19:P45" si="16">SUM(J19:N19)</f>
        <v>624642.3665183218</v>
      </c>
      <c r="Q19" s="936">
        <f>P19-O19-'Schedule 3A_Income Statement'!CO36</f>
        <v>0</v>
      </c>
      <c r="R19" s="223"/>
      <c r="S19" s="231">
        <v>523629.18000000005</v>
      </c>
      <c r="T19" s="231"/>
      <c r="U19" s="340">
        <f t="shared" ref="U19:U45" si="17">SUM(S19:T19)</f>
        <v>523629.18000000005</v>
      </c>
      <c r="V19" s="231">
        <v>72393.709999999992</v>
      </c>
      <c r="W19" s="231"/>
      <c r="X19" s="340">
        <f t="shared" ref="X19:X45" si="18">SUM(V19:W19)</f>
        <v>72393.709999999992</v>
      </c>
      <c r="Y19" s="340">
        <f t="shared" ref="Y19:Y45" si="19">U19+X19</f>
        <v>596022.89</v>
      </c>
      <c r="Z19" s="231">
        <v>1538.5601837446172</v>
      </c>
      <c r="AA19" s="231"/>
      <c r="AB19" s="231"/>
      <c r="AC19" s="231"/>
      <c r="AD19" s="635"/>
      <c r="AE19" s="222">
        <f t="shared" ref="AE19:AE45" si="20">SUM(Y19:AC19)</f>
        <v>597561.45018374466</v>
      </c>
      <c r="AF19" s="936">
        <f>AE19-AD19-'Schedule 3A_Income Statement'!CP36</f>
        <v>0</v>
      </c>
      <c r="AG19" s="223"/>
      <c r="AH19" s="231">
        <v>402348.71</v>
      </c>
      <c r="AI19" s="231"/>
      <c r="AJ19" s="340">
        <f t="shared" ref="AJ19:AJ45" si="21">SUM(AH19:AI19)</f>
        <v>402348.71</v>
      </c>
      <c r="AK19" s="231">
        <v>36623.480000000003</v>
      </c>
      <c r="AL19" s="231"/>
      <c r="AM19" s="340">
        <f t="shared" ref="AM19:AM45" si="22">SUM(AK19:AL19)</f>
        <v>36623.480000000003</v>
      </c>
      <c r="AN19" s="340">
        <f t="shared" ref="AN19:AN45" si="23">AJ19+AM19</f>
        <v>438972.19</v>
      </c>
      <c r="AO19" s="231">
        <v>4876.0186670187495</v>
      </c>
      <c r="AP19" s="231"/>
      <c r="AQ19" s="231"/>
      <c r="AR19" s="231"/>
      <c r="AS19" s="635"/>
      <c r="AT19" s="222">
        <f t="shared" ref="AT19:AT45" si="24">SUM(AN19:AR19)</f>
        <v>443848.20866701874</v>
      </c>
      <c r="AU19" s="936">
        <f>AT19-AS19-'Schedule 3A_Income Statement'!CQ36</f>
        <v>0</v>
      </c>
      <c r="AV19" s="223"/>
      <c r="AW19" s="231">
        <v>396720.02</v>
      </c>
      <c r="AX19" s="231"/>
      <c r="AY19" s="340">
        <f t="shared" ref="AY19:AY45" si="25">SUM(AW19:AX19)</f>
        <v>396720.02</v>
      </c>
      <c r="AZ19" s="231">
        <v>44684.729999999996</v>
      </c>
      <c r="BA19" s="231"/>
      <c r="BB19" s="340">
        <f t="shared" ref="BB19:BB45" si="26">SUM(AZ19:BA19)</f>
        <v>44684.729999999996</v>
      </c>
      <c r="BC19" s="340">
        <f t="shared" ref="BC19:BC45" si="27">AY19+BB19</f>
        <v>441404.75</v>
      </c>
      <c r="BD19" s="231">
        <v>21669.031927414417</v>
      </c>
      <c r="BE19" s="231"/>
      <c r="BF19" s="231"/>
      <c r="BG19" s="231"/>
      <c r="BH19" s="635"/>
      <c r="BI19" s="222">
        <f t="shared" ref="BI19:BI45" si="28">SUM(BC19:BG19)</f>
        <v>463073.78192741441</v>
      </c>
      <c r="BJ19" s="936">
        <f>BI19-BH19-'Schedule 3A_Income Statement'!CR36</f>
        <v>0</v>
      </c>
      <c r="BL19" s="340">
        <f t="shared" ref="BL19:BL45" si="29">D19+S19+AH19+AW19</f>
        <v>1914487.37</v>
      </c>
      <c r="BM19" s="340">
        <f t="shared" si="0"/>
        <v>0</v>
      </c>
      <c r="BN19" s="340">
        <f t="shared" si="1"/>
        <v>1914487.37</v>
      </c>
      <c r="BO19" s="340">
        <f t="shared" si="2"/>
        <v>185877.91999999998</v>
      </c>
      <c r="BP19" s="340">
        <f t="shared" si="3"/>
        <v>0</v>
      </c>
      <c r="BQ19" s="340">
        <f t="shared" si="4"/>
        <v>185877.91999999998</v>
      </c>
      <c r="BR19" s="340">
        <f t="shared" si="5"/>
        <v>2100365.29</v>
      </c>
      <c r="BS19" s="340">
        <f t="shared" si="6"/>
        <v>28760.517296499533</v>
      </c>
      <c r="BT19" s="340">
        <f t="shared" si="7"/>
        <v>0</v>
      </c>
      <c r="BU19" s="340">
        <f t="shared" si="8"/>
        <v>0</v>
      </c>
      <c r="BV19" s="340">
        <f t="shared" si="9"/>
        <v>0</v>
      </c>
      <c r="BW19" s="340">
        <f t="shared" si="10"/>
        <v>0</v>
      </c>
      <c r="BX19" s="340">
        <f t="shared" si="11"/>
        <v>2129125.8072964996</v>
      </c>
      <c r="BY19" s="340">
        <f t="shared" si="12"/>
        <v>0</v>
      </c>
    </row>
    <row r="20" spans="1:77" s="329" customFormat="1">
      <c r="A20" s="166">
        <v>3</v>
      </c>
      <c r="B20" s="120" t="s">
        <v>200</v>
      </c>
      <c r="C20" s="120" t="s">
        <v>381</v>
      </c>
      <c r="D20" s="231">
        <v>8256352.1600000048</v>
      </c>
      <c r="E20" s="231"/>
      <c r="F20" s="340">
        <f t="shared" si="13"/>
        <v>8256352.1600000048</v>
      </c>
      <c r="G20" s="231">
        <v>3519050.1699999985</v>
      </c>
      <c r="H20" s="231"/>
      <c r="I20" s="340">
        <f t="shared" si="14"/>
        <v>3519050.1699999985</v>
      </c>
      <c r="J20" s="340">
        <f t="shared" si="15"/>
        <v>11775402.330000004</v>
      </c>
      <c r="K20" s="231">
        <v>13604.60417604937</v>
      </c>
      <c r="L20" s="231"/>
      <c r="M20" s="231"/>
      <c r="N20" s="231"/>
      <c r="O20" s="635"/>
      <c r="P20" s="222">
        <f t="shared" si="16"/>
        <v>11789006.934176054</v>
      </c>
      <c r="Q20" s="936">
        <f>P20-O20-'Schedule 3A_Income Statement'!CO37</f>
        <v>0</v>
      </c>
      <c r="R20" s="223"/>
      <c r="S20" s="231">
        <v>9855327.0200000089</v>
      </c>
      <c r="T20" s="231"/>
      <c r="U20" s="340">
        <f t="shared" si="17"/>
        <v>9855327.0200000089</v>
      </c>
      <c r="V20" s="231">
        <v>3725407.7600000007</v>
      </c>
      <c r="W20" s="231"/>
      <c r="X20" s="340">
        <f t="shared" si="18"/>
        <v>3725407.7600000007</v>
      </c>
      <c r="Y20" s="340">
        <f t="shared" si="19"/>
        <v>13580734.780000009</v>
      </c>
      <c r="Z20" s="231">
        <v>36025.359741710337</v>
      </c>
      <c r="AA20" s="231"/>
      <c r="AB20" s="231"/>
      <c r="AC20" s="231"/>
      <c r="AD20" s="635"/>
      <c r="AE20" s="222">
        <f t="shared" si="20"/>
        <v>13616760.139741719</v>
      </c>
      <c r="AF20" s="936">
        <f>AE20-AD20-'Schedule 3A_Income Statement'!CP37</f>
        <v>0</v>
      </c>
      <c r="AG20" s="223"/>
      <c r="AH20" s="231">
        <v>10075313.070000002</v>
      </c>
      <c r="AI20" s="231"/>
      <c r="AJ20" s="340">
        <f t="shared" si="21"/>
        <v>10075313.070000002</v>
      </c>
      <c r="AK20" s="231">
        <v>3848821.8599999994</v>
      </c>
      <c r="AL20" s="231"/>
      <c r="AM20" s="340">
        <f t="shared" si="22"/>
        <v>3848821.8599999994</v>
      </c>
      <c r="AN20" s="340">
        <f t="shared" si="23"/>
        <v>13924134.930000002</v>
      </c>
      <c r="AO20" s="231">
        <v>158453.03182483683</v>
      </c>
      <c r="AP20" s="231"/>
      <c r="AQ20" s="231"/>
      <c r="AR20" s="231"/>
      <c r="AS20" s="635"/>
      <c r="AT20" s="222">
        <f t="shared" si="24"/>
        <v>14082587.961824838</v>
      </c>
      <c r="AU20" s="936">
        <f>AT20-AS20-'Schedule 3A_Income Statement'!CQ37</f>
        <v>0</v>
      </c>
      <c r="AV20" s="223"/>
      <c r="AW20" s="231">
        <v>10640153.630000001</v>
      </c>
      <c r="AX20" s="231"/>
      <c r="AY20" s="340">
        <f t="shared" si="25"/>
        <v>10640153.630000001</v>
      </c>
      <c r="AZ20" s="231">
        <v>3443650.3100000019</v>
      </c>
      <c r="BA20" s="231"/>
      <c r="BB20" s="340">
        <f t="shared" si="26"/>
        <v>3443650.3100000019</v>
      </c>
      <c r="BC20" s="340">
        <f t="shared" si="27"/>
        <v>14083803.940000003</v>
      </c>
      <c r="BD20" s="231">
        <v>687487.54388664663</v>
      </c>
      <c r="BE20" s="231"/>
      <c r="BF20" s="231"/>
      <c r="BG20" s="231"/>
      <c r="BH20" s="635"/>
      <c r="BI20" s="222">
        <f t="shared" si="28"/>
        <v>14771291.48388665</v>
      </c>
      <c r="BJ20" s="936">
        <f>BI20-BH20-'Schedule 3A_Income Statement'!CR37</f>
        <v>0</v>
      </c>
      <c r="BL20" s="340">
        <f t="shared" si="29"/>
        <v>38827145.880000018</v>
      </c>
      <c r="BM20" s="340">
        <f t="shared" si="0"/>
        <v>0</v>
      </c>
      <c r="BN20" s="340">
        <f t="shared" si="1"/>
        <v>38827145.880000018</v>
      </c>
      <c r="BO20" s="340">
        <f t="shared" si="2"/>
        <v>14536930.100000001</v>
      </c>
      <c r="BP20" s="340">
        <f t="shared" si="3"/>
        <v>0</v>
      </c>
      <c r="BQ20" s="340">
        <f t="shared" si="4"/>
        <v>14536930.100000001</v>
      </c>
      <c r="BR20" s="340">
        <f t="shared" si="5"/>
        <v>53364075.980000019</v>
      </c>
      <c r="BS20" s="340">
        <f t="shared" si="6"/>
        <v>895570.5396292432</v>
      </c>
      <c r="BT20" s="340">
        <f t="shared" si="7"/>
        <v>0</v>
      </c>
      <c r="BU20" s="340">
        <f t="shared" si="8"/>
        <v>0</v>
      </c>
      <c r="BV20" s="340">
        <f t="shared" si="9"/>
        <v>0</v>
      </c>
      <c r="BW20" s="340">
        <f t="shared" si="10"/>
        <v>0</v>
      </c>
      <c r="BX20" s="340">
        <f t="shared" si="11"/>
        <v>54259646.519629262</v>
      </c>
      <c r="BY20" s="340">
        <f t="shared" si="12"/>
        <v>0</v>
      </c>
    </row>
    <row r="21" spans="1:77" s="329" customFormat="1">
      <c r="A21" s="167">
        <v>4</v>
      </c>
      <c r="B21" s="122" t="s">
        <v>201</v>
      </c>
      <c r="C21" s="937" t="s">
        <v>202</v>
      </c>
      <c r="D21" s="231">
        <v>601722.69999999972</v>
      </c>
      <c r="E21" s="233"/>
      <c r="F21" s="340">
        <f t="shared" si="13"/>
        <v>601722.69999999972</v>
      </c>
      <c r="G21" s="233">
        <v>289024.3600000001</v>
      </c>
      <c r="H21" s="233"/>
      <c r="I21" s="340">
        <f t="shared" si="14"/>
        <v>289024.3600000001</v>
      </c>
      <c r="J21" s="340">
        <f t="shared" si="15"/>
        <v>890747.05999999982</v>
      </c>
      <c r="K21" s="231">
        <v>1035.6239906446485</v>
      </c>
      <c r="L21" s="231"/>
      <c r="M21" s="231"/>
      <c r="N21" s="231"/>
      <c r="O21" s="635"/>
      <c r="P21" s="222">
        <f t="shared" si="16"/>
        <v>891782.68399064452</v>
      </c>
      <c r="Q21" s="936">
        <f>P21-O21-'Schedule 3A_Income Statement'!CO38</f>
        <v>0</v>
      </c>
      <c r="R21" s="223"/>
      <c r="S21" s="231">
        <v>709689.28000000014</v>
      </c>
      <c r="T21" s="233"/>
      <c r="U21" s="340">
        <f t="shared" si="17"/>
        <v>709689.28000000014</v>
      </c>
      <c r="V21" s="233">
        <v>239552.36000000004</v>
      </c>
      <c r="W21" s="233"/>
      <c r="X21" s="340">
        <f t="shared" si="18"/>
        <v>239552.36000000004</v>
      </c>
      <c r="Y21" s="340">
        <f t="shared" si="19"/>
        <v>949241.64000000013</v>
      </c>
      <c r="Z21" s="231">
        <v>2508.3142540735225</v>
      </c>
      <c r="AA21" s="231"/>
      <c r="AB21" s="231"/>
      <c r="AC21" s="231"/>
      <c r="AD21" s="635"/>
      <c r="AE21" s="222">
        <f t="shared" si="20"/>
        <v>951749.95425407367</v>
      </c>
      <c r="AF21" s="936">
        <f>AE21-AD21-'Schedule 3A_Income Statement'!CP38</f>
        <v>0</v>
      </c>
      <c r="AG21" s="223"/>
      <c r="AH21" s="231">
        <v>680807.21</v>
      </c>
      <c r="AI21" s="233"/>
      <c r="AJ21" s="340">
        <f t="shared" si="21"/>
        <v>680807.21</v>
      </c>
      <c r="AK21" s="233">
        <v>300794.72000000003</v>
      </c>
      <c r="AL21" s="233"/>
      <c r="AM21" s="340">
        <f t="shared" si="22"/>
        <v>300794.72000000003</v>
      </c>
      <c r="AN21" s="340">
        <f t="shared" si="23"/>
        <v>981601.92999999993</v>
      </c>
      <c r="AO21" s="231">
        <v>11211.895548387965</v>
      </c>
      <c r="AP21" s="231"/>
      <c r="AQ21" s="231"/>
      <c r="AR21" s="231"/>
      <c r="AS21" s="635"/>
      <c r="AT21" s="222">
        <f t="shared" si="24"/>
        <v>992813.82554838795</v>
      </c>
      <c r="AU21" s="936">
        <f>AT21-AS21-'Schedule 3A_Income Statement'!CQ38</f>
        <v>0</v>
      </c>
      <c r="AV21" s="223"/>
      <c r="AW21" s="231">
        <v>784114.86000000034</v>
      </c>
      <c r="AX21" s="233"/>
      <c r="AY21" s="340">
        <f t="shared" si="25"/>
        <v>784114.86000000034</v>
      </c>
      <c r="AZ21" s="231">
        <v>240828.92999999996</v>
      </c>
      <c r="BA21" s="233"/>
      <c r="BB21" s="340">
        <f t="shared" si="26"/>
        <v>240828.92999999996</v>
      </c>
      <c r="BC21" s="340">
        <f t="shared" si="27"/>
        <v>1024943.7900000003</v>
      </c>
      <c r="BD21" s="231">
        <v>50050.571714428457</v>
      </c>
      <c r="BE21" s="231"/>
      <c r="BF21" s="231"/>
      <c r="BG21" s="231"/>
      <c r="BH21" s="635"/>
      <c r="BI21" s="222">
        <f t="shared" si="28"/>
        <v>1074994.3617144288</v>
      </c>
      <c r="BJ21" s="936">
        <f>BI21-BH21-'Schedule 3A_Income Statement'!CR38</f>
        <v>0</v>
      </c>
      <c r="BL21" s="340">
        <f t="shared" si="29"/>
        <v>2776334.0500000003</v>
      </c>
      <c r="BM21" s="340">
        <f t="shared" si="0"/>
        <v>0</v>
      </c>
      <c r="BN21" s="340">
        <f t="shared" si="1"/>
        <v>2776334.0500000003</v>
      </c>
      <c r="BO21" s="340">
        <f t="shared" si="2"/>
        <v>1070200.3700000001</v>
      </c>
      <c r="BP21" s="340">
        <f t="shared" si="3"/>
        <v>0</v>
      </c>
      <c r="BQ21" s="340">
        <f t="shared" si="4"/>
        <v>1070200.3700000001</v>
      </c>
      <c r="BR21" s="340">
        <f t="shared" si="5"/>
        <v>3846534.42</v>
      </c>
      <c r="BS21" s="340">
        <f t="shared" si="6"/>
        <v>64806.405507534597</v>
      </c>
      <c r="BT21" s="340">
        <f t="shared" si="7"/>
        <v>0</v>
      </c>
      <c r="BU21" s="340">
        <f t="shared" si="8"/>
        <v>0</v>
      </c>
      <c r="BV21" s="340">
        <f t="shared" si="9"/>
        <v>0</v>
      </c>
      <c r="BW21" s="340">
        <f t="shared" si="10"/>
        <v>0</v>
      </c>
      <c r="BX21" s="340">
        <f t="shared" si="11"/>
        <v>3911340.8255075351</v>
      </c>
      <c r="BY21" s="340">
        <f t="shared" si="12"/>
        <v>0</v>
      </c>
    </row>
    <row r="22" spans="1:77" s="329" customFormat="1">
      <c r="A22" s="166">
        <v>5</v>
      </c>
      <c r="B22" s="120" t="s">
        <v>202</v>
      </c>
      <c r="C22" s="679" t="s">
        <v>202</v>
      </c>
      <c r="D22" s="231">
        <v>5426442.9200000037</v>
      </c>
      <c r="E22" s="231"/>
      <c r="F22" s="340">
        <f t="shared" si="13"/>
        <v>5426442.9200000037</v>
      </c>
      <c r="G22" s="231">
        <v>3520538.2199999997</v>
      </c>
      <c r="H22" s="231"/>
      <c r="I22" s="340">
        <f t="shared" si="14"/>
        <v>3520538.2199999997</v>
      </c>
      <c r="J22" s="340">
        <f t="shared" si="15"/>
        <v>8946981.1400000043</v>
      </c>
      <c r="K22" s="231">
        <v>10578.20640404239</v>
      </c>
      <c r="L22" s="231"/>
      <c r="M22" s="231"/>
      <c r="N22" s="231"/>
      <c r="O22" s="635"/>
      <c r="P22" s="222">
        <f t="shared" si="16"/>
        <v>8957559.3464040458</v>
      </c>
      <c r="Q22" s="936">
        <f>P22-O22-'Schedule 3A_Income Statement'!CO39</f>
        <v>0</v>
      </c>
      <c r="R22" s="223"/>
      <c r="S22" s="231">
        <v>6475925.9299999978</v>
      </c>
      <c r="T22" s="231"/>
      <c r="U22" s="340">
        <f t="shared" si="17"/>
        <v>6475925.9299999978</v>
      </c>
      <c r="V22" s="231">
        <v>2846449.21</v>
      </c>
      <c r="W22" s="231"/>
      <c r="X22" s="340">
        <f t="shared" si="18"/>
        <v>2846449.21</v>
      </c>
      <c r="Y22" s="340">
        <f t="shared" si="19"/>
        <v>9322375.1399999969</v>
      </c>
      <c r="Z22" s="231">
        <v>24864.184097756293</v>
      </c>
      <c r="AA22" s="231"/>
      <c r="AB22" s="231"/>
      <c r="AC22" s="231"/>
      <c r="AD22" s="635"/>
      <c r="AE22" s="222">
        <f t="shared" si="20"/>
        <v>9347239.3240977526</v>
      </c>
      <c r="AF22" s="936">
        <f>AE22-AD22-'Schedule 3A_Income Statement'!CP39</f>
        <v>0</v>
      </c>
      <c r="AG22" s="223"/>
      <c r="AH22" s="231">
        <v>6532848.9400000051</v>
      </c>
      <c r="AI22" s="231"/>
      <c r="AJ22" s="340">
        <f t="shared" si="21"/>
        <v>6532848.9400000051</v>
      </c>
      <c r="AK22" s="231">
        <v>3277900.7499999991</v>
      </c>
      <c r="AL22" s="231"/>
      <c r="AM22" s="340">
        <f t="shared" si="22"/>
        <v>3277900.7499999991</v>
      </c>
      <c r="AN22" s="340">
        <f t="shared" si="23"/>
        <v>9810749.6900000051</v>
      </c>
      <c r="AO22" s="231">
        <v>112441.43105418254</v>
      </c>
      <c r="AP22" s="231"/>
      <c r="AQ22" s="231"/>
      <c r="AR22" s="231"/>
      <c r="AS22" s="635"/>
      <c r="AT22" s="222">
        <f t="shared" si="24"/>
        <v>9923191.1210541874</v>
      </c>
      <c r="AU22" s="936">
        <f>AT22-AS22-'Schedule 3A_Income Statement'!CQ39</f>
        <v>0</v>
      </c>
      <c r="AV22" s="223"/>
      <c r="AW22" s="231">
        <v>7177527.2400000002</v>
      </c>
      <c r="AX22" s="231"/>
      <c r="AY22" s="340">
        <f t="shared" si="25"/>
        <v>7177527.2400000002</v>
      </c>
      <c r="AZ22" s="231">
        <v>2951796.58</v>
      </c>
      <c r="BA22" s="231"/>
      <c r="BB22" s="340">
        <f t="shared" si="26"/>
        <v>2951796.58</v>
      </c>
      <c r="BC22" s="340">
        <f t="shared" si="27"/>
        <v>10129323.82</v>
      </c>
      <c r="BD22" s="231">
        <v>493534.84592056763</v>
      </c>
      <c r="BE22" s="231"/>
      <c r="BF22" s="231"/>
      <c r="BG22" s="231"/>
      <c r="BH22" s="635"/>
      <c r="BI22" s="222">
        <f t="shared" si="28"/>
        <v>10622858.665920569</v>
      </c>
      <c r="BJ22" s="936">
        <f>BI22-BH22-'Schedule 3A_Income Statement'!CR39</f>
        <v>0</v>
      </c>
      <c r="BL22" s="340">
        <f t="shared" si="29"/>
        <v>25612745.030000009</v>
      </c>
      <c r="BM22" s="340">
        <f t="shared" si="0"/>
        <v>0</v>
      </c>
      <c r="BN22" s="340">
        <f t="shared" si="1"/>
        <v>25612745.030000009</v>
      </c>
      <c r="BO22" s="340">
        <f t="shared" si="2"/>
        <v>12596684.76</v>
      </c>
      <c r="BP22" s="340">
        <f t="shared" si="3"/>
        <v>0</v>
      </c>
      <c r="BQ22" s="340">
        <f t="shared" si="4"/>
        <v>12596684.76</v>
      </c>
      <c r="BR22" s="340">
        <f t="shared" si="5"/>
        <v>38209429.790000007</v>
      </c>
      <c r="BS22" s="340">
        <f t="shared" si="6"/>
        <v>641418.66747654881</v>
      </c>
      <c r="BT22" s="340">
        <f t="shared" si="7"/>
        <v>0</v>
      </c>
      <c r="BU22" s="340">
        <f t="shared" si="8"/>
        <v>0</v>
      </c>
      <c r="BV22" s="340">
        <f t="shared" si="9"/>
        <v>0</v>
      </c>
      <c r="BW22" s="340">
        <f t="shared" si="10"/>
        <v>0</v>
      </c>
      <c r="BX22" s="340">
        <f t="shared" si="11"/>
        <v>38850848.457476556</v>
      </c>
      <c r="BY22" s="340">
        <f t="shared" si="12"/>
        <v>0</v>
      </c>
    </row>
    <row r="23" spans="1:77" s="329" customFormat="1">
      <c r="A23" s="166">
        <v>6</v>
      </c>
      <c r="B23" s="120" t="s">
        <v>203</v>
      </c>
      <c r="C23" s="679" t="s">
        <v>202</v>
      </c>
      <c r="D23" s="231">
        <v>0</v>
      </c>
      <c r="E23" s="231"/>
      <c r="F23" s="340">
        <f t="shared" si="13"/>
        <v>0</v>
      </c>
      <c r="G23" s="231">
        <v>318137.82</v>
      </c>
      <c r="H23" s="231"/>
      <c r="I23" s="340">
        <f t="shared" si="14"/>
        <v>318137.82</v>
      </c>
      <c r="J23" s="340">
        <f t="shared" si="15"/>
        <v>318137.82</v>
      </c>
      <c r="K23" s="231">
        <v>431.14850341352479</v>
      </c>
      <c r="L23" s="231"/>
      <c r="M23" s="231"/>
      <c r="N23" s="231"/>
      <c r="O23" s="635"/>
      <c r="P23" s="222">
        <f t="shared" si="16"/>
        <v>318568.96850341355</v>
      </c>
      <c r="Q23" s="936">
        <f>P23-O23-'Schedule 3A_Income Statement'!CO40</f>
        <v>0</v>
      </c>
      <c r="R23" s="223"/>
      <c r="S23" s="231">
        <v>0</v>
      </c>
      <c r="T23" s="231"/>
      <c r="U23" s="340">
        <f t="shared" si="17"/>
        <v>0</v>
      </c>
      <c r="V23" s="231">
        <v>380713.72000000003</v>
      </c>
      <c r="W23" s="231"/>
      <c r="X23" s="340">
        <f t="shared" si="18"/>
        <v>380713.72000000003</v>
      </c>
      <c r="Y23" s="340">
        <f t="shared" si="19"/>
        <v>380713.72000000003</v>
      </c>
      <c r="Z23" s="231">
        <v>1138.7903315909036</v>
      </c>
      <c r="AA23" s="231"/>
      <c r="AB23" s="231"/>
      <c r="AC23" s="231"/>
      <c r="AD23" s="635"/>
      <c r="AE23" s="222">
        <f t="shared" si="20"/>
        <v>381852.51033159095</v>
      </c>
      <c r="AF23" s="936">
        <f>AE23-AD23-'Schedule 3A_Income Statement'!CP40</f>
        <v>0</v>
      </c>
      <c r="AG23" s="223"/>
      <c r="AH23" s="231">
        <v>0</v>
      </c>
      <c r="AI23" s="231"/>
      <c r="AJ23" s="340">
        <f t="shared" si="21"/>
        <v>0</v>
      </c>
      <c r="AK23" s="231">
        <v>395655.32</v>
      </c>
      <c r="AL23" s="231"/>
      <c r="AM23" s="340">
        <f t="shared" si="22"/>
        <v>395655.32</v>
      </c>
      <c r="AN23" s="340">
        <f t="shared" si="23"/>
        <v>395655.32</v>
      </c>
      <c r="AO23" s="231">
        <v>4905.8651263488373</v>
      </c>
      <c r="AP23" s="231"/>
      <c r="AQ23" s="231"/>
      <c r="AR23" s="231"/>
      <c r="AS23" s="635"/>
      <c r="AT23" s="222">
        <f t="shared" si="24"/>
        <v>400561.18512634886</v>
      </c>
      <c r="AU23" s="936">
        <f>AT23-AS23-'Schedule 3A_Income Statement'!CQ40</f>
        <v>0</v>
      </c>
      <c r="AV23" s="223"/>
      <c r="AW23" s="231">
        <v>0</v>
      </c>
      <c r="AX23" s="231"/>
      <c r="AY23" s="340">
        <f t="shared" si="25"/>
        <v>0</v>
      </c>
      <c r="AZ23" s="231">
        <v>406651.64000000013</v>
      </c>
      <c r="BA23" s="231"/>
      <c r="BB23" s="340">
        <f t="shared" si="26"/>
        <v>406651.64000000013</v>
      </c>
      <c r="BC23" s="340">
        <f t="shared" si="27"/>
        <v>406651.64000000013</v>
      </c>
      <c r="BD23" s="231">
        <v>19256.325028699081</v>
      </c>
      <c r="BE23" s="231"/>
      <c r="BF23" s="231"/>
      <c r="BG23" s="231"/>
      <c r="BH23" s="635"/>
      <c r="BI23" s="222">
        <f t="shared" si="28"/>
        <v>425907.9650286992</v>
      </c>
      <c r="BJ23" s="936">
        <f>BI23-BH23-'Schedule 3A_Income Statement'!CR40</f>
        <v>0</v>
      </c>
      <c r="BL23" s="340">
        <f t="shared" si="29"/>
        <v>0</v>
      </c>
      <c r="BM23" s="340">
        <f t="shared" si="0"/>
        <v>0</v>
      </c>
      <c r="BN23" s="340">
        <f t="shared" si="1"/>
        <v>0</v>
      </c>
      <c r="BO23" s="340">
        <f t="shared" si="2"/>
        <v>1501158.5000000002</v>
      </c>
      <c r="BP23" s="340">
        <f t="shared" si="3"/>
        <v>0</v>
      </c>
      <c r="BQ23" s="340">
        <f t="shared" si="4"/>
        <v>1501158.5000000002</v>
      </c>
      <c r="BR23" s="340">
        <f t="shared" si="5"/>
        <v>1501158.5000000002</v>
      </c>
      <c r="BS23" s="340">
        <f t="shared" si="6"/>
        <v>25732.128990052348</v>
      </c>
      <c r="BT23" s="340">
        <f t="shared" si="7"/>
        <v>0</v>
      </c>
      <c r="BU23" s="340">
        <f t="shared" si="8"/>
        <v>0</v>
      </c>
      <c r="BV23" s="340">
        <f t="shared" si="9"/>
        <v>0</v>
      </c>
      <c r="BW23" s="340">
        <f t="shared" si="10"/>
        <v>0</v>
      </c>
      <c r="BX23" s="340">
        <f t="shared" si="11"/>
        <v>1526890.6289900525</v>
      </c>
      <c r="BY23" s="340">
        <f t="shared" si="12"/>
        <v>0</v>
      </c>
    </row>
    <row r="24" spans="1:77" s="329" customFormat="1">
      <c r="A24" s="938">
        <v>7</v>
      </c>
      <c r="B24" s="122" t="s">
        <v>204</v>
      </c>
      <c r="C24" s="937" t="s">
        <v>204</v>
      </c>
      <c r="D24" s="231">
        <v>2873.11</v>
      </c>
      <c r="E24" s="231"/>
      <c r="F24" s="340">
        <f t="shared" si="13"/>
        <v>2873.11</v>
      </c>
      <c r="G24" s="231">
        <v>3957052.52</v>
      </c>
      <c r="H24" s="231"/>
      <c r="I24" s="340">
        <f t="shared" si="14"/>
        <v>3957052.52</v>
      </c>
      <c r="J24" s="340">
        <f t="shared" si="15"/>
        <v>3959925.63</v>
      </c>
      <c r="K24" s="231">
        <v>3.8333549851454345</v>
      </c>
      <c r="L24" s="231"/>
      <c r="M24" s="231"/>
      <c r="N24" s="231"/>
      <c r="O24" s="635"/>
      <c r="P24" s="222">
        <f t="shared" si="16"/>
        <v>3959929.4633549852</v>
      </c>
      <c r="Q24" s="936">
        <f>P24-O24-'Schedule 3A_Income Statement'!CO41</f>
        <v>0</v>
      </c>
      <c r="R24" s="223"/>
      <c r="S24" s="231">
        <v>1055.8399999999999</v>
      </c>
      <c r="T24" s="231"/>
      <c r="U24" s="340">
        <f t="shared" si="17"/>
        <v>1055.8399999999999</v>
      </c>
      <c r="V24" s="231">
        <v>4451716.1399999997</v>
      </c>
      <c r="W24" s="231"/>
      <c r="X24" s="340">
        <f t="shared" si="18"/>
        <v>4451716.1399999997</v>
      </c>
      <c r="Y24" s="340">
        <f t="shared" si="19"/>
        <v>4452771.9799999995</v>
      </c>
      <c r="Z24" s="231">
        <v>3.4552255297259191</v>
      </c>
      <c r="AA24" s="231"/>
      <c r="AB24" s="231"/>
      <c r="AC24" s="231"/>
      <c r="AD24" s="635"/>
      <c r="AE24" s="222">
        <f t="shared" si="20"/>
        <v>4452775.4352255296</v>
      </c>
      <c r="AF24" s="936">
        <f>AE24-AD24-'Schedule 3A_Income Statement'!CP41</f>
        <v>0</v>
      </c>
      <c r="AG24" s="223"/>
      <c r="AH24" s="231">
        <v>3601.6499999999996</v>
      </c>
      <c r="AI24" s="231"/>
      <c r="AJ24" s="340">
        <f t="shared" si="21"/>
        <v>3601.6499999999996</v>
      </c>
      <c r="AK24" s="231">
        <v>4325915.8600000003</v>
      </c>
      <c r="AL24" s="231"/>
      <c r="AM24" s="340">
        <f t="shared" si="22"/>
        <v>4325915.8600000003</v>
      </c>
      <c r="AN24" s="340">
        <f t="shared" si="23"/>
        <v>4329517.5100000007</v>
      </c>
      <c r="AO24" s="231">
        <v>52.604810358741545</v>
      </c>
      <c r="AP24" s="231"/>
      <c r="AQ24" s="231"/>
      <c r="AR24" s="231"/>
      <c r="AS24" s="635"/>
      <c r="AT24" s="222">
        <f t="shared" si="24"/>
        <v>4329570.1148103597</v>
      </c>
      <c r="AU24" s="936">
        <f>AT24-AS24-'Schedule 3A_Income Statement'!CQ41</f>
        <v>0</v>
      </c>
      <c r="AV24" s="223"/>
      <c r="AW24" s="231">
        <v>1952.0400000000002</v>
      </c>
      <c r="AX24" s="231"/>
      <c r="AY24" s="340">
        <f t="shared" si="25"/>
        <v>1952.0400000000002</v>
      </c>
      <c r="AZ24" s="231">
        <v>4812777.88</v>
      </c>
      <c r="BA24" s="231"/>
      <c r="BB24" s="340">
        <f t="shared" si="26"/>
        <v>4812777.88</v>
      </c>
      <c r="BC24" s="340">
        <f t="shared" si="27"/>
        <v>4814729.92</v>
      </c>
      <c r="BD24" s="231">
        <v>112.82041556170789</v>
      </c>
      <c r="BE24" s="231"/>
      <c r="BF24" s="231"/>
      <c r="BG24" s="231"/>
      <c r="BH24" s="635"/>
      <c r="BI24" s="222">
        <f t="shared" si="28"/>
        <v>4814842.7404155619</v>
      </c>
      <c r="BJ24" s="936">
        <f>BI24-BH24-'Schedule 3A_Income Statement'!CR41</f>
        <v>0</v>
      </c>
      <c r="BL24" s="340">
        <f t="shared" si="29"/>
        <v>9482.64</v>
      </c>
      <c r="BM24" s="340">
        <f t="shared" si="0"/>
        <v>0</v>
      </c>
      <c r="BN24" s="340">
        <f t="shared" si="1"/>
        <v>9482.64</v>
      </c>
      <c r="BO24" s="340">
        <f t="shared" si="2"/>
        <v>17547462.399999999</v>
      </c>
      <c r="BP24" s="340">
        <f t="shared" si="3"/>
        <v>0</v>
      </c>
      <c r="BQ24" s="340">
        <f t="shared" si="4"/>
        <v>17547462.399999999</v>
      </c>
      <c r="BR24" s="340">
        <f t="shared" si="5"/>
        <v>17556945.039999999</v>
      </c>
      <c r="BS24" s="340">
        <f t="shared" si="6"/>
        <v>172.71380643532081</v>
      </c>
      <c r="BT24" s="340">
        <f t="shared" si="7"/>
        <v>0</v>
      </c>
      <c r="BU24" s="340">
        <f t="shared" si="8"/>
        <v>0</v>
      </c>
      <c r="BV24" s="340">
        <f t="shared" si="9"/>
        <v>0</v>
      </c>
      <c r="BW24" s="340">
        <f t="shared" si="10"/>
        <v>0</v>
      </c>
      <c r="BX24" s="340">
        <f t="shared" si="11"/>
        <v>17557117.753806435</v>
      </c>
      <c r="BY24" s="340">
        <f t="shared" si="12"/>
        <v>0</v>
      </c>
    </row>
    <row r="25" spans="1:77" s="329" customFormat="1">
      <c r="A25" s="939">
        <v>8</v>
      </c>
      <c r="B25" s="120" t="s">
        <v>205</v>
      </c>
      <c r="C25" s="679" t="s">
        <v>202</v>
      </c>
      <c r="D25" s="231">
        <v>144842.25000000006</v>
      </c>
      <c r="E25" s="231"/>
      <c r="F25" s="340">
        <f t="shared" si="13"/>
        <v>144842.25000000006</v>
      </c>
      <c r="G25" s="231">
        <v>299526.6100000001</v>
      </c>
      <c r="H25" s="231"/>
      <c r="I25" s="340">
        <f t="shared" si="14"/>
        <v>299526.6100000001</v>
      </c>
      <c r="J25" s="340">
        <f t="shared" si="15"/>
        <v>444368.86000000016</v>
      </c>
      <c r="K25" s="231">
        <v>560.92838665073623</v>
      </c>
      <c r="L25" s="231"/>
      <c r="M25" s="231"/>
      <c r="N25" s="231"/>
      <c r="O25" s="635"/>
      <c r="P25" s="222">
        <f t="shared" si="16"/>
        <v>444929.78838665091</v>
      </c>
      <c r="Q25" s="936">
        <f>P25-O25-'Schedule 3A_Income Statement'!CO42</f>
        <v>0</v>
      </c>
      <c r="R25" s="223"/>
      <c r="S25" s="231">
        <v>182651.3600000001</v>
      </c>
      <c r="T25" s="231"/>
      <c r="U25" s="340">
        <f t="shared" si="17"/>
        <v>182651.3600000001</v>
      </c>
      <c r="V25" s="231">
        <v>173222.77999999994</v>
      </c>
      <c r="W25" s="231"/>
      <c r="X25" s="340">
        <f t="shared" si="18"/>
        <v>173222.77999999994</v>
      </c>
      <c r="Y25" s="340">
        <f t="shared" si="19"/>
        <v>355874.14</v>
      </c>
      <c r="Z25" s="231">
        <v>979.28697868203312</v>
      </c>
      <c r="AA25" s="231"/>
      <c r="AB25" s="231"/>
      <c r="AC25" s="231"/>
      <c r="AD25" s="635"/>
      <c r="AE25" s="222">
        <f t="shared" si="20"/>
        <v>356853.42697868205</v>
      </c>
      <c r="AF25" s="936">
        <f>AE25-AD25-'Schedule 3A_Income Statement'!CP42</f>
        <v>0</v>
      </c>
      <c r="AG25" s="223"/>
      <c r="AH25" s="231">
        <v>193385.65000000002</v>
      </c>
      <c r="AI25" s="231"/>
      <c r="AJ25" s="340">
        <f t="shared" si="21"/>
        <v>193385.65000000002</v>
      </c>
      <c r="AK25" s="231">
        <v>187348.76999999996</v>
      </c>
      <c r="AL25" s="231"/>
      <c r="AM25" s="340">
        <f t="shared" si="22"/>
        <v>187348.76999999996</v>
      </c>
      <c r="AN25" s="340">
        <f t="shared" si="23"/>
        <v>380734.42</v>
      </c>
      <c r="AO25" s="231">
        <v>4448.3572744153589</v>
      </c>
      <c r="AP25" s="231"/>
      <c r="AQ25" s="231"/>
      <c r="AR25" s="231"/>
      <c r="AS25" s="635"/>
      <c r="AT25" s="222">
        <f t="shared" si="24"/>
        <v>385182.77727441536</v>
      </c>
      <c r="AU25" s="936">
        <f>AT25-AS25-'Schedule 3A_Income Statement'!CQ42</f>
        <v>0</v>
      </c>
      <c r="AV25" s="223"/>
      <c r="AW25" s="231">
        <v>205819.04000000012</v>
      </c>
      <c r="AX25" s="231"/>
      <c r="AY25" s="340">
        <f t="shared" si="25"/>
        <v>205819.04000000012</v>
      </c>
      <c r="AZ25" s="231">
        <v>198943.84</v>
      </c>
      <c r="BA25" s="231"/>
      <c r="BB25" s="340">
        <f t="shared" si="26"/>
        <v>198943.84</v>
      </c>
      <c r="BC25" s="340">
        <f t="shared" si="27"/>
        <v>404762.88000000012</v>
      </c>
      <c r="BD25" s="231">
        <v>19564.822420701508</v>
      </c>
      <c r="BE25" s="231"/>
      <c r="BF25" s="231"/>
      <c r="BG25" s="231"/>
      <c r="BH25" s="635"/>
      <c r="BI25" s="222">
        <f t="shared" si="28"/>
        <v>424327.70242070162</v>
      </c>
      <c r="BJ25" s="936">
        <f>BI25-BH25-'Schedule 3A_Income Statement'!CR42</f>
        <v>0</v>
      </c>
      <c r="BL25" s="340">
        <f t="shared" si="29"/>
        <v>726698.30000000028</v>
      </c>
      <c r="BM25" s="340">
        <f t="shared" si="0"/>
        <v>0</v>
      </c>
      <c r="BN25" s="340">
        <f t="shared" si="1"/>
        <v>726698.30000000028</v>
      </c>
      <c r="BO25" s="340">
        <f t="shared" si="2"/>
        <v>859041.99999999988</v>
      </c>
      <c r="BP25" s="340">
        <f t="shared" si="3"/>
        <v>0</v>
      </c>
      <c r="BQ25" s="340">
        <f t="shared" si="4"/>
        <v>859041.99999999988</v>
      </c>
      <c r="BR25" s="340">
        <f t="shared" si="5"/>
        <v>1585740.3000000003</v>
      </c>
      <c r="BS25" s="340">
        <f t="shared" si="6"/>
        <v>25553.395060449635</v>
      </c>
      <c r="BT25" s="340">
        <f t="shared" si="7"/>
        <v>0</v>
      </c>
      <c r="BU25" s="340">
        <f t="shared" si="8"/>
        <v>0</v>
      </c>
      <c r="BV25" s="340">
        <f t="shared" si="9"/>
        <v>0</v>
      </c>
      <c r="BW25" s="340">
        <f t="shared" si="10"/>
        <v>0</v>
      </c>
      <c r="BX25" s="340">
        <f t="shared" si="11"/>
        <v>1611293.6950604501</v>
      </c>
      <c r="BY25" s="340">
        <f t="shared" si="12"/>
        <v>0</v>
      </c>
    </row>
    <row r="26" spans="1:77" s="329" customFormat="1">
      <c r="A26" s="938">
        <v>9</v>
      </c>
      <c r="B26" s="603" t="s">
        <v>206</v>
      </c>
      <c r="C26" s="937" t="s">
        <v>383</v>
      </c>
      <c r="D26" s="231">
        <f>'Schedule 3A_Income Statement'!CJ43</f>
        <v>10473766</v>
      </c>
      <c r="E26" s="231"/>
      <c r="F26" s="340">
        <f t="shared" si="13"/>
        <v>10473766</v>
      </c>
      <c r="G26" s="231">
        <f>'Schedule 3A_Income Statement'!CE43</f>
        <v>0</v>
      </c>
      <c r="H26" s="231"/>
      <c r="I26" s="340">
        <f t="shared" si="14"/>
        <v>0</v>
      </c>
      <c r="J26" s="340">
        <f t="shared" si="15"/>
        <v>10473766</v>
      </c>
      <c r="K26" s="231">
        <f>'Schedule 3A_Income Statement'!CO43-J26</f>
        <v>0</v>
      </c>
      <c r="L26" s="231"/>
      <c r="M26" s="231"/>
      <c r="N26" s="231"/>
      <c r="O26" s="635"/>
      <c r="P26" s="222">
        <f t="shared" si="16"/>
        <v>10473766</v>
      </c>
      <c r="Q26" s="936">
        <f>P26-O26-'Schedule 3A_Income Statement'!CO43</f>
        <v>0</v>
      </c>
      <c r="R26" s="223"/>
      <c r="S26" s="231">
        <f>'Schedule 3A_Income Statement'!CK43</f>
        <v>10335638</v>
      </c>
      <c r="T26" s="231"/>
      <c r="U26" s="340">
        <f t="shared" si="17"/>
        <v>10335638</v>
      </c>
      <c r="V26" s="231">
        <f>'Schedule 3A_Income Statement'!CF43</f>
        <v>0</v>
      </c>
      <c r="W26" s="231"/>
      <c r="X26" s="340">
        <f t="shared" si="18"/>
        <v>0</v>
      </c>
      <c r="Y26" s="340">
        <f t="shared" si="19"/>
        <v>10335638</v>
      </c>
      <c r="Z26" s="231">
        <f>'Schedule 3A_Income Statement'!CP43-Y26</f>
        <v>0</v>
      </c>
      <c r="AA26" s="231"/>
      <c r="AB26" s="231"/>
      <c r="AC26" s="231"/>
      <c r="AD26" s="635"/>
      <c r="AE26" s="222">
        <f t="shared" si="20"/>
        <v>10335638</v>
      </c>
      <c r="AF26" s="936">
        <f>AE26-AD26-'Schedule 3A_Income Statement'!CP43</f>
        <v>0</v>
      </c>
      <c r="AG26" s="223"/>
      <c r="AH26" s="231">
        <f>'Schedule 3A_Income Statement'!CL43</f>
        <v>11090064</v>
      </c>
      <c r="AI26" s="231"/>
      <c r="AJ26" s="340">
        <f t="shared" si="21"/>
        <v>11090064</v>
      </c>
      <c r="AK26" s="231">
        <f>'Schedule 3A_Income Statement'!CG43</f>
        <v>0</v>
      </c>
      <c r="AL26" s="231"/>
      <c r="AM26" s="340">
        <f t="shared" si="22"/>
        <v>0</v>
      </c>
      <c r="AN26" s="340">
        <f t="shared" si="23"/>
        <v>11090064</v>
      </c>
      <c r="AO26" s="231"/>
      <c r="AP26" s="231"/>
      <c r="AQ26" s="231"/>
      <c r="AR26" s="231"/>
      <c r="AS26" s="635"/>
      <c r="AT26" s="222">
        <f t="shared" si="24"/>
        <v>11090064</v>
      </c>
      <c r="AU26" s="936">
        <f>AT26-AS26-'Schedule 3A_Income Statement'!CQ43</f>
        <v>0</v>
      </c>
      <c r="AV26" s="223"/>
      <c r="AW26" s="231">
        <f>'Schedule 3A_Income Statement'!CM43</f>
        <v>10929840</v>
      </c>
      <c r="AX26" s="231"/>
      <c r="AY26" s="340">
        <f t="shared" si="25"/>
        <v>10929840</v>
      </c>
      <c r="AZ26" s="231">
        <f>'Schedule 3A_Income Statement'!CH43</f>
        <v>0</v>
      </c>
      <c r="BA26" s="231"/>
      <c r="BB26" s="340">
        <f t="shared" si="26"/>
        <v>0</v>
      </c>
      <c r="BC26" s="340">
        <f t="shared" si="27"/>
        <v>10929840</v>
      </c>
      <c r="BD26" s="231"/>
      <c r="BE26" s="231"/>
      <c r="BF26" s="231"/>
      <c r="BG26" s="231"/>
      <c r="BH26" s="635"/>
      <c r="BI26" s="222">
        <f t="shared" si="28"/>
        <v>10929840</v>
      </c>
      <c r="BJ26" s="936">
        <f>BI26-BH26-'Schedule 3A_Income Statement'!CR43</f>
        <v>0</v>
      </c>
      <c r="BL26" s="340">
        <f t="shared" si="29"/>
        <v>42829308</v>
      </c>
      <c r="BM26" s="340">
        <f t="shared" si="0"/>
        <v>0</v>
      </c>
      <c r="BN26" s="340">
        <f t="shared" si="1"/>
        <v>42829308</v>
      </c>
      <c r="BO26" s="340">
        <f t="shared" si="2"/>
        <v>0</v>
      </c>
      <c r="BP26" s="340">
        <f t="shared" si="3"/>
        <v>0</v>
      </c>
      <c r="BQ26" s="340">
        <f t="shared" si="4"/>
        <v>0</v>
      </c>
      <c r="BR26" s="340">
        <f t="shared" si="5"/>
        <v>42829308</v>
      </c>
      <c r="BS26" s="340">
        <f t="shared" si="6"/>
        <v>0</v>
      </c>
      <c r="BT26" s="340">
        <f t="shared" si="7"/>
        <v>0</v>
      </c>
      <c r="BU26" s="340">
        <f t="shared" si="8"/>
        <v>0</v>
      </c>
      <c r="BV26" s="340">
        <f t="shared" si="9"/>
        <v>0</v>
      </c>
      <c r="BW26" s="340">
        <f t="shared" si="10"/>
        <v>0</v>
      </c>
      <c r="BX26" s="340">
        <f t="shared" si="11"/>
        <v>42829308</v>
      </c>
      <c r="BY26" s="340">
        <f t="shared" si="12"/>
        <v>0</v>
      </c>
    </row>
    <row r="27" spans="1:77" s="329" customFormat="1">
      <c r="A27" s="939" t="s">
        <v>449</v>
      </c>
      <c r="B27" s="603" t="s">
        <v>207</v>
      </c>
      <c r="C27" s="679" t="s">
        <v>383</v>
      </c>
      <c r="D27" s="231">
        <f>'Schedule 3A_Income Statement'!CJ44</f>
        <v>7554214.9893909749</v>
      </c>
      <c r="E27" s="231"/>
      <c r="F27" s="340">
        <f t="shared" si="13"/>
        <v>7554214.9893909749</v>
      </c>
      <c r="G27" s="231">
        <f>'Schedule 3A_Income Statement'!CE44</f>
        <v>2554401.3728204342</v>
      </c>
      <c r="H27" s="231"/>
      <c r="I27" s="340">
        <f t="shared" si="14"/>
        <v>2554401.3728204342</v>
      </c>
      <c r="J27" s="340">
        <f t="shared" si="15"/>
        <v>10108616.36221141</v>
      </c>
      <c r="K27" s="231">
        <f>'Schedule 3A_Income Statement'!CO44-J27</f>
        <v>0</v>
      </c>
      <c r="L27" s="231"/>
      <c r="M27" s="231"/>
      <c r="N27" s="231"/>
      <c r="O27" s="635"/>
      <c r="P27" s="222">
        <f t="shared" si="16"/>
        <v>10108616.36221141</v>
      </c>
      <c r="Q27" s="936">
        <f>P27-O27-'Schedule 3A_Income Statement'!CO44</f>
        <v>0</v>
      </c>
      <c r="R27" s="223"/>
      <c r="S27" s="231">
        <f>'Schedule 3A_Income Statement'!CK44</f>
        <v>8380722.1224839734</v>
      </c>
      <c r="T27" s="231"/>
      <c r="U27" s="340">
        <f t="shared" si="17"/>
        <v>8380722.1224839734</v>
      </c>
      <c r="V27" s="231">
        <f>'Schedule 3A_Income Statement'!CF44</f>
        <v>3096588.4085048279</v>
      </c>
      <c r="W27" s="231"/>
      <c r="X27" s="340">
        <f t="shared" si="18"/>
        <v>3096588.4085048279</v>
      </c>
      <c r="Y27" s="340">
        <f t="shared" si="19"/>
        <v>11477310.530988801</v>
      </c>
      <c r="Z27" s="231">
        <f>'Schedule 3A_Income Statement'!CP44-Y27</f>
        <v>0</v>
      </c>
      <c r="AA27" s="231"/>
      <c r="AB27" s="231"/>
      <c r="AC27" s="231"/>
      <c r="AD27" s="635"/>
      <c r="AE27" s="222">
        <f t="shared" si="20"/>
        <v>11477310.530988801</v>
      </c>
      <c r="AF27" s="936">
        <f>AE27-AD27-'Schedule 3A_Income Statement'!CP44</f>
        <v>0</v>
      </c>
      <c r="AG27" s="223"/>
      <c r="AH27" s="231">
        <f>'Schedule 3A_Income Statement'!CL44</f>
        <v>9173296.6986119319</v>
      </c>
      <c r="AI27" s="231"/>
      <c r="AJ27" s="340">
        <f t="shared" si="21"/>
        <v>9173296.6986119319</v>
      </c>
      <c r="AK27" s="231">
        <f>'Schedule 3A_Income Statement'!CG44</f>
        <v>3262344.8950992338</v>
      </c>
      <c r="AL27" s="231"/>
      <c r="AM27" s="340">
        <f t="shared" si="22"/>
        <v>3262344.8950992338</v>
      </c>
      <c r="AN27" s="340">
        <f t="shared" si="23"/>
        <v>12435641.593711166</v>
      </c>
      <c r="AO27" s="231"/>
      <c r="AP27" s="231"/>
      <c r="AQ27" s="231"/>
      <c r="AR27" s="231"/>
      <c r="AS27" s="635"/>
      <c r="AT27" s="222">
        <f t="shared" si="24"/>
        <v>12435641.593711166</v>
      </c>
      <c r="AU27" s="936">
        <f>AT27-AS27-'Schedule 3A_Income Statement'!CQ44</f>
        <v>0</v>
      </c>
      <c r="AV27" s="223"/>
      <c r="AW27" s="231">
        <f>'Schedule 3A_Income Statement'!CM44</f>
        <v>10321792.468789255</v>
      </c>
      <c r="AX27" s="231"/>
      <c r="AY27" s="340">
        <f t="shared" si="25"/>
        <v>10321792.468789255</v>
      </c>
      <c r="AZ27" s="231">
        <f>'Schedule 3A_Income Statement'!CH44</f>
        <v>3483915.5469215964</v>
      </c>
      <c r="BA27" s="231"/>
      <c r="BB27" s="340">
        <f t="shared" si="26"/>
        <v>3483915.5469215964</v>
      </c>
      <c r="BC27" s="340">
        <f t="shared" si="27"/>
        <v>13805708.015710851</v>
      </c>
      <c r="BD27" s="231"/>
      <c r="BE27" s="231"/>
      <c r="BF27" s="231"/>
      <c r="BG27" s="231"/>
      <c r="BH27" s="635"/>
      <c r="BI27" s="222">
        <f t="shared" si="28"/>
        <v>13805708.015710851</v>
      </c>
      <c r="BJ27" s="936">
        <f>BI27-BH27-'Schedule 3A_Income Statement'!CR44</f>
        <v>0</v>
      </c>
      <c r="BL27" s="340">
        <f t="shared" si="29"/>
        <v>35430026.27927614</v>
      </c>
      <c r="BM27" s="340">
        <f t="shared" si="0"/>
        <v>0</v>
      </c>
      <c r="BN27" s="340">
        <f t="shared" si="1"/>
        <v>35430026.27927614</v>
      </c>
      <c r="BO27" s="340">
        <f t="shared" si="2"/>
        <v>12397250.223346092</v>
      </c>
      <c r="BP27" s="340">
        <f t="shared" si="3"/>
        <v>0</v>
      </c>
      <c r="BQ27" s="340">
        <f t="shared" si="4"/>
        <v>12397250.223346092</v>
      </c>
      <c r="BR27" s="340">
        <f t="shared" si="5"/>
        <v>47827276.502622232</v>
      </c>
      <c r="BS27" s="340">
        <f t="shared" si="6"/>
        <v>0</v>
      </c>
      <c r="BT27" s="340">
        <f t="shared" si="7"/>
        <v>0</v>
      </c>
      <c r="BU27" s="340">
        <f t="shared" si="8"/>
        <v>0</v>
      </c>
      <c r="BV27" s="340">
        <f t="shared" si="9"/>
        <v>0</v>
      </c>
      <c r="BW27" s="340">
        <f t="shared" si="10"/>
        <v>0</v>
      </c>
      <c r="BX27" s="340">
        <f t="shared" si="11"/>
        <v>47827276.502622232</v>
      </c>
      <c r="BY27" s="340">
        <f t="shared" si="12"/>
        <v>0</v>
      </c>
    </row>
    <row r="28" spans="1:77" s="329" customFormat="1">
      <c r="A28" s="939" t="s">
        <v>451</v>
      </c>
      <c r="B28" s="601" t="s">
        <v>209</v>
      </c>
      <c r="C28" s="679" t="s">
        <v>1385</v>
      </c>
      <c r="D28" s="231">
        <f>'Schedule 3A_Income Statement'!CJ45</f>
        <v>2157867.2898761644</v>
      </c>
      <c r="E28" s="231"/>
      <c r="F28" s="340">
        <f t="shared" si="13"/>
        <v>2157867.2898761644</v>
      </c>
      <c r="G28" s="231">
        <f>'Schedule 3A_Income Statement'!CE45</f>
        <v>1862827.4515765614</v>
      </c>
      <c r="H28" s="231"/>
      <c r="I28" s="340">
        <f t="shared" si="14"/>
        <v>1862827.4515765614</v>
      </c>
      <c r="J28" s="340">
        <f t="shared" si="15"/>
        <v>4020694.7414527256</v>
      </c>
      <c r="K28" s="231">
        <f>'Schedule 3A_Income Statement'!CO45-J28</f>
        <v>0</v>
      </c>
      <c r="L28" s="231"/>
      <c r="M28" s="231"/>
      <c r="N28" s="231"/>
      <c r="O28" s="635"/>
      <c r="P28" s="222">
        <f t="shared" si="16"/>
        <v>4020694.7414527256</v>
      </c>
      <c r="Q28" s="936">
        <f>P28-O28-'Schedule 3A_Income Statement'!CO45</f>
        <v>0</v>
      </c>
      <c r="R28" s="223"/>
      <c r="S28" s="231">
        <f>'Schedule 3A_Income Statement'!CK45</f>
        <v>2984374.4229691629</v>
      </c>
      <c r="T28" s="231"/>
      <c r="U28" s="340">
        <f t="shared" si="17"/>
        <v>2984374.4229691629</v>
      </c>
      <c r="V28" s="231">
        <f>'Schedule 3A_Income Statement'!CF45</f>
        <v>2401552.5821313183</v>
      </c>
      <c r="W28" s="231"/>
      <c r="X28" s="340">
        <f t="shared" si="18"/>
        <v>2401552.5821313183</v>
      </c>
      <c r="Y28" s="340">
        <f t="shared" si="19"/>
        <v>5385927.0051004812</v>
      </c>
      <c r="Z28" s="231">
        <f>'Schedule 3A_Income Statement'!CP45-Y28</f>
        <v>0</v>
      </c>
      <c r="AA28" s="231"/>
      <c r="AB28" s="231"/>
      <c r="AC28" s="231"/>
      <c r="AD28" s="635"/>
      <c r="AE28" s="222">
        <f t="shared" si="20"/>
        <v>5385927.0051004812</v>
      </c>
      <c r="AF28" s="936">
        <f>AE28-AD28-'Schedule 3A_Income Statement'!CP45</f>
        <v>0</v>
      </c>
      <c r="AG28" s="223"/>
      <c r="AH28" s="231">
        <f>'Schedule 3A_Income Statement'!CL45</f>
        <v>3776948.9990971098</v>
      </c>
      <c r="AI28" s="231"/>
      <c r="AJ28" s="340">
        <f t="shared" si="21"/>
        <v>3776948.9990971098</v>
      </c>
      <c r="AK28" s="231">
        <f>'Schedule 3A_Income Statement'!CG45</f>
        <v>2582568.216683358</v>
      </c>
      <c r="AL28" s="231"/>
      <c r="AM28" s="340">
        <f t="shared" si="22"/>
        <v>2582568.216683358</v>
      </c>
      <c r="AN28" s="340">
        <f t="shared" si="23"/>
        <v>6359517.2157804677</v>
      </c>
      <c r="AO28" s="231"/>
      <c r="AP28" s="231"/>
      <c r="AQ28" s="231"/>
      <c r="AR28" s="231"/>
      <c r="AS28" s="635"/>
      <c r="AT28" s="222">
        <f t="shared" si="24"/>
        <v>6359517.2157804677</v>
      </c>
      <c r="AU28" s="936">
        <f>AT28-AS28-'Schedule 3A_Income Statement'!CQ45</f>
        <v>0</v>
      </c>
      <c r="AV28" s="223"/>
      <c r="AW28" s="231">
        <f>'Schedule 3A_Income Statement'!CM45</f>
        <v>4925444.7692743996</v>
      </c>
      <c r="AX28" s="231"/>
      <c r="AY28" s="340">
        <f t="shared" si="25"/>
        <v>4925444.7692743996</v>
      </c>
      <c r="AZ28" s="231">
        <f>'Schedule 3A_Income Statement'!CH45</f>
        <v>2805215.9988205326</v>
      </c>
      <c r="BA28" s="231"/>
      <c r="BB28" s="340">
        <f t="shared" si="26"/>
        <v>2805215.9988205326</v>
      </c>
      <c r="BC28" s="340">
        <f t="shared" si="27"/>
        <v>7730660.7680949327</v>
      </c>
      <c r="BD28" s="231"/>
      <c r="BE28" s="231"/>
      <c r="BF28" s="231"/>
      <c r="BG28" s="231"/>
      <c r="BH28" s="635"/>
      <c r="BI28" s="222">
        <f t="shared" si="28"/>
        <v>7730660.7680949327</v>
      </c>
      <c r="BJ28" s="936">
        <f>BI28-BH28-'Schedule 3A_Income Statement'!CR45</f>
        <v>0</v>
      </c>
      <c r="BL28" s="340">
        <f t="shared" si="29"/>
        <v>13844635.481216837</v>
      </c>
      <c r="BM28" s="340">
        <f t="shared" si="0"/>
        <v>0</v>
      </c>
      <c r="BN28" s="340">
        <f t="shared" si="1"/>
        <v>13844635.481216837</v>
      </c>
      <c r="BO28" s="340">
        <f t="shared" si="2"/>
        <v>9652164.2492117696</v>
      </c>
      <c r="BP28" s="340">
        <f t="shared" si="3"/>
        <v>0</v>
      </c>
      <c r="BQ28" s="340">
        <f t="shared" si="4"/>
        <v>9652164.2492117696</v>
      </c>
      <c r="BR28" s="340">
        <f t="shared" si="5"/>
        <v>23496799.730428606</v>
      </c>
      <c r="BS28" s="340">
        <f t="shared" si="6"/>
        <v>0</v>
      </c>
      <c r="BT28" s="340">
        <f t="shared" si="7"/>
        <v>0</v>
      </c>
      <c r="BU28" s="340">
        <f t="shared" si="8"/>
        <v>0</v>
      </c>
      <c r="BV28" s="340">
        <f t="shared" si="9"/>
        <v>0</v>
      </c>
      <c r="BW28" s="340">
        <f t="shared" si="10"/>
        <v>0</v>
      </c>
      <c r="BX28" s="340">
        <f t="shared" si="11"/>
        <v>23496799.730428606</v>
      </c>
      <c r="BY28" s="340">
        <f t="shared" si="12"/>
        <v>0</v>
      </c>
    </row>
    <row r="29" spans="1:77" s="329" customFormat="1">
      <c r="A29" s="939" t="s">
        <v>453</v>
      </c>
      <c r="B29" s="601" t="s">
        <v>211</v>
      </c>
      <c r="C29" s="679" t="s">
        <v>383</v>
      </c>
      <c r="D29" s="231">
        <f>'Schedule 3A_Income Statement'!CJ46</f>
        <v>536556.15999999887</v>
      </c>
      <c r="E29" s="231"/>
      <c r="F29" s="340">
        <f t="shared" si="13"/>
        <v>536556.15999999887</v>
      </c>
      <c r="G29" s="231">
        <f>'Schedule 3A_Income Statement'!CE46</f>
        <v>56234.130000000005</v>
      </c>
      <c r="H29" s="231"/>
      <c r="I29" s="340">
        <f t="shared" si="14"/>
        <v>56234.130000000005</v>
      </c>
      <c r="J29" s="340">
        <f t="shared" si="15"/>
        <v>592790.28999999887</v>
      </c>
      <c r="K29" s="231">
        <f>'Schedule 3A_Income Statement'!CO46-J29</f>
        <v>0</v>
      </c>
      <c r="L29" s="231"/>
      <c r="M29" s="231"/>
      <c r="N29" s="231"/>
      <c r="O29" s="635"/>
      <c r="P29" s="222">
        <f t="shared" si="16"/>
        <v>592790.28999999887</v>
      </c>
      <c r="Q29" s="936">
        <f>P29-O29-'Schedule 3A_Income Statement'!CO46</f>
        <v>0</v>
      </c>
      <c r="R29" s="223"/>
      <c r="S29" s="231">
        <f>'Schedule 3A_Income Statement'!CK46</f>
        <v>530495.43999999994</v>
      </c>
      <c r="T29" s="231"/>
      <c r="U29" s="340">
        <f t="shared" si="17"/>
        <v>530495.43999999994</v>
      </c>
      <c r="V29" s="231">
        <f>'Schedule 3A_Income Statement'!CF46</f>
        <v>48526.12</v>
      </c>
      <c r="W29" s="231"/>
      <c r="X29" s="340">
        <f t="shared" si="18"/>
        <v>48526.12</v>
      </c>
      <c r="Y29" s="340">
        <f t="shared" si="19"/>
        <v>579021.55999999994</v>
      </c>
      <c r="Z29" s="231">
        <f>'Schedule 3A_Income Statement'!CP46-Y29</f>
        <v>0</v>
      </c>
      <c r="AA29" s="231"/>
      <c r="AB29" s="231"/>
      <c r="AC29" s="231"/>
      <c r="AD29" s="635"/>
      <c r="AE29" s="222">
        <f t="shared" si="20"/>
        <v>579021.55999999994</v>
      </c>
      <c r="AF29" s="936">
        <f>AE29-AD29-'Schedule 3A_Income Statement'!CP46</f>
        <v>0</v>
      </c>
      <c r="AG29" s="223"/>
      <c r="AH29" s="231">
        <f>'Schedule 3A_Income Statement'!CL46</f>
        <v>822429.62000000314</v>
      </c>
      <c r="AI29" s="231"/>
      <c r="AJ29" s="340">
        <f t="shared" si="21"/>
        <v>822429.62000000314</v>
      </c>
      <c r="AK29" s="231">
        <f>'Schedule 3A_Income Statement'!CG46</f>
        <v>129586.76999999999</v>
      </c>
      <c r="AL29" s="231"/>
      <c r="AM29" s="340">
        <f t="shared" si="22"/>
        <v>129586.76999999999</v>
      </c>
      <c r="AN29" s="340">
        <f t="shared" si="23"/>
        <v>952016.39000000316</v>
      </c>
      <c r="AO29" s="231"/>
      <c r="AP29" s="231"/>
      <c r="AQ29" s="231"/>
      <c r="AR29" s="231"/>
      <c r="AS29" s="635"/>
      <c r="AT29" s="222">
        <f t="shared" si="24"/>
        <v>952016.39000000316</v>
      </c>
      <c r="AU29" s="936">
        <f>AT29-AS29-'Schedule 3A_Income Statement'!CQ46</f>
        <v>0</v>
      </c>
      <c r="AV29" s="223"/>
      <c r="AW29" s="231">
        <f>'Schedule 3A_Income Statement'!CM46</f>
        <v>902686.53999999806</v>
      </c>
      <c r="AX29" s="231"/>
      <c r="AY29" s="340">
        <f t="shared" si="25"/>
        <v>902686.53999999806</v>
      </c>
      <c r="AZ29" s="231">
        <f>'Schedule 3A_Income Statement'!CH46</f>
        <v>144172.87</v>
      </c>
      <c r="BA29" s="231"/>
      <c r="BB29" s="340">
        <f t="shared" si="26"/>
        <v>144172.87</v>
      </c>
      <c r="BC29" s="340">
        <f t="shared" si="27"/>
        <v>1046859.4099999981</v>
      </c>
      <c r="BD29" s="231"/>
      <c r="BE29" s="231"/>
      <c r="BF29" s="231"/>
      <c r="BG29" s="231"/>
      <c r="BH29" s="635"/>
      <c r="BI29" s="222">
        <f t="shared" si="28"/>
        <v>1046859.4099999981</v>
      </c>
      <c r="BJ29" s="936">
        <f>BI29-BH29-'Schedule 3A_Income Statement'!CR46</f>
        <v>0</v>
      </c>
      <c r="BL29" s="340">
        <f t="shared" si="29"/>
        <v>2792167.76</v>
      </c>
      <c r="BM29" s="340">
        <f t="shared" si="0"/>
        <v>0</v>
      </c>
      <c r="BN29" s="340">
        <f t="shared" si="1"/>
        <v>2792167.76</v>
      </c>
      <c r="BO29" s="340">
        <f t="shared" si="2"/>
        <v>378519.89</v>
      </c>
      <c r="BP29" s="340">
        <f t="shared" si="3"/>
        <v>0</v>
      </c>
      <c r="BQ29" s="340">
        <f t="shared" si="4"/>
        <v>378519.89</v>
      </c>
      <c r="BR29" s="340">
        <f t="shared" si="5"/>
        <v>3170687.6500000004</v>
      </c>
      <c r="BS29" s="340">
        <f t="shared" si="6"/>
        <v>0</v>
      </c>
      <c r="BT29" s="340">
        <f t="shared" si="7"/>
        <v>0</v>
      </c>
      <c r="BU29" s="340">
        <f t="shared" si="8"/>
        <v>0</v>
      </c>
      <c r="BV29" s="340">
        <f t="shared" si="9"/>
        <v>0</v>
      </c>
      <c r="BW29" s="340">
        <f t="shared" si="10"/>
        <v>0</v>
      </c>
      <c r="BX29" s="340">
        <f t="shared" si="11"/>
        <v>3170687.6500000004</v>
      </c>
      <c r="BY29" s="340">
        <f t="shared" si="12"/>
        <v>0</v>
      </c>
    </row>
    <row r="30" spans="1:77" s="329" customFormat="1">
      <c r="A30" s="939" t="s">
        <v>455</v>
      </c>
      <c r="B30" s="601" t="s">
        <v>212</v>
      </c>
      <c r="C30" s="679" t="s">
        <v>1385</v>
      </c>
      <c r="D30" s="231">
        <f>'Schedule 3A_Income Statement'!CJ47</f>
        <v>356773.17851048533</v>
      </c>
      <c r="E30" s="231"/>
      <c r="F30" s="340">
        <f t="shared" si="13"/>
        <v>356773.17851048533</v>
      </c>
      <c r="G30" s="231">
        <f>'Schedule 3A_Income Statement'!CE47</f>
        <v>41009.348794016041</v>
      </c>
      <c r="H30" s="231"/>
      <c r="I30" s="340">
        <f t="shared" si="14"/>
        <v>41009.348794016041</v>
      </c>
      <c r="J30" s="340">
        <f t="shared" si="15"/>
        <v>397782.52730450139</v>
      </c>
      <c r="K30" s="231">
        <f>'Schedule 3A_Income Statement'!CO47-J30</f>
        <v>0</v>
      </c>
      <c r="L30" s="231"/>
      <c r="M30" s="231"/>
      <c r="N30" s="231"/>
      <c r="O30" s="635"/>
      <c r="P30" s="222">
        <f t="shared" si="16"/>
        <v>397782.52730450139</v>
      </c>
      <c r="Q30" s="936">
        <f>P30-O30-'Schedule 3A_Income Statement'!CO47</f>
        <v>0</v>
      </c>
      <c r="R30" s="223"/>
      <c r="S30" s="231">
        <f>'Schedule 3A_Income Statement'!CK47</f>
        <v>350712.458510486</v>
      </c>
      <c r="T30" s="231"/>
      <c r="U30" s="340">
        <f t="shared" si="17"/>
        <v>350712.458510486</v>
      </c>
      <c r="V30" s="231">
        <f>'Schedule 3A_Income Statement'!CF47</f>
        <v>36763.243923655922</v>
      </c>
      <c r="W30" s="231"/>
      <c r="X30" s="340">
        <f t="shared" si="18"/>
        <v>36763.243923655922</v>
      </c>
      <c r="Y30" s="340">
        <f t="shared" si="19"/>
        <v>387475.70243414195</v>
      </c>
      <c r="Z30" s="231">
        <f>'Schedule 3A_Income Statement'!CP47-Y30</f>
        <v>0</v>
      </c>
      <c r="AA30" s="231"/>
      <c r="AB30" s="231"/>
      <c r="AC30" s="231"/>
      <c r="AD30" s="635"/>
      <c r="AE30" s="222">
        <f t="shared" si="20"/>
        <v>387475.70243414195</v>
      </c>
      <c r="AF30" s="936">
        <f>AE30-AD30-'Schedule 3A_Income Statement'!CP47</f>
        <v>0</v>
      </c>
      <c r="AG30" s="223"/>
      <c r="AH30" s="231">
        <f>'Schedule 3A_Income Statement'!CL47</f>
        <v>642646.6385104903</v>
      </c>
      <c r="AI30" s="231"/>
      <c r="AJ30" s="340">
        <f t="shared" si="21"/>
        <v>642646.6385104903</v>
      </c>
      <c r="AK30" s="231">
        <f>'Schedule 3A_Income Statement'!CG47</f>
        <v>102564.74596602928</v>
      </c>
      <c r="AL30" s="231"/>
      <c r="AM30" s="340">
        <f t="shared" si="22"/>
        <v>102564.74596602928</v>
      </c>
      <c r="AN30" s="340">
        <f t="shared" si="23"/>
        <v>745211.38447651954</v>
      </c>
      <c r="AO30" s="231"/>
      <c r="AP30" s="231"/>
      <c r="AQ30" s="231"/>
      <c r="AR30" s="231"/>
      <c r="AS30" s="635"/>
      <c r="AT30" s="222">
        <f t="shared" si="24"/>
        <v>745211.38447651954</v>
      </c>
      <c r="AU30" s="936">
        <f>AT30-AS30-'Schedule 3A_Income Statement'!CQ47</f>
        <v>0</v>
      </c>
      <c r="AV30" s="223"/>
      <c r="AW30" s="231">
        <f>'Schedule 3A_Income Statement'!CM47</f>
        <v>722903.55851048697</v>
      </c>
      <c r="AX30" s="231"/>
      <c r="AY30" s="340">
        <f t="shared" si="25"/>
        <v>722903.55851048697</v>
      </c>
      <c r="AZ30" s="231">
        <f>'Schedule 3A_Income Statement'!CH47</f>
        <v>116073.71565121763</v>
      </c>
      <c r="BA30" s="231"/>
      <c r="BB30" s="340">
        <f t="shared" si="26"/>
        <v>116073.71565121763</v>
      </c>
      <c r="BC30" s="340">
        <f t="shared" si="27"/>
        <v>838977.27416170458</v>
      </c>
      <c r="BD30" s="231"/>
      <c r="BE30" s="231"/>
      <c r="BF30" s="231"/>
      <c r="BG30" s="231"/>
      <c r="BH30" s="635"/>
      <c r="BI30" s="222">
        <f t="shared" si="28"/>
        <v>838977.27416170458</v>
      </c>
      <c r="BJ30" s="936">
        <f>BI30-BH30-'Schedule 3A_Income Statement'!CR47</f>
        <v>0</v>
      </c>
      <c r="BL30" s="340">
        <f t="shared" si="29"/>
        <v>2073035.8340419487</v>
      </c>
      <c r="BM30" s="340">
        <f t="shared" si="0"/>
        <v>0</v>
      </c>
      <c r="BN30" s="340">
        <f t="shared" si="1"/>
        <v>2073035.8340419487</v>
      </c>
      <c r="BO30" s="340">
        <f t="shared" si="2"/>
        <v>296411.05433491885</v>
      </c>
      <c r="BP30" s="340">
        <f t="shared" si="3"/>
        <v>0</v>
      </c>
      <c r="BQ30" s="340">
        <f t="shared" si="4"/>
        <v>296411.05433491885</v>
      </c>
      <c r="BR30" s="340">
        <f t="shared" si="5"/>
        <v>2369446.8883768674</v>
      </c>
      <c r="BS30" s="340">
        <f t="shared" si="6"/>
        <v>0</v>
      </c>
      <c r="BT30" s="340">
        <f t="shared" si="7"/>
        <v>0</v>
      </c>
      <c r="BU30" s="340">
        <f t="shared" si="8"/>
        <v>0</v>
      </c>
      <c r="BV30" s="340">
        <f t="shared" si="9"/>
        <v>0</v>
      </c>
      <c r="BW30" s="340">
        <f t="shared" si="10"/>
        <v>0</v>
      </c>
      <c r="BX30" s="340">
        <f t="shared" si="11"/>
        <v>2369446.8883768674</v>
      </c>
      <c r="BY30" s="340">
        <f t="shared" si="12"/>
        <v>0</v>
      </c>
    </row>
    <row r="31" spans="1:77" s="329" customFormat="1">
      <c r="A31" s="938">
        <v>12</v>
      </c>
      <c r="B31" s="120" t="s">
        <v>213</v>
      </c>
      <c r="C31" s="679" t="s">
        <v>381</v>
      </c>
      <c r="D31" s="231">
        <v>508824.86999999988</v>
      </c>
      <c r="E31" s="231"/>
      <c r="F31" s="340">
        <f t="shared" si="13"/>
        <v>508824.86999999988</v>
      </c>
      <c r="G31" s="231">
        <v>161957.89000000001</v>
      </c>
      <c r="H31" s="231"/>
      <c r="I31" s="340">
        <f t="shared" si="14"/>
        <v>161957.89000000001</v>
      </c>
      <c r="J31" s="340">
        <f t="shared" si="15"/>
        <v>670782.75999999989</v>
      </c>
      <c r="K31" s="231">
        <v>764.00607601464208</v>
      </c>
      <c r="L31" s="231"/>
      <c r="M31" s="231"/>
      <c r="N31" s="231"/>
      <c r="O31" s="635"/>
      <c r="P31" s="222">
        <f t="shared" si="16"/>
        <v>671546.76607601449</v>
      </c>
      <c r="Q31" s="936">
        <f>P31-O31-'Schedule 3A_Income Statement'!CO48</f>
        <v>0</v>
      </c>
      <c r="R31" s="223"/>
      <c r="S31" s="231">
        <v>572741.59</v>
      </c>
      <c r="T31" s="231"/>
      <c r="U31" s="340">
        <f t="shared" si="17"/>
        <v>572741.59</v>
      </c>
      <c r="V31" s="231">
        <v>155947.34999999998</v>
      </c>
      <c r="W31" s="231"/>
      <c r="X31" s="340">
        <f t="shared" si="18"/>
        <v>155947.34999999998</v>
      </c>
      <c r="Y31" s="340">
        <f t="shared" si="19"/>
        <v>728688.94</v>
      </c>
      <c r="Z31" s="231">
        <v>1912.4807164321201</v>
      </c>
      <c r="AA31" s="231"/>
      <c r="AB31" s="231"/>
      <c r="AC31" s="231"/>
      <c r="AD31" s="635"/>
      <c r="AE31" s="222">
        <f t="shared" si="20"/>
        <v>730601.42071643204</v>
      </c>
      <c r="AF31" s="936">
        <f>AE31-AD31-'Schedule 3A_Income Statement'!CP48</f>
        <v>0</v>
      </c>
      <c r="AG31" s="223"/>
      <c r="AH31" s="231">
        <v>576027.42000000027</v>
      </c>
      <c r="AI31" s="231"/>
      <c r="AJ31" s="340">
        <f t="shared" si="21"/>
        <v>576027.42000000027</v>
      </c>
      <c r="AK31" s="231">
        <v>170719.75999999995</v>
      </c>
      <c r="AL31" s="231"/>
      <c r="AM31" s="340">
        <f t="shared" si="22"/>
        <v>170719.75999999995</v>
      </c>
      <c r="AN31" s="340">
        <f t="shared" si="23"/>
        <v>746747.18000000017</v>
      </c>
      <c r="AO31" s="231">
        <v>8447.4960368431966</v>
      </c>
      <c r="AP31" s="231"/>
      <c r="AQ31" s="231"/>
      <c r="AR31" s="231"/>
      <c r="AS31" s="635"/>
      <c r="AT31" s="222">
        <f t="shared" si="24"/>
        <v>755194.67603684333</v>
      </c>
      <c r="AU31" s="936">
        <f>AT31-AS31-'Schedule 3A_Income Statement'!CQ48</f>
        <v>0</v>
      </c>
      <c r="AV31" s="223"/>
      <c r="AW31" s="231">
        <v>611698.84000000008</v>
      </c>
      <c r="AX31" s="231"/>
      <c r="AY31" s="340">
        <f t="shared" si="25"/>
        <v>611698.84000000008</v>
      </c>
      <c r="AZ31" s="231">
        <v>146055.50999999995</v>
      </c>
      <c r="BA31" s="231"/>
      <c r="BB31" s="340">
        <f t="shared" si="26"/>
        <v>146055.50999999995</v>
      </c>
      <c r="BC31" s="340">
        <f t="shared" si="27"/>
        <v>757754.35000000009</v>
      </c>
      <c r="BD31" s="231">
        <v>37064.897491118834</v>
      </c>
      <c r="BE31" s="231"/>
      <c r="BF31" s="231"/>
      <c r="BG31" s="231"/>
      <c r="BH31" s="635"/>
      <c r="BI31" s="222">
        <f t="shared" si="28"/>
        <v>794819.24749111896</v>
      </c>
      <c r="BJ31" s="936">
        <f>BI31-BH31-'Schedule 3A_Income Statement'!CR48</f>
        <v>0</v>
      </c>
      <c r="BL31" s="340">
        <f t="shared" si="29"/>
        <v>2269292.7200000007</v>
      </c>
      <c r="BM31" s="340">
        <f t="shared" si="0"/>
        <v>0</v>
      </c>
      <c r="BN31" s="340">
        <f t="shared" si="1"/>
        <v>2269292.7200000007</v>
      </c>
      <c r="BO31" s="340">
        <f t="shared" si="2"/>
        <v>634680.50999999989</v>
      </c>
      <c r="BP31" s="340">
        <f t="shared" si="3"/>
        <v>0</v>
      </c>
      <c r="BQ31" s="340">
        <f t="shared" si="4"/>
        <v>634680.50999999989</v>
      </c>
      <c r="BR31" s="340">
        <f t="shared" si="5"/>
        <v>2903973.23</v>
      </c>
      <c r="BS31" s="340">
        <f t="shared" si="6"/>
        <v>48188.880320408789</v>
      </c>
      <c r="BT31" s="340">
        <f t="shared" si="7"/>
        <v>0</v>
      </c>
      <c r="BU31" s="340">
        <f t="shared" si="8"/>
        <v>0</v>
      </c>
      <c r="BV31" s="340">
        <f t="shared" si="9"/>
        <v>0</v>
      </c>
      <c r="BW31" s="340">
        <f t="shared" si="10"/>
        <v>0</v>
      </c>
      <c r="BX31" s="340">
        <f t="shared" si="11"/>
        <v>2952162.1103204088</v>
      </c>
      <c r="BY31" s="340">
        <f t="shared" si="12"/>
        <v>0</v>
      </c>
    </row>
    <row r="32" spans="1:77" s="329" customFormat="1">
      <c r="A32" s="939">
        <v>13</v>
      </c>
      <c r="B32" s="122" t="s">
        <v>214</v>
      </c>
      <c r="C32" s="937" t="s">
        <v>377</v>
      </c>
      <c r="D32" s="231">
        <v>2312092.0899999966</v>
      </c>
      <c r="E32" s="231"/>
      <c r="F32" s="340">
        <f t="shared" si="13"/>
        <v>2312092.0899999966</v>
      </c>
      <c r="G32" s="231">
        <v>7533807</v>
      </c>
      <c r="H32" s="231"/>
      <c r="I32" s="340">
        <f t="shared" si="14"/>
        <v>7533807</v>
      </c>
      <c r="J32" s="340">
        <f t="shared" si="15"/>
        <v>9845899.0899999961</v>
      </c>
      <c r="K32" s="231">
        <v>12684.282529961445</v>
      </c>
      <c r="L32" s="231"/>
      <c r="M32" s="231"/>
      <c r="N32" s="231"/>
      <c r="O32" s="635"/>
      <c r="P32" s="222">
        <f t="shared" si="16"/>
        <v>9858583.3725299574</v>
      </c>
      <c r="Q32" s="936">
        <f>P32-O32-'Schedule 3A_Income Statement'!CO49</f>
        <v>0</v>
      </c>
      <c r="R32" s="223"/>
      <c r="S32" s="231">
        <v>3135506.669999999</v>
      </c>
      <c r="T32" s="231"/>
      <c r="U32" s="340">
        <f t="shared" si="17"/>
        <v>3135506.669999999</v>
      </c>
      <c r="V32" s="231">
        <v>6022746.4900000012</v>
      </c>
      <c r="W32" s="231"/>
      <c r="X32" s="340">
        <f t="shared" si="18"/>
        <v>6022746.4900000012</v>
      </c>
      <c r="Y32" s="340">
        <f t="shared" si="19"/>
        <v>9158253.1600000001</v>
      </c>
      <c r="Z32" s="231">
        <v>25931.502002082143</v>
      </c>
      <c r="AA32" s="231"/>
      <c r="AB32" s="231"/>
      <c r="AC32" s="231"/>
      <c r="AD32" s="635"/>
      <c r="AE32" s="222">
        <f t="shared" si="20"/>
        <v>9184184.6620020829</v>
      </c>
      <c r="AF32" s="936">
        <f>AE32-AD32-'Schedule 3A_Income Statement'!CP49</f>
        <v>0</v>
      </c>
      <c r="AG32" s="223"/>
      <c r="AH32" s="231">
        <v>1870600.5399999989</v>
      </c>
      <c r="AI32" s="231"/>
      <c r="AJ32" s="340">
        <f t="shared" si="21"/>
        <v>1870600.5399999989</v>
      </c>
      <c r="AK32" s="231">
        <v>6130200.9700000007</v>
      </c>
      <c r="AL32" s="231"/>
      <c r="AM32" s="340">
        <f t="shared" si="22"/>
        <v>6130200.9700000007</v>
      </c>
      <c r="AN32" s="340">
        <f t="shared" si="23"/>
        <v>8000801.5099999998</v>
      </c>
      <c r="AO32" s="231">
        <v>96568.81237286111</v>
      </c>
      <c r="AP32" s="231"/>
      <c r="AQ32" s="231"/>
      <c r="AR32" s="231"/>
      <c r="AS32" s="635"/>
      <c r="AT32" s="222">
        <f t="shared" si="24"/>
        <v>8097370.3223728612</v>
      </c>
      <c r="AU32" s="936">
        <f>AT32-AS32-'Schedule 3A_Income Statement'!CQ49</f>
        <v>0</v>
      </c>
      <c r="AV32" s="223"/>
      <c r="AW32" s="231">
        <v>1893079.4599999995</v>
      </c>
      <c r="AX32" s="231"/>
      <c r="AY32" s="340">
        <f t="shared" si="25"/>
        <v>1893079.4599999995</v>
      </c>
      <c r="AZ32" s="231">
        <v>5851194.419999999</v>
      </c>
      <c r="BA32" s="231"/>
      <c r="BB32" s="340">
        <f t="shared" si="26"/>
        <v>5851194.419999999</v>
      </c>
      <c r="BC32" s="340">
        <f t="shared" si="27"/>
        <v>7744273.879999999</v>
      </c>
      <c r="BD32" s="231">
        <v>370377.59120638511</v>
      </c>
      <c r="BE32" s="231"/>
      <c r="BF32" s="231"/>
      <c r="BG32" s="231"/>
      <c r="BH32" s="635"/>
      <c r="BI32" s="222">
        <f t="shared" si="28"/>
        <v>8114651.4712063838</v>
      </c>
      <c r="BJ32" s="936">
        <f>BI32-BH32-'Schedule 3A_Income Statement'!CR49</f>
        <v>0</v>
      </c>
      <c r="BL32" s="340">
        <f t="shared" si="29"/>
        <v>9211278.7599999942</v>
      </c>
      <c r="BM32" s="340">
        <f t="shared" si="0"/>
        <v>0</v>
      </c>
      <c r="BN32" s="340">
        <f t="shared" si="1"/>
        <v>9211278.7599999942</v>
      </c>
      <c r="BO32" s="340">
        <f t="shared" si="2"/>
        <v>25537948.879999999</v>
      </c>
      <c r="BP32" s="340">
        <f t="shared" si="3"/>
        <v>0</v>
      </c>
      <c r="BQ32" s="340">
        <f t="shared" si="4"/>
        <v>25537948.879999999</v>
      </c>
      <c r="BR32" s="340">
        <f t="shared" si="5"/>
        <v>34749227.640000001</v>
      </c>
      <c r="BS32" s="340">
        <f t="shared" si="6"/>
        <v>505562.18811128981</v>
      </c>
      <c r="BT32" s="340">
        <f t="shared" si="7"/>
        <v>0</v>
      </c>
      <c r="BU32" s="340">
        <f t="shared" si="8"/>
        <v>0</v>
      </c>
      <c r="BV32" s="340">
        <f t="shared" si="9"/>
        <v>0</v>
      </c>
      <c r="BW32" s="340">
        <f t="shared" si="10"/>
        <v>0</v>
      </c>
      <c r="BX32" s="340">
        <f t="shared" si="11"/>
        <v>35254789.828111283</v>
      </c>
      <c r="BY32" s="340">
        <f t="shared" si="12"/>
        <v>0</v>
      </c>
    </row>
    <row r="33" spans="1:77" s="329" customFormat="1">
      <c r="A33" s="938">
        <v>14</v>
      </c>
      <c r="B33" s="120" t="s">
        <v>215</v>
      </c>
      <c r="C33" s="937" t="s">
        <v>202</v>
      </c>
      <c r="D33" s="231">
        <v>0</v>
      </c>
      <c r="E33" s="231"/>
      <c r="F33" s="340">
        <f t="shared" si="13"/>
        <v>0</v>
      </c>
      <c r="G33" s="231">
        <v>18236281.709999409</v>
      </c>
      <c r="H33" s="231"/>
      <c r="I33" s="340">
        <f t="shared" si="14"/>
        <v>18236281.709999409</v>
      </c>
      <c r="J33" s="340">
        <f t="shared" si="15"/>
        <v>18236281.709999409</v>
      </c>
      <c r="K33" s="231">
        <v>24714.274986525277</v>
      </c>
      <c r="L33" s="231"/>
      <c r="M33" s="231"/>
      <c r="N33" s="231"/>
      <c r="O33" s="635"/>
      <c r="P33" s="222">
        <f t="shared" si="16"/>
        <v>18260995.984985933</v>
      </c>
      <c r="Q33" s="936">
        <f>P33-O33-'Schedule 3A_Income Statement'!CO50</f>
        <v>0</v>
      </c>
      <c r="R33" s="223"/>
      <c r="S33" s="231">
        <v>0</v>
      </c>
      <c r="T33" s="231"/>
      <c r="U33" s="340">
        <f t="shared" si="17"/>
        <v>0</v>
      </c>
      <c r="V33" s="231">
        <v>18507589.36999933</v>
      </c>
      <c r="W33" s="231"/>
      <c r="X33" s="340">
        <f t="shared" si="18"/>
        <v>18507589.36999933</v>
      </c>
      <c r="Y33" s="340">
        <f t="shared" si="19"/>
        <v>18507589.36999933</v>
      </c>
      <c r="Z33" s="231">
        <v>55359.874699576947</v>
      </c>
      <c r="AA33" s="231"/>
      <c r="AB33" s="231"/>
      <c r="AC33" s="231"/>
      <c r="AD33" s="635"/>
      <c r="AE33" s="222">
        <f t="shared" si="20"/>
        <v>18562949.244698908</v>
      </c>
      <c r="AF33" s="936">
        <f>AE33-AD33-'Schedule 3A_Income Statement'!CP50</f>
        <v>0</v>
      </c>
      <c r="AG33" s="223"/>
      <c r="AH33" s="231">
        <v>0</v>
      </c>
      <c r="AI33" s="231"/>
      <c r="AJ33" s="340">
        <f t="shared" si="21"/>
        <v>0</v>
      </c>
      <c r="AK33" s="231">
        <v>19365183.100000601</v>
      </c>
      <c r="AL33" s="231"/>
      <c r="AM33" s="340">
        <f t="shared" si="22"/>
        <v>19365183.100000601</v>
      </c>
      <c r="AN33" s="340">
        <f t="shared" si="23"/>
        <v>19365183.100000601</v>
      </c>
      <c r="AO33" s="231">
        <v>240115.50365518359</v>
      </c>
      <c r="AP33" s="231"/>
      <c r="AQ33" s="231"/>
      <c r="AR33" s="231"/>
      <c r="AS33" s="635"/>
      <c r="AT33" s="222">
        <f t="shared" si="24"/>
        <v>19605298.603655785</v>
      </c>
      <c r="AU33" s="936">
        <f>AT33-AS33-'Schedule 3A_Income Statement'!CQ50</f>
        <v>0</v>
      </c>
      <c r="AV33" s="223"/>
      <c r="AW33" s="231">
        <v>0</v>
      </c>
      <c r="AX33" s="231"/>
      <c r="AY33" s="340">
        <f t="shared" si="25"/>
        <v>0</v>
      </c>
      <c r="AZ33" s="231">
        <v>19375456.930000864</v>
      </c>
      <c r="BA33" s="231"/>
      <c r="BB33" s="340">
        <f t="shared" si="26"/>
        <v>19375456.930000864</v>
      </c>
      <c r="BC33" s="340">
        <f t="shared" si="27"/>
        <v>19375456.930000864</v>
      </c>
      <c r="BD33" s="231">
        <v>917493.15513311769</v>
      </c>
      <c r="BE33" s="231"/>
      <c r="BF33" s="231"/>
      <c r="BG33" s="231"/>
      <c r="BH33" s="635"/>
      <c r="BI33" s="222">
        <f t="shared" si="28"/>
        <v>20292950.085133981</v>
      </c>
      <c r="BJ33" s="936">
        <f>BI33-BH33-'Schedule 3A_Income Statement'!CR50</f>
        <v>0</v>
      </c>
      <c r="BL33" s="340">
        <f t="shared" si="29"/>
        <v>0</v>
      </c>
      <c r="BM33" s="340">
        <f t="shared" si="0"/>
        <v>0</v>
      </c>
      <c r="BN33" s="340">
        <f t="shared" si="1"/>
        <v>0</v>
      </c>
      <c r="BO33" s="340">
        <f t="shared" si="2"/>
        <v>75484511.110000193</v>
      </c>
      <c r="BP33" s="340">
        <f t="shared" si="3"/>
        <v>0</v>
      </c>
      <c r="BQ33" s="340">
        <f t="shared" si="4"/>
        <v>75484511.110000193</v>
      </c>
      <c r="BR33" s="340">
        <f t="shared" si="5"/>
        <v>75484511.110000193</v>
      </c>
      <c r="BS33" s="340">
        <f t="shared" si="6"/>
        <v>1237682.8084744036</v>
      </c>
      <c r="BT33" s="340">
        <f t="shared" si="7"/>
        <v>0</v>
      </c>
      <c r="BU33" s="340">
        <f t="shared" si="8"/>
        <v>0</v>
      </c>
      <c r="BV33" s="340">
        <f t="shared" si="9"/>
        <v>0</v>
      </c>
      <c r="BW33" s="340">
        <f t="shared" si="10"/>
        <v>0</v>
      </c>
      <c r="BX33" s="340">
        <f t="shared" si="11"/>
        <v>76722193.918474615</v>
      </c>
      <c r="BY33" s="340">
        <f t="shared" si="12"/>
        <v>0</v>
      </c>
    </row>
    <row r="34" spans="1:77" s="329" customFormat="1">
      <c r="A34" s="939">
        <v>15</v>
      </c>
      <c r="B34" s="120" t="s">
        <v>216</v>
      </c>
      <c r="C34" s="937" t="s">
        <v>202</v>
      </c>
      <c r="D34" s="231">
        <v>845135.68000000168</v>
      </c>
      <c r="E34" s="231"/>
      <c r="F34" s="340">
        <f t="shared" ref="F34:F37" si="30">SUM(D34:E34)</f>
        <v>845135.68000000168</v>
      </c>
      <c r="G34" s="231">
        <v>432873.86000000016</v>
      </c>
      <c r="H34" s="231"/>
      <c r="I34" s="340">
        <f t="shared" ref="I34:I37" si="31">SUM(G34:H34)</f>
        <v>432873.86000000016</v>
      </c>
      <c r="J34" s="340">
        <f t="shared" ref="J34:J37" si="32">F34+I34</f>
        <v>1278009.5400000019</v>
      </c>
      <c r="K34" s="231">
        <v>1491.0597949899866</v>
      </c>
      <c r="L34" s="231"/>
      <c r="M34" s="231"/>
      <c r="N34" s="231"/>
      <c r="O34" s="635"/>
      <c r="P34" s="222">
        <f t="shared" ref="P34:P37" si="33">SUM(J34:N34)</f>
        <v>1279500.5997949918</v>
      </c>
      <c r="Q34" s="936">
        <f>P34-O34-'Schedule 3A_Income Statement'!CO51</f>
        <v>0</v>
      </c>
      <c r="R34" s="223"/>
      <c r="S34" s="231">
        <v>786135.12000000116</v>
      </c>
      <c r="T34" s="231"/>
      <c r="U34" s="340">
        <f t="shared" ref="U34:U37" si="34">SUM(S34:T34)</f>
        <v>786135.12000000116</v>
      </c>
      <c r="V34" s="231">
        <v>442484.3000000001</v>
      </c>
      <c r="W34" s="231"/>
      <c r="X34" s="340">
        <f t="shared" ref="X34:X37" si="35">SUM(V34:W34)</f>
        <v>442484.3000000001</v>
      </c>
      <c r="Y34" s="340">
        <f t="shared" ref="Y34:Y37" si="36">U34+X34</f>
        <v>1228619.4200000013</v>
      </c>
      <c r="Z34" s="231">
        <v>3308.3281994902927</v>
      </c>
      <c r="AA34" s="231"/>
      <c r="AB34" s="231"/>
      <c r="AC34" s="231"/>
      <c r="AD34" s="635"/>
      <c r="AE34" s="222">
        <f t="shared" ref="AE34:AE37" si="37">SUM(Y34:AC34)</f>
        <v>1231927.7481994915</v>
      </c>
      <c r="AF34" s="936">
        <f>AE34-AD34-'Schedule 3A_Income Statement'!CP51</f>
        <v>0</v>
      </c>
      <c r="AG34" s="223"/>
      <c r="AH34" s="231">
        <v>864935.74999999965</v>
      </c>
      <c r="AI34" s="231"/>
      <c r="AJ34" s="340">
        <f t="shared" ref="AJ34:AJ37" si="38">SUM(AH34:AI34)</f>
        <v>864935.74999999965</v>
      </c>
      <c r="AK34" s="231">
        <v>423842.10999999993</v>
      </c>
      <c r="AL34" s="231"/>
      <c r="AM34" s="340">
        <f t="shared" ref="AM34:AM37" si="39">SUM(AK34:AL34)</f>
        <v>423842.10999999993</v>
      </c>
      <c r="AN34" s="340">
        <f t="shared" ref="AN34:AN37" si="40">AJ34+AM34</f>
        <v>1288777.8599999996</v>
      </c>
      <c r="AO34" s="231">
        <v>14761.220178037191</v>
      </c>
      <c r="AP34" s="231"/>
      <c r="AQ34" s="231"/>
      <c r="AR34" s="231"/>
      <c r="AS34" s="635"/>
      <c r="AT34" s="222">
        <f t="shared" ref="AT34:AT37" si="41">SUM(AN34:AR34)</f>
        <v>1303539.0801780368</v>
      </c>
      <c r="AU34" s="936">
        <f>AT34-AS34-'Schedule 3A_Income Statement'!CQ51</f>
        <v>0</v>
      </c>
      <c r="AV34" s="223"/>
      <c r="AW34" s="231">
        <v>821076.45000000182</v>
      </c>
      <c r="AX34" s="231"/>
      <c r="AY34" s="340">
        <f t="shared" ref="AY34:AY37" si="42">SUM(AW34:AX34)</f>
        <v>821076.45000000182</v>
      </c>
      <c r="AZ34" s="231">
        <v>493391.87999999989</v>
      </c>
      <c r="BA34" s="231"/>
      <c r="BB34" s="340">
        <f t="shared" ref="BB34:BB37" si="43">SUM(AZ34:BA34)</f>
        <v>493391.87999999989</v>
      </c>
      <c r="BC34" s="340">
        <f t="shared" ref="BC34:BC37" si="44">AY34+BB34</f>
        <v>1314468.3300000017</v>
      </c>
      <c r="BD34" s="231">
        <v>63831.996612879477</v>
      </c>
      <c r="BE34" s="231"/>
      <c r="BF34" s="231"/>
      <c r="BG34" s="231"/>
      <c r="BH34" s="635"/>
      <c r="BI34" s="222">
        <f t="shared" ref="BI34:BI37" si="45">SUM(BC34:BG34)</f>
        <v>1378300.3266128812</v>
      </c>
      <c r="BJ34" s="936">
        <f>BI34-BH34-'Schedule 3A_Income Statement'!CR51</f>
        <v>0</v>
      </c>
      <c r="BL34" s="340">
        <f t="shared" si="29"/>
        <v>3317283.0000000047</v>
      </c>
      <c r="BM34" s="340">
        <f t="shared" si="0"/>
        <v>0</v>
      </c>
      <c r="BN34" s="340">
        <f t="shared" si="1"/>
        <v>3317283.0000000047</v>
      </c>
      <c r="BO34" s="340">
        <f t="shared" si="2"/>
        <v>1792592.1500000001</v>
      </c>
      <c r="BP34" s="340">
        <f t="shared" si="3"/>
        <v>0</v>
      </c>
      <c r="BQ34" s="340">
        <f t="shared" si="4"/>
        <v>1792592.1500000001</v>
      </c>
      <c r="BR34" s="340">
        <f t="shared" si="5"/>
        <v>5109875.150000005</v>
      </c>
      <c r="BS34" s="340">
        <f t="shared" si="6"/>
        <v>83392.60478539695</v>
      </c>
      <c r="BT34" s="340">
        <f t="shared" si="7"/>
        <v>0</v>
      </c>
      <c r="BU34" s="340">
        <f t="shared" si="8"/>
        <v>0</v>
      </c>
      <c r="BV34" s="340">
        <f t="shared" si="9"/>
        <v>0</v>
      </c>
      <c r="BW34" s="340">
        <f t="shared" si="10"/>
        <v>0</v>
      </c>
      <c r="BX34" s="340">
        <f t="shared" si="11"/>
        <v>5193267.7547854008</v>
      </c>
      <c r="BY34" s="340">
        <f t="shared" si="12"/>
        <v>0</v>
      </c>
    </row>
    <row r="35" spans="1:77" s="329" customFormat="1">
      <c r="A35" s="939">
        <v>16</v>
      </c>
      <c r="B35" s="120" t="s">
        <v>217</v>
      </c>
      <c r="C35" s="937" t="s">
        <v>202</v>
      </c>
      <c r="D35" s="231">
        <v>23330.889999999839</v>
      </c>
      <c r="E35" s="231"/>
      <c r="F35" s="340">
        <f t="shared" si="30"/>
        <v>23330.889999999839</v>
      </c>
      <c r="G35" s="231">
        <v>12309032.340000354</v>
      </c>
      <c r="H35" s="231"/>
      <c r="I35" s="340">
        <f t="shared" si="31"/>
        <v>12309032.340000354</v>
      </c>
      <c r="J35" s="340">
        <f t="shared" si="32"/>
        <v>12332363.230000354</v>
      </c>
      <c r="K35" s="231">
        <v>16706.482619439248</v>
      </c>
      <c r="L35" s="231"/>
      <c r="M35" s="231"/>
      <c r="N35" s="231"/>
      <c r="O35" s="635"/>
      <c r="P35" s="222">
        <f t="shared" si="33"/>
        <v>12349069.712619793</v>
      </c>
      <c r="Q35" s="936">
        <f>P35-O35-'Schedule 3A_Income Statement'!CO52</f>
        <v>0</v>
      </c>
      <c r="R35" s="223"/>
      <c r="S35" s="231">
        <v>713425.30999999621</v>
      </c>
      <c r="T35" s="231"/>
      <c r="U35" s="340">
        <f t="shared" si="34"/>
        <v>713425.30999999621</v>
      </c>
      <c r="V35" s="231">
        <v>12495434.940000487</v>
      </c>
      <c r="W35" s="231"/>
      <c r="X35" s="340">
        <f t="shared" si="35"/>
        <v>12495434.940000487</v>
      </c>
      <c r="Y35" s="340">
        <f t="shared" si="36"/>
        <v>13208860.250000484</v>
      </c>
      <c r="Z35" s="231">
        <v>39177.525020418238</v>
      </c>
      <c r="AA35" s="231"/>
      <c r="AB35" s="231"/>
      <c r="AC35" s="231"/>
      <c r="AD35" s="635"/>
      <c r="AE35" s="222">
        <f t="shared" si="37"/>
        <v>13248037.775020903</v>
      </c>
      <c r="AF35" s="936">
        <f>AE35-AD35-'Schedule 3A_Income Statement'!CP52</f>
        <v>0</v>
      </c>
      <c r="AG35" s="223"/>
      <c r="AH35" s="231">
        <v>37282.909999999065</v>
      </c>
      <c r="AI35" s="231"/>
      <c r="AJ35" s="340">
        <f t="shared" si="38"/>
        <v>37282.909999999065</v>
      </c>
      <c r="AK35" s="231">
        <v>14509492.500000698</v>
      </c>
      <c r="AL35" s="231"/>
      <c r="AM35" s="340">
        <f t="shared" si="39"/>
        <v>14509492.500000698</v>
      </c>
      <c r="AN35" s="340">
        <f t="shared" si="40"/>
        <v>14546775.410000697</v>
      </c>
      <c r="AO35" s="231">
        <v>180317.88978714668</v>
      </c>
      <c r="AP35" s="231"/>
      <c r="AQ35" s="231"/>
      <c r="AR35" s="231"/>
      <c r="AS35" s="635"/>
      <c r="AT35" s="222">
        <f t="shared" si="41"/>
        <v>14727093.299787844</v>
      </c>
      <c r="AU35" s="936">
        <f>AT35-AS35-'Schedule 3A_Income Statement'!CQ52</f>
        <v>0</v>
      </c>
      <c r="AV35" s="223"/>
      <c r="AW35" s="231">
        <v>37716.490000001315</v>
      </c>
      <c r="AX35" s="231"/>
      <c r="AY35" s="340">
        <f t="shared" si="42"/>
        <v>37716.490000001315</v>
      </c>
      <c r="AZ35" s="231">
        <v>16379865.860001046</v>
      </c>
      <c r="BA35" s="231"/>
      <c r="BB35" s="340">
        <f t="shared" si="43"/>
        <v>16379865.860001046</v>
      </c>
      <c r="BC35" s="340">
        <f t="shared" si="44"/>
        <v>16417582.350001048</v>
      </c>
      <c r="BD35" s="231">
        <v>777500.7518331235</v>
      </c>
      <c r="BE35" s="231"/>
      <c r="BF35" s="231"/>
      <c r="BG35" s="231"/>
      <c r="BH35" s="635"/>
      <c r="BI35" s="222">
        <f t="shared" si="45"/>
        <v>17195083.101834171</v>
      </c>
      <c r="BJ35" s="936">
        <f>BI35-BH35-'Schedule 3A_Income Statement'!CR52</f>
        <v>0</v>
      </c>
      <c r="BL35" s="340">
        <f t="shared" si="29"/>
        <v>811755.59999999637</v>
      </c>
      <c r="BM35" s="340">
        <f t="shared" si="0"/>
        <v>0</v>
      </c>
      <c r="BN35" s="340">
        <f t="shared" si="1"/>
        <v>811755.59999999637</v>
      </c>
      <c r="BO35" s="340">
        <f t="shared" si="2"/>
        <v>55693825.640002593</v>
      </c>
      <c r="BP35" s="340">
        <f t="shared" si="3"/>
        <v>0</v>
      </c>
      <c r="BQ35" s="340">
        <f t="shared" si="4"/>
        <v>55693825.640002593</v>
      </c>
      <c r="BR35" s="340">
        <f t="shared" si="5"/>
        <v>56505581.240002587</v>
      </c>
      <c r="BS35" s="340">
        <f t="shared" si="6"/>
        <v>1013702.6492601277</v>
      </c>
      <c r="BT35" s="340">
        <f t="shared" si="7"/>
        <v>0</v>
      </c>
      <c r="BU35" s="340">
        <f t="shared" si="8"/>
        <v>0</v>
      </c>
      <c r="BV35" s="340">
        <f t="shared" si="9"/>
        <v>0</v>
      </c>
      <c r="BW35" s="340">
        <f t="shared" si="10"/>
        <v>0</v>
      </c>
      <c r="BX35" s="340">
        <f t="shared" si="11"/>
        <v>57519283.889262706</v>
      </c>
      <c r="BY35" s="340">
        <f t="shared" si="12"/>
        <v>0</v>
      </c>
    </row>
    <row r="36" spans="1:77" s="329" customFormat="1">
      <c r="A36" s="939">
        <v>17</v>
      </c>
      <c r="B36" s="120" t="s">
        <v>218</v>
      </c>
      <c r="C36" s="937" t="s">
        <v>202</v>
      </c>
      <c r="D36" s="231">
        <v>0</v>
      </c>
      <c r="E36" s="231"/>
      <c r="F36" s="340">
        <f t="shared" si="30"/>
        <v>0</v>
      </c>
      <c r="G36" s="231">
        <v>15691630.420000244</v>
      </c>
      <c r="H36" s="231"/>
      <c r="I36" s="340">
        <f t="shared" si="31"/>
        <v>15691630.420000244</v>
      </c>
      <c r="J36" s="340">
        <f t="shared" si="32"/>
        <v>15691630.420000244</v>
      </c>
      <c r="K36" s="231">
        <v>21265.698531854039</v>
      </c>
      <c r="L36" s="231"/>
      <c r="M36" s="231"/>
      <c r="N36" s="231"/>
      <c r="O36" s="635"/>
      <c r="P36" s="222">
        <f t="shared" si="33"/>
        <v>15712896.118532099</v>
      </c>
      <c r="Q36" s="936">
        <f>P36-O36-'Schedule 3A_Income Statement'!CO53</f>
        <v>0</v>
      </c>
      <c r="R36" s="223"/>
      <c r="S36" s="231">
        <v>177924.35999999807</v>
      </c>
      <c r="T36" s="231"/>
      <c r="U36" s="340">
        <f t="shared" si="34"/>
        <v>177924.35999999807</v>
      </c>
      <c r="V36" s="231">
        <v>16574038.830000106</v>
      </c>
      <c r="W36" s="231"/>
      <c r="X36" s="340">
        <f t="shared" si="35"/>
        <v>16574038.830000106</v>
      </c>
      <c r="Y36" s="340">
        <f t="shared" si="36"/>
        <v>16751963.190000104</v>
      </c>
      <c r="Z36" s="231">
        <v>50025.450010311702</v>
      </c>
      <c r="AA36" s="231"/>
      <c r="AB36" s="231"/>
      <c r="AC36" s="231"/>
      <c r="AD36" s="635"/>
      <c r="AE36" s="222">
        <f t="shared" si="37"/>
        <v>16801988.640010417</v>
      </c>
      <c r="AF36" s="936">
        <f>AE36-AD36-'Schedule 3A_Income Statement'!CP53</f>
        <v>0</v>
      </c>
      <c r="AG36" s="223"/>
      <c r="AH36" s="231">
        <v>132317.49999999953</v>
      </c>
      <c r="AI36" s="231"/>
      <c r="AJ36" s="340">
        <f t="shared" si="38"/>
        <v>132317.49999999953</v>
      </c>
      <c r="AK36" s="231">
        <v>18322617.559999999</v>
      </c>
      <c r="AL36" s="231"/>
      <c r="AM36" s="340">
        <f t="shared" si="39"/>
        <v>18322617.559999999</v>
      </c>
      <c r="AN36" s="340">
        <f t="shared" si="40"/>
        <v>18454935.059999999</v>
      </c>
      <c r="AO36" s="231">
        <v>228642.58027914321</v>
      </c>
      <c r="AP36" s="231"/>
      <c r="AQ36" s="231"/>
      <c r="AR36" s="231"/>
      <c r="AS36" s="635"/>
      <c r="AT36" s="222">
        <f t="shared" si="41"/>
        <v>18683577.64027914</v>
      </c>
      <c r="AU36" s="936">
        <f>AT36-AS36-'Schedule 3A_Income Statement'!CQ53</f>
        <v>0</v>
      </c>
      <c r="AV36" s="223"/>
      <c r="AW36" s="231">
        <v>621803.26999999746</v>
      </c>
      <c r="AX36" s="231"/>
      <c r="AY36" s="340">
        <f t="shared" si="42"/>
        <v>621803.26999999746</v>
      </c>
      <c r="AZ36" s="231">
        <v>18802738.649999801</v>
      </c>
      <c r="BA36" s="231"/>
      <c r="BB36" s="340">
        <f t="shared" si="43"/>
        <v>18802738.649999801</v>
      </c>
      <c r="BC36" s="340">
        <f t="shared" si="44"/>
        <v>19424541.919999797</v>
      </c>
      <c r="BD36" s="231">
        <v>921019.70735576155</v>
      </c>
      <c r="BE36" s="231"/>
      <c r="BF36" s="231"/>
      <c r="BG36" s="231"/>
      <c r="BH36" s="635"/>
      <c r="BI36" s="222">
        <f t="shared" si="45"/>
        <v>20345561.627355557</v>
      </c>
      <c r="BJ36" s="936">
        <f>BI36-BH36-'Schedule 3A_Income Statement'!CR53</f>
        <v>0</v>
      </c>
      <c r="BL36" s="340">
        <f t="shared" si="29"/>
        <v>932045.129999995</v>
      </c>
      <c r="BM36" s="340">
        <f t="shared" si="0"/>
        <v>0</v>
      </c>
      <c r="BN36" s="340">
        <f t="shared" si="1"/>
        <v>932045.129999995</v>
      </c>
      <c r="BO36" s="340">
        <f t="shared" si="2"/>
        <v>69391025.460000142</v>
      </c>
      <c r="BP36" s="340">
        <f t="shared" si="3"/>
        <v>0</v>
      </c>
      <c r="BQ36" s="340">
        <f t="shared" si="4"/>
        <v>69391025.460000142</v>
      </c>
      <c r="BR36" s="340">
        <f t="shared" si="5"/>
        <v>70323070.590000138</v>
      </c>
      <c r="BS36" s="340">
        <f t="shared" si="6"/>
        <v>1220953.4361770705</v>
      </c>
      <c r="BT36" s="340">
        <f t="shared" si="7"/>
        <v>0</v>
      </c>
      <c r="BU36" s="340">
        <f t="shared" si="8"/>
        <v>0</v>
      </c>
      <c r="BV36" s="340">
        <f t="shared" si="9"/>
        <v>0</v>
      </c>
      <c r="BW36" s="340">
        <f t="shared" si="10"/>
        <v>0</v>
      </c>
      <c r="BX36" s="340">
        <f t="shared" si="11"/>
        <v>71544024.026177213</v>
      </c>
      <c r="BY36" s="340">
        <f t="shared" si="12"/>
        <v>0</v>
      </c>
    </row>
    <row r="37" spans="1:77" s="329" customFormat="1">
      <c r="A37" s="939">
        <v>18</v>
      </c>
      <c r="B37" s="120" t="s">
        <v>219</v>
      </c>
      <c r="C37" s="937" t="s">
        <v>202</v>
      </c>
      <c r="D37" s="231">
        <v>0</v>
      </c>
      <c r="E37" s="231"/>
      <c r="F37" s="340">
        <f t="shared" si="30"/>
        <v>0</v>
      </c>
      <c r="G37" s="231">
        <v>0</v>
      </c>
      <c r="H37" s="231"/>
      <c r="I37" s="340">
        <f t="shared" si="31"/>
        <v>0</v>
      </c>
      <c r="J37" s="340">
        <f t="shared" si="32"/>
        <v>0</v>
      </c>
      <c r="K37" s="231">
        <v>0</v>
      </c>
      <c r="L37" s="231"/>
      <c r="M37" s="231"/>
      <c r="N37" s="231"/>
      <c r="O37" s="635"/>
      <c r="P37" s="222">
        <f t="shared" si="33"/>
        <v>0</v>
      </c>
      <c r="Q37" s="936">
        <f>P37-O37-'Schedule 3A_Income Statement'!CO54</f>
        <v>0</v>
      </c>
      <c r="R37" s="223"/>
      <c r="S37" s="231">
        <v>0</v>
      </c>
      <c r="T37" s="231"/>
      <c r="U37" s="340">
        <f t="shared" si="34"/>
        <v>0</v>
      </c>
      <c r="V37" s="231">
        <v>0</v>
      </c>
      <c r="W37" s="231"/>
      <c r="X37" s="340">
        <f t="shared" si="35"/>
        <v>0</v>
      </c>
      <c r="Y37" s="340">
        <f t="shared" si="36"/>
        <v>0</v>
      </c>
      <c r="Z37" s="231">
        <v>0</v>
      </c>
      <c r="AA37" s="231"/>
      <c r="AB37" s="231"/>
      <c r="AC37" s="231"/>
      <c r="AD37" s="635"/>
      <c r="AE37" s="222">
        <f t="shared" si="37"/>
        <v>0</v>
      </c>
      <c r="AF37" s="936">
        <f>AE37-AD37-'Schedule 3A_Income Statement'!CP54</f>
        <v>0</v>
      </c>
      <c r="AG37" s="223"/>
      <c r="AH37" s="231">
        <v>0</v>
      </c>
      <c r="AI37" s="231"/>
      <c r="AJ37" s="340">
        <f t="shared" si="38"/>
        <v>0</v>
      </c>
      <c r="AK37" s="231">
        <v>0</v>
      </c>
      <c r="AL37" s="231"/>
      <c r="AM37" s="340">
        <f t="shared" si="39"/>
        <v>0</v>
      </c>
      <c r="AN37" s="340">
        <f t="shared" si="40"/>
        <v>0</v>
      </c>
      <c r="AO37" s="231">
        <v>0</v>
      </c>
      <c r="AP37" s="231"/>
      <c r="AQ37" s="231"/>
      <c r="AR37" s="231"/>
      <c r="AS37" s="635"/>
      <c r="AT37" s="222">
        <f t="shared" si="41"/>
        <v>0</v>
      </c>
      <c r="AU37" s="936">
        <f>AT37-AS37-'Schedule 3A_Income Statement'!CQ54</f>
        <v>0</v>
      </c>
      <c r="AV37" s="223"/>
      <c r="AW37" s="231">
        <v>0</v>
      </c>
      <c r="AX37" s="231"/>
      <c r="AY37" s="340">
        <f t="shared" si="42"/>
        <v>0</v>
      </c>
      <c r="AZ37" s="231">
        <v>0</v>
      </c>
      <c r="BA37" s="231"/>
      <c r="BB37" s="340">
        <f t="shared" si="43"/>
        <v>0</v>
      </c>
      <c r="BC37" s="340">
        <f t="shared" si="44"/>
        <v>0</v>
      </c>
      <c r="BD37" s="231">
        <v>0</v>
      </c>
      <c r="BE37" s="231"/>
      <c r="BF37" s="231"/>
      <c r="BG37" s="231"/>
      <c r="BH37" s="635"/>
      <c r="BI37" s="222">
        <f t="shared" si="45"/>
        <v>0</v>
      </c>
      <c r="BJ37" s="936">
        <f>BI37-BH37-'Schedule 3A_Income Statement'!CR54</f>
        <v>0</v>
      </c>
      <c r="BL37" s="340">
        <f t="shared" si="29"/>
        <v>0</v>
      </c>
      <c r="BM37" s="340">
        <f t="shared" si="0"/>
        <v>0</v>
      </c>
      <c r="BN37" s="340">
        <f t="shared" si="1"/>
        <v>0</v>
      </c>
      <c r="BO37" s="340">
        <f t="shared" si="2"/>
        <v>0</v>
      </c>
      <c r="BP37" s="340">
        <f t="shared" si="3"/>
        <v>0</v>
      </c>
      <c r="BQ37" s="340">
        <f t="shared" si="4"/>
        <v>0</v>
      </c>
      <c r="BR37" s="340">
        <f t="shared" si="5"/>
        <v>0</v>
      </c>
      <c r="BS37" s="340">
        <f t="shared" si="6"/>
        <v>0</v>
      </c>
      <c r="BT37" s="340">
        <f t="shared" si="7"/>
        <v>0</v>
      </c>
      <c r="BU37" s="340">
        <f t="shared" si="8"/>
        <v>0</v>
      </c>
      <c r="BV37" s="340">
        <f t="shared" si="9"/>
        <v>0</v>
      </c>
      <c r="BW37" s="340">
        <f t="shared" si="10"/>
        <v>0</v>
      </c>
      <c r="BX37" s="340">
        <f t="shared" si="11"/>
        <v>0</v>
      </c>
      <c r="BY37" s="340">
        <f t="shared" si="12"/>
        <v>0</v>
      </c>
    </row>
    <row r="38" spans="1:77" s="329" customFormat="1">
      <c r="A38" s="939">
        <v>19</v>
      </c>
      <c r="B38" s="122" t="s">
        <v>220</v>
      </c>
      <c r="C38" s="937" t="s">
        <v>202</v>
      </c>
      <c r="D38" s="231">
        <v>1957804.9799999981</v>
      </c>
      <c r="E38" s="231"/>
      <c r="F38" s="340">
        <f t="shared" si="13"/>
        <v>1957804.9799999981</v>
      </c>
      <c r="G38" s="231">
        <v>7216841.8600000273</v>
      </c>
      <c r="H38" s="231"/>
      <c r="I38" s="340">
        <f t="shared" si="14"/>
        <v>7216841.8600000273</v>
      </c>
      <c r="J38" s="340">
        <f t="shared" si="15"/>
        <v>9174646.8400000259</v>
      </c>
      <c r="K38" s="231">
        <v>11875.584543919776</v>
      </c>
      <c r="L38" s="231"/>
      <c r="M38" s="231"/>
      <c r="N38" s="231"/>
      <c r="O38" s="635"/>
      <c r="P38" s="222">
        <f t="shared" si="16"/>
        <v>9186522.4245439451</v>
      </c>
      <c r="Q38" s="936">
        <f>P38-O38-'Schedule 3A_Income Statement'!CO55</f>
        <v>0</v>
      </c>
      <c r="R38" s="223"/>
      <c r="S38" s="231">
        <v>2601298.8000000035</v>
      </c>
      <c r="T38" s="231"/>
      <c r="U38" s="340">
        <f t="shared" si="17"/>
        <v>2601298.8000000035</v>
      </c>
      <c r="V38" s="231">
        <v>7176102.2300000079</v>
      </c>
      <c r="W38" s="231"/>
      <c r="X38" s="340">
        <f t="shared" si="18"/>
        <v>7176102.2300000079</v>
      </c>
      <c r="Y38" s="340">
        <f t="shared" si="19"/>
        <v>9777401.0300000124</v>
      </c>
      <c r="Z38" s="231">
        <v>28032.693596653622</v>
      </c>
      <c r="AA38" s="231"/>
      <c r="AB38" s="231"/>
      <c r="AC38" s="231"/>
      <c r="AD38" s="635"/>
      <c r="AE38" s="222">
        <f t="shared" si="20"/>
        <v>9805433.723596666</v>
      </c>
      <c r="AF38" s="936">
        <f>AE38-AD38-'Schedule 3A_Income Statement'!CP55</f>
        <v>0</v>
      </c>
      <c r="AG38" s="223"/>
      <c r="AH38" s="231">
        <v>2274149.2000000118</v>
      </c>
      <c r="AI38" s="231"/>
      <c r="AJ38" s="340">
        <f t="shared" si="21"/>
        <v>2274149.2000000118</v>
      </c>
      <c r="AK38" s="231">
        <v>7696132.350000008</v>
      </c>
      <c r="AL38" s="231"/>
      <c r="AM38" s="340">
        <f t="shared" si="22"/>
        <v>7696132.350000008</v>
      </c>
      <c r="AN38" s="340">
        <f t="shared" si="23"/>
        <v>9970281.5500000194</v>
      </c>
      <c r="AO38" s="231">
        <v>120420.42852767184</v>
      </c>
      <c r="AP38" s="231"/>
      <c r="AQ38" s="231"/>
      <c r="AR38" s="231"/>
      <c r="AS38" s="635"/>
      <c r="AT38" s="222">
        <f t="shared" si="24"/>
        <v>10090701.978527691</v>
      </c>
      <c r="AU38" s="936">
        <f>AT38-AS38-'Schedule 3A_Income Statement'!CQ55</f>
        <v>0</v>
      </c>
      <c r="AV38" s="223"/>
      <c r="AW38" s="231">
        <v>2810584.5400000131</v>
      </c>
      <c r="AX38" s="231"/>
      <c r="AY38" s="340">
        <f t="shared" si="25"/>
        <v>2810584.5400000131</v>
      </c>
      <c r="AZ38" s="231">
        <v>7468517.0199999996</v>
      </c>
      <c r="BA38" s="231"/>
      <c r="BB38" s="340">
        <f t="shared" si="26"/>
        <v>7468517.0199999996</v>
      </c>
      <c r="BC38" s="340">
        <f t="shared" si="27"/>
        <v>10279101.560000014</v>
      </c>
      <c r="BD38" s="231">
        <v>492184.15195662895</v>
      </c>
      <c r="BE38" s="231"/>
      <c r="BF38" s="231"/>
      <c r="BG38" s="231"/>
      <c r="BH38" s="635"/>
      <c r="BI38" s="222">
        <f t="shared" si="28"/>
        <v>10771285.711956643</v>
      </c>
      <c r="BJ38" s="936">
        <f>BI38-BH38-'Schedule 3A_Income Statement'!CR55</f>
        <v>0</v>
      </c>
      <c r="BL38" s="340">
        <f t="shared" si="29"/>
        <v>9643837.5200000256</v>
      </c>
      <c r="BM38" s="340">
        <f t="shared" si="0"/>
        <v>0</v>
      </c>
      <c r="BN38" s="340">
        <f t="shared" si="1"/>
        <v>9643837.5200000256</v>
      </c>
      <c r="BO38" s="340">
        <f t="shared" si="2"/>
        <v>29557593.460000042</v>
      </c>
      <c r="BP38" s="340">
        <f t="shared" si="3"/>
        <v>0</v>
      </c>
      <c r="BQ38" s="340">
        <f t="shared" si="4"/>
        <v>29557593.460000042</v>
      </c>
      <c r="BR38" s="340">
        <f t="shared" si="5"/>
        <v>39201430.980000071</v>
      </c>
      <c r="BS38" s="340">
        <f t="shared" si="6"/>
        <v>652512.85862487415</v>
      </c>
      <c r="BT38" s="340">
        <f t="shared" si="7"/>
        <v>0</v>
      </c>
      <c r="BU38" s="340">
        <f t="shared" si="8"/>
        <v>0</v>
      </c>
      <c r="BV38" s="340">
        <f t="shared" si="9"/>
        <v>0</v>
      </c>
      <c r="BW38" s="340">
        <f t="shared" si="10"/>
        <v>0</v>
      </c>
      <c r="BX38" s="340">
        <f t="shared" si="11"/>
        <v>39853943.838624939</v>
      </c>
      <c r="BY38" s="340">
        <f t="shared" si="12"/>
        <v>0</v>
      </c>
    </row>
    <row r="39" spans="1:77" s="329" customFormat="1">
      <c r="A39" s="938">
        <v>20</v>
      </c>
      <c r="B39" s="120" t="s">
        <v>221</v>
      </c>
      <c r="C39" s="937" t="s">
        <v>202</v>
      </c>
      <c r="D39" s="231">
        <v>796310.36999999988</v>
      </c>
      <c r="E39" s="231"/>
      <c r="F39" s="340">
        <f t="shared" si="13"/>
        <v>796310.36999999988</v>
      </c>
      <c r="G39" s="231">
        <v>1646994.1100000013</v>
      </c>
      <c r="H39" s="231"/>
      <c r="I39" s="340">
        <f t="shared" si="14"/>
        <v>1646994.1100000013</v>
      </c>
      <c r="J39" s="340">
        <f t="shared" si="15"/>
        <v>2443304.4800000014</v>
      </c>
      <c r="K39" s="231">
        <v>3084.2164016996803</v>
      </c>
      <c r="L39" s="231"/>
      <c r="M39" s="231"/>
      <c r="N39" s="231"/>
      <c r="O39" s="635"/>
      <c r="P39" s="222">
        <f t="shared" si="16"/>
        <v>2446388.6964017008</v>
      </c>
      <c r="Q39" s="936">
        <f>P39-O39-'Schedule 3A_Income Statement'!CO56</f>
        <v>0</v>
      </c>
      <c r="R39" s="223"/>
      <c r="S39" s="231">
        <v>1049534.2100000009</v>
      </c>
      <c r="T39" s="231"/>
      <c r="U39" s="340">
        <f t="shared" si="17"/>
        <v>1049534.2100000009</v>
      </c>
      <c r="V39" s="231">
        <v>1469517.1300000013</v>
      </c>
      <c r="W39" s="231"/>
      <c r="X39" s="340">
        <f t="shared" si="18"/>
        <v>1469517.1300000013</v>
      </c>
      <c r="Y39" s="340">
        <f t="shared" si="19"/>
        <v>2519051.3400000022</v>
      </c>
      <c r="Z39" s="231">
        <v>7045.3958507181023</v>
      </c>
      <c r="AA39" s="231"/>
      <c r="AB39" s="231"/>
      <c r="AC39" s="231"/>
      <c r="AD39" s="635"/>
      <c r="AE39" s="222">
        <f t="shared" si="20"/>
        <v>2526096.7358507202</v>
      </c>
      <c r="AF39" s="936">
        <f>AE39-AD39-'Schedule 3A_Income Statement'!CP56</f>
        <v>0</v>
      </c>
      <c r="AG39" s="223"/>
      <c r="AH39" s="231">
        <v>1023173.9100000018</v>
      </c>
      <c r="AI39" s="231"/>
      <c r="AJ39" s="340">
        <f t="shared" si="21"/>
        <v>1023173.9100000018</v>
      </c>
      <c r="AK39" s="231">
        <v>1645502.060000001</v>
      </c>
      <c r="AL39" s="231"/>
      <c r="AM39" s="340">
        <f t="shared" si="22"/>
        <v>1645502.060000001</v>
      </c>
      <c r="AN39" s="340">
        <f t="shared" si="23"/>
        <v>2668675.9700000025</v>
      </c>
      <c r="AO39" s="231">
        <v>31648.074606696657</v>
      </c>
      <c r="AP39" s="231"/>
      <c r="AQ39" s="231"/>
      <c r="AR39" s="231"/>
      <c r="AS39" s="635"/>
      <c r="AT39" s="222">
        <f t="shared" si="24"/>
        <v>2700324.0446066991</v>
      </c>
      <c r="AU39" s="936">
        <f>AT39-AS39-'Schedule 3A_Income Statement'!CQ56</f>
        <v>0</v>
      </c>
      <c r="AV39" s="223"/>
      <c r="AW39" s="231">
        <v>991414.71999999927</v>
      </c>
      <c r="AX39" s="231"/>
      <c r="AY39" s="340">
        <f t="shared" si="25"/>
        <v>991414.71999999927</v>
      </c>
      <c r="AZ39" s="231">
        <v>1749237.9399999995</v>
      </c>
      <c r="BA39" s="231"/>
      <c r="BB39" s="340">
        <f t="shared" si="26"/>
        <v>1749237.9399999995</v>
      </c>
      <c r="BC39" s="340">
        <f t="shared" si="27"/>
        <v>2740652.6599999988</v>
      </c>
      <c r="BD39" s="231">
        <v>131695.96596512626</v>
      </c>
      <c r="BE39" s="231"/>
      <c r="BF39" s="231"/>
      <c r="BG39" s="231"/>
      <c r="BH39" s="635"/>
      <c r="BI39" s="222">
        <f t="shared" si="28"/>
        <v>2872348.6259651249</v>
      </c>
      <c r="BJ39" s="936">
        <f>BI39-BH39-'Schedule 3A_Income Statement'!CR56</f>
        <v>0</v>
      </c>
      <c r="BL39" s="340">
        <f t="shared" si="29"/>
        <v>3860433.2100000018</v>
      </c>
      <c r="BM39" s="340">
        <f t="shared" si="0"/>
        <v>0</v>
      </c>
      <c r="BN39" s="340">
        <f t="shared" si="1"/>
        <v>3860433.2100000018</v>
      </c>
      <c r="BO39" s="340">
        <f t="shared" si="2"/>
        <v>6511251.240000003</v>
      </c>
      <c r="BP39" s="340">
        <f t="shared" si="3"/>
        <v>0</v>
      </c>
      <c r="BQ39" s="340">
        <f t="shared" si="4"/>
        <v>6511251.240000003</v>
      </c>
      <c r="BR39" s="340">
        <f t="shared" si="5"/>
        <v>10371684.450000005</v>
      </c>
      <c r="BS39" s="340">
        <f t="shared" si="6"/>
        <v>173473.65282424071</v>
      </c>
      <c r="BT39" s="340">
        <f t="shared" si="7"/>
        <v>0</v>
      </c>
      <c r="BU39" s="340">
        <f t="shared" si="8"/>
        <v>0</v>
      </c>
      <c r="BV39" s="340">
        <f t="shared" si="9"/>
        <v>0</v>
      </c>
      <c r="BW39" s="340">
        <f t="shared" si="10"/>
        <v>0</v>
      </c>
      <c r="BX39" s="340">
        <f t="shared" si="11"/>
        <v>10545158.102824245</v>
      </c>
      <c r="BY39" s="340">
        <f t="shared" si="12"/>
        <v>0</v>
      </c>
    </row>
    <row r="40" spans="1:77" s="329" customFormat="1">
      <c r="A40" s="939">
        <v>21</v>
      </c>
      <c r="B40" s="122" t="s">
        <v>222</v>
      </c>
      <c r="C40" s="937" t="s">
        <v>202</v>
      </c>
      <c r="D40" s="231">
        <v>875216.22000000067</v>
      </c>
      <c r="E40" s="231"/>
      <c r="F40" s="340">
        <f t="shared" si="13"/>
        <v>875216.22000000067</v>
      </c>
      <c r="G40" s="231">
        <v>1082787.7700000005</v>
      </c>
      <c r="H40" s="231"/>
      <c r="I40" s="340">
        <f t="shared" si="14"/>
        <v>1082787.7700000005</v>
      </c>
      <c r="J40" s="340">
        <f t="shared" si="15"/>
        <v>1958003.9900000012</v>
      </c>
      <c r="K40" s="231">
        <v>2404.0302859818216</v>
      </c>
      <c r="L40" s="231"/>
      <c r="M40" s="231"/>
      <c r="N40" s="231"/>
      <c r="O40" s="635"/>
      <c r="P40" s="222">
        <f t="shared" si="16"/>
        <v>1960408.0202859829</v>
      </c>
      <c r="Q40" s="936">
        <f>P40-O40-'Schedule 3A_Income Statement'!CO57</f>
        <v>0</v>
      </c>
      <c r="R40" s="223"/>
      <c r="S40" s="231">
        <v>782582.90999999992</v>
      </c>
      <c r="T40" s="231"/>
      <c r="U40" s="340">
        <f t="shared" si="17"/>
        <v>782582.90999999992</v>
      </c>
      <c r="V40" s="231">
        <v>643316.26</v>
      </c>
      <c r="W40" s="231"/>
      <c r="X40" s="340">
        <f t="shared" si="18"/>
        <v>643316.26</v>
      </c>
      <c r="Y40" s="340">
        <f t="shared" si="19"/>
        <v>1425899.17</v>
      </c>
      <c r="Z40" s="231">
        <v>3900.0881394094699</v>
      </c>
      <c r="AA40" s="231"/>
      <c r="AB40" s="231"/>
      <c r="AC40" s="231"/>
      <c r="AD40" s="635"/>
      <c r="AE40" s="222">
        <f t="shared" si="20"/>
        <v>1429799.2581394094</v>
      </c>
      <c r="AF40" s="936">
        <f>AE40-AD40-'Schedule 3A_Income Statement'!CP57</f>
        <v>0</v>
      </c>
      <c r="AG40" s="223"/>
      <c r="AH40" s="231">
        <v>858924.18999999971</v>
      </c>
      <c r="AI40" s="231"/>
      <c r="AJ40" s="340">
        <f t="shared" si="21"/>
        <v>858924.18999999971</v>
      </c>
      <c r="AK40" s="231">
        <v>890371.10999999987</v>
      </c>
      <c r="AL40" s="231"/>
      <c r="AM40" s="340">
        <f t="shared" si="22"/>
        <v>890371.10999999987</v>
      </c>
      <c r="AN40" s="340">
        <f t="shared" si="23"/>
        <v>1749295.2999999996</v>
      </c>
      <c r="AO40" s="231">
        <v>20479.803683252656</v>
      </c>
      <c r="AP40" s="231"/>
      <c r="AQ40" s="231"/>
      <c r="AR40" s="231"/>
      <c r="AS40" s="635"/>
      <c r="AT40" s="222">
        <f t="shared" si="24"/>
        <v>1769775.1036832524</v>
      </c>
      <c r="AU40" s="936">
        <f>AT40-AS40-'Schedule 3A_Income Statement'!CQ57</f>
        <v>0</v>
      </c>
      <c r="AV40" s="223"/>
      <c r="AW40" s="231">
        <v>842523.7599999985</v>
      </c>
      <c r="AX40" s="231"/>
      <c r="AY40" s="340">
        <f t="shared" si="25"/>
        <v>842523.7599999985</v>
      </c>
      <c r="AZ40" s="231">
        <v>740744.03</v>
      </c>
      <c r="BA40" s="231"/>
      <c r="BB40" s="340">
        <f t="shared" si="26"/>
        <v>740744.03</v>
      </c>
      <c r="BC40" s="340">
        <f t="shared" si="27"/>
        <v>1583267.7899999986</v>
      </c>
      <c r="BD40" s="231">
        <v>76602.023395524244</v>
      </c>
      <c r="BE40" s="231"/>
      <c r="BF40" s="231"/>
      <c r="BG40" s="231"/>
      <c r="BH40" s="635"/>
      <c r="BI40" s="222">
        <f t="shared" si="28"/>
        <v>1659869.813395523</v>
      </c>
      <c r="BJ40" s="936">
        <f>BI40-BH40-'Schedule 3A_Income Statement'!CR57</f>
        <v>0</v>
      </c>
      <c r="BL40" s="340">
        <f t="shared" si="29"/>
        <v>3359247.0799999987</v>
      </c>
      <c r="BM40" s="340">
        <f t="shared" si="0"/>
        <v>0</v>
      </c>
      <c r="BN40" s="340">
        <f t="shared" si="1"/>
        <v>3359247.0799999987</v>
      </c>
      <c r="BO40" s="340">
        <f t="shared" si="2"/>
        <v>3357219.1700000009</v>
      </c>
      <c r="BP40" s="340">
        <f t="shared" si="3"/>
        <v>0</v>
      </c>
      <c r="BQ40" s="340">
        <f t="shared" si="4"/>
        <v>3357219.1700000009</v>
      </c>
      <c r="BR40" s="340">
        <f t="shared" si="5"/>
        <v>6716466.25</v>
      </c>
      <c r="BS40" s="340">
        <f t="shared" si="6"/>
        <v>103385.94550416819</v>
      </c>
      <c r="BT40" s="340">
        <f t="shared" si="7"/>
        <v>0</v>
      </c>
      <c r="BU40" s="340">
        <f t="shared" si="8"/>
        <v>0</v>
      </c>
      <c r="BV40" s="340">
        <f t="shared" si="9"/>
        <v>0</v>
      </c>
      <c r="BW40" s="340">
        <f t="shared" si="10"/>
        <v>0</v>
      </c>
      <c r="BX40" s="340">
        <f t="shared" si="11"/>
        <v>6819852.195504168</v>
      </c>
      <c r="BY40" s="340">
        <f t="shared" si="12"/>
        <v>0</v>
      </c>
    </row>
    <row r="41" spans="1:77" s="329" customFormat="1">
      <c r="A41" s="938">
        <v>22</v>
      </c>
      <c r="B41" s="120" t="s">
        <v>223</v>
      </c>
      <c r="C41" s="679" t="s">
        <v>381</v>
      </c>
      <c r="D41" s="231">
        <v>14287</v>
      </c>
      <c r="E41" s="231"/>
      <c r="F41" s="340">
        <f t="shared" si="13"/>
        <v>14287</v>
      </c>
      <c r="G41" s="231">
        <v>40134.050000000003</v>
      </c>
      <c r="H41" s="231"/>
      <c r="I41" s="340">
        <f t="shared" si="14"/>
        <v>40134.050000000003</v>
      </c>
      <c r="J41" s="340">
        <f t="shared" si="15"/>
        <v>54421.05</v>
      </c>
      <c r="K41" s="231">
        <v>69.679857784187917</v>
      </c>
      <c r="L41" s="231"/>
      <c r="M41" s="231"/>
      <c r="N41" s="231"/>
      <c r="O41" s="635"/>
      <c r="P41" s="222">
        <f t="shared" si="16"/>
        <v>54490.729857784194</v>
      </c>
      <c r="Q41" s="936">
        <f>P41-O41-'Schedule 3A_Income Statement'!CO58</f>
        <v>0</v>
      </c>
      <c r="R41" s="223"/>
      <c r="S41" s="231">
        <v>3120.6800000000003</v>
      </c>
      <c r="T41" s="231"/>
      <c r="U41" s="340">
        <f t="shared" si="17"/>
        <v>3120.6800000000003</v>
      </c>
      <c r="V41" s="231">
        <v>48749.86</v>
      </c>
      <c r="W41" s="231"/>
      <c r="X41" s="340">
        <f t="shared" si="18"/>
        <v>48749.86</v>
      </c>
      <c r="Y41" s="340">
        <f t="shared" si="19"/>
        <v>51870.54</v>
      </c>
      <c r="Z41" s="231">
        <v>153.69934930192457</v>
      </c>
      <c r="AA41" s="231"/>
      <c r="AB41" s="231"/>
      <c r="AC41" s="231"/>
      <c r="AD41" s="635"/>
      <c r="AE41" s="222">
        <f t="shared" si="20"/>
        <v>52024.239349301926</v>
      </c>
      <c r="AF41" s="936">
        <f>AE41-AD41-'Schedule 3A_Income Statement'!CP58</f>
        <v>0</v>
      </c>
      <c r="AG41" s="223"/>
      <c r="AH41" s="231">
        <v>6506.2000000000025</v>
      </c>
      <c r="AI41" s="231"/>
      <c r="AJ41" s="340">
        <f t="shared" si="21"/>
        <v>6506.2000000000025</v>
      </c>
      <c r="AK41" s="231">
        <v>84141.62000000001</v>
      </c>
      <c r="AL41" s="231"/>
      <c r="AM41" s="340">
        <f t="shared" si="22"/>
        <v>84141.62000000001</v>
      </c>
      <c r="AN41" s="340">
        <f t="shared" si="23"/>
        <v>90647.82</v>
      </c>
      <c r="AO41" s="231">
        <v>1114.8053607152096</v>
      </c>
      <c r="AP41" s="231"/>
      <c r="AQ41" s="231"/>
      <c r="AR41" s="231"/>
      <c r="AS41" s="635"/>
      <c r="AT41" s="222">
        <f t="shared" si="24"/>
        <v>91762.625360715218</v>
      </c>
      <c r="AU41" s="936">
        <f>AT41-AS41-'Schedule 3A_Income Statement'!CQ58</f>
        <v>0</v>
      </c>
      <c r="AV41" s="223"/>
      <c r="AW41" s="231">
        <v>4027.0600000000022</v>
      </c>
      <c r="AX41" s="231"/>
      <c r="AY41" s="340">
        <f t="shared" si="25"/>
        <v>4027.0600000000022</v>
      </c>
      <c r="AZ41" s="231">
        <v>53409.259999999995</v>
      </c>
      <c r="BA41" s="231"/>
      <c r="BB41" s="340">
        <f t="shared" si="26"/>
        <v>53409.259999999995</v>
      </c>
      <c r="BC41" s="340">
        <f t="shared" si="27"/>
        <v>57436.32</v>
      </c>
      <c r="BD41" s="231">
        <v>2727.5892713099902</v>
      </c>
      <c r="BE41" s="231"/>
      <c r="BF41" s="231"/>
      <c r="BG41" s="231"/>
      <c r="BH41" s="635"/>
      <c r="BI41" s="222">
        <f t="shared" si="28"/>
        <v>60163.909271309989</v>
      </c>
      <c r="BJ41" s="936">
        <f>BI41-BH41-'Schedule 3A_Income Statement'!CR58</f>
        <v>0</v>
      </c>
      <c r="BL41" s="340">
        <f t="shared" si="29"/>
        <v>27940.940000000006</v>
      </c>
      <c r="BM41" s="340">
        <f t="shared" si="0"/>
        <v>0</v>
      </c>
      <c r="BN41" s="340">
        <f t="shared" si="1"/>
        <v>27940.940000000006</v>
      </c>
      <c r="BO41" s="340">
        <f t="shared" si="2"/>
        <v>226434.79000000004</v>
      </c>
      <c r="BP41" s="340">
        <f t="shared" si="3"/>
        <v>0</v>
      </c>
      <c r="BQ41" s="340">
        <f t="shared" si="4"/>
        <v>226434.79000000004</v>
      </c>
      <c r="BR41" s="340">
        <f t="shared" si="5"/>
        <v>254375.73</v>
      </c>
      <c r="BS41" s="340">
        <f t="shared" si="6"/>
        <v>4065.7738391113126</v>
      </c>
      <c r="BT41" s="340">
        <f t="shared" si="7"/>
        <v>0</v>
      </c>
      <c r="BU41" s="340">
        <f t="shared" si="8"/>
        <v>0</v>
      </c>
      <c r="BV41" s="340">
        <f t="shared" si="9"/>
        <v>0</v>
      </c>
      <c r="BW41" s="340">
        <f t="shared" si="10"/>
        <v>0</v>
      </c>
      <c r="BX41" s="340">
        <f t="shared" si="11"/>
        <v>258441.50383911133</v>
      </c>
      <c r="BY41" s="340">
        <f t="shared" si="12"/>
        <v>0</v>
      </c>
    </row>
    <row r="42" spans="1:77" s="329" customFormat="1">
      <c r="A42" s="939">
        <v>23</v>
      </c>
      <c r="B42" s="122" t="s">
        <v>224</v>
      </c>
      <c r="C42" s="937" t="s">
        <v>202</v>
      </c>
      <c r="D42" s="231">
        <v>11011.270000000002</v>
      </c>
      <c r="E42" s="231"/>
      <c r="F42" s="340">
        <f t="shared" si="13"/>
        <v>11011.270000000002</v>
      </c>
      <c r="G42" s="231">
        <v>41325.009999999995</v>
      </c>
      <c r="H42" s="231"/>
      <c r="I42" s="340">
        <f t="shared" si="14"/>
        <v>41325.009999999995</v>
      </c>
      <c r="J42" s="340">
        <f t="shared" si="15"/>
        <v>52336.28</v>
      </c>
      <c r="K42" s="231">
        <v>67.788369749837642</v>
      </c>
      <c r="L42" s="231"/>
      <c r="M42" s="231"/>
      <c r="N42" s="231"/>
      <c r="O42" s="635"/>
      <c r="P42" s="222">
        <f t="shared" si="16"/>
        <v>52404.068369749839</v>
      </c>
      <c r="Q42" s="936">
        <f>P42-O42-'Schedule 3A_Income Statement'!CO59</f>
        <v>0</v>
      </c>
      <c r="R42" s="223"/>
      <c r="S42" s="231">
        <v>16243.28</v>
      </c>
      <c r="T42" s="231"/>
      <c r="U42" s="340">
        <f t="shared" si="17"/>
        <v>16243.28</v>
      </c>
      <c r="V42" s="231">
        <v>27328.510000000002</v>
      </c>
      <c r="W42" s="231"/>
      <c r="X42" s="340">
        <f t="shared" si="18"/>
        <v>27328.510000000002</v>
      </c>
      <c r="Y42" s="340">
        <f t="shared" si="19"/>
        <v>43571.79</v>
      </c>
      <c r="Z42" s="231">
        <v>122.7547075983974</v>
      </c>
      <c r="AA42" s="231"/>
      <c r="AB42" s="231"/>
      <c r="AC42" s="231"/>
      <c r="AD42" s="635"/>
      <c r="AE42" s="222">
        <f t="shared" si="20"/>
        <v>43694.544707598398</v>
      </c>
      <c r="AF42" s="936">
        <f>AE42-AD42-'Schedule 3A_Income Statement'!CP59</f>
        <v>0</v>
      </c>
      <c r="AG42" s="223"/>
      <c r="AH42" s="231">
        <v>31134.810000000009</v>
      </c>
      <c r="AI42" s="231"/>
      <c r="AJ42" s="340">
        <f t="shared" si="21"/>
        <v>31134.810000000009</v>
      </c>
      <c r="AK42" s="231">
        <v>58668.92</v>
      </c>
      <c r="AL42" s="231"/>
      <c r="AM42" s="340">
        <f t="shared" si="22"/>
        <v>58668.92</v>
      </c>
      <c r="AN42" s="340">
        <f t="shared" si="23"/>
        <v>89803.73000000001</v>
      </c>
      <c r="AO42" s="231">
        <v>1069.6351784790149</v>
      </c>
      <c r="AP42" s="231"/>
      <c r="AQ42" s="231"/>
      <c r="AR42" s="231"/>
      <c r="AS42" s="635"/>
      <c r="AT42" s="222">
        <f t="shared" si="24"/>
        <v>90873.365178479027</v>
      </c>
      <c r="AU42" s="936">
        <f>AT42-AS42-'Schedule 3A_Income Statement'!CQ59</f>
        <v>0</v>
      </c>
      <c r="AV42" s="223"/>
      <c r="AW42" s="231">
        <v>37856.319999999971</v>
      </c>
      <c r="AX42" s="231"/>
      <c r="AY42" s="340">
        <f t="shared" si="25"/>
        <v>37856.319999999971</v>
      </c>
      <c r="AZ42" s="231">
        <v>66012.22</v>
      </c>
      <c r="BA42" s="231"/>
      <c r="BB42" s="340">
        <f t="shared" si="26"/>
        <v>66012.22</v>
      </c>
      <c r="BC42" s="340">
        <f t="shared" si="27"/>
        <v>103868.53999999998</v>
      </c>
      <c r="BD42" s="231">
        <v>4991.717781975758</v>
      </c>
      <c r="BE42" s="231"/>
      <c r="BF42" s="231"/>
      <c r="BG42" s="231"/>
      <c r="BH42" s="635"/>
      <c r="BI42" s="222">
        <f t="shared" si="28"/>
        <v>108860.25778197574</v>
      </c>
      <c r="BJ42" s="936">
        <f>BI42-BH42-'Schedule 3A_Income Statement'!CR59</f>
        <v>0</v>
      </c>
      <c r="BL42" s="340">
        <f t="shared" si="29"/>
        <v>96245.68</v>
      </c>
      <c r="BM42" s="340">
        <f t="shared" si="0"/>
        <v>0</v>
      </c>
      <c r="BN42" s="340">
        <f t="shared" si="1"/>
        <v>96245.68</v>
      </c>
      <c r="BO42" s="340">
        <f t="shared" si="2"/>
        <v>193334.65999999997</v>
      </c>
      <c r="BP42" s="340">
        <f t="shared" si="3"/>
        <v>0</v>
      </c>
      <c r="BQ42" s="340">
        <f t="shared" si="4"/>
        <v>193334.65999999997</v>
      </c>
      <c r="BR42" s="340">
        <f t="shared" si="5"/>
        <v>289580.33999999997</v>
      </c>
      <c r="BS42" s="340">
        <f t="shared" si="6"/>
        <v>6251.8960378030079</v>
      </c>
      <c r="BT42" s="340">
        <f t="shared" si="7"/>
        <v>0</v>
      </c>
      <c r="BU42" s="340">
        <f t="shared" si="8"/>
        <v>0</v>
      </c>
      <c r="BV42" s="340">
        <f t="shared" si="9"/>
        <v>0</v>
      </c>
      <c r="BW42" s="340">
        <f t="shared" si="10"/>
        <v>0</v>
      </c>
      <c r="BX42" s="340">
        <f t="shared" si="11"/>
        <v>295832.236037803</v>
      </c>
      <c r="BY42" s="340">
        <f t="shared" si="12"/>
        <v>0</v>
      </c>
    </row>
    <row r="43" spans="1:77" s="329" customFormat="1" ht="15" customHeight="1">
      <c r="A43" s="938">
        <v>24</v>
      </c>
      <c r="B43" s="601" t="s">
        <v>372</v>
      </c>
      <c r="C43" s="120" t="s">
        <v>202</v>
      </c>
      <c r="D43" s="231">
        <f>'Schedule 3A_Income Statement'!CJ60</f>
        <v>0</v>
      </c>
      <c r="E43" s="231"/>
      <c r="F43" s="340">
        <f t="shared" si="13"/>
        <v>0</v>
      </c>
      <c r="G43" s="231">
        <f>'Schedule 3A_Income Statement'!CE60</f>
        <v>2756668.5</v>
      </c>
      <c r="H43" s="231"/>
      <c r="I43" s="340">
        <f t="shared" si="14"/>
        <v>2756668.5</v>
      </c>
      <c r="J43" s="340">
        <f t="shared" si="15"/>
        <v>2756668.5</v>
      </c>
      <c r="K43" s="231"/>
      <c r="L43" s="231"/>
      <c r="M43" s="231"/>
      <c r="N43" s="231"/>
      <c r="O43" s="635"/>
      <c r="P43" s="222">
        <f t="shared" si="16"/>
        <v>2756668.5</v>
      </c>
      <c r="Q43" s="936">
        <f>P43-O43-'Schedule 3A_Income Statement'!CO60</f>
        <v>0</v>
      </c>
      <c r="R43" s="223"/>
      <c r="S43" s="231">
        <f>'Schedule 3A_Income Statement'!CK60</f>
        <v>0</v>
      </c>
      <c r="T43" s="231"/>
      <c r="U43" s="340">
        <f t="shared" si="17"/>
        <v>0</v>
      </c>
      <c r="V43" s="231">
        <f>'Schedule 3A_Income Statement'!CF60</f>
        <v>2887141.75</v>
      </c>
      <c r="W43" s="231"/>
      <c r="X43" s="340">
        <f t="shared" si="18"/>
        <v>2887141.75</v>
      </c>
      <c r="Y43" s="340">
        <f t="shared" si="19"/>
        <v>2887141.75</v>
      </c>
      <c r="Z43" s="231"/>
      <c r="AA43" s="231"/>
      <c r="AB43" s="231"/>
      <c r="AC43" s="231"/>
      <c r="AD43" s="635"/>
      <c r="AE43" s="222">
        <f t="shared" si="20"/>
        <v>2887141.75</v>
      </c>
      <c r="AF43" s="936">
        <f>AE43-AD43-'Schedule 3A_Income Statement'!CP60</f>
        <v>0</v>
      </c>
      <c r="AG43" s="223"/>
      <c r="AH43" s="231">
        <f>'Schedule 3A_Income Statement'!CL60</f>
        <v>0</v>
      </c>
      <c r="AI43" s="231"/>
      <c r="AJ43" s="340">
        <f t="shared" si="21"/>
        <v>0</v>
      </c>
      <c r="AK43" s="231">
        <f>'Schedule 3A_Income Statement'!CG60</f>
        <v>3017703.3900000006</v>
      </c>
      <c r="AL43" s="231"/>
      <c r="AM43" s="340">
        <f t="shared" si="22"/>
        <v>3017703.3900000006</v>
      </c>
      <c r="AN43" s="340">
        <f t="shared" si="23"/>
        <v>3017703.3900000006</v>
      </c>
      <c r="AO43" s="231"/>
      <c r="AP43" s="231"/>
      <c r="AQ43" s="231"/>
      <c r="AR43" s="231"/>
      <c r="AS43" s="635"/>
      <c r="AT43" s="222">
        <f t="shared" si="24"/>
        <v>3017703.3900000006</v>
      </c>
      <c r="AU43" s="936">
        <f>AT43-AS43-'Schedule 3A_Income Statement'!CQ60</f>
        <v>0</v>
      </c>
      <c r="AV43" s="223"/>
      <c r="AW43" s="231">
        <f>'Schedule 3A_Income Statement'!CM60</f>
        <v>0</v>
      </c>
      <c r="AX43" s="231"/>
      <c r="AY43" s="340">
        <f t="shared" si="25"/>
        <v>0</v>
      </c>
      <c r="AZ43" s="231">
        <f>'Schedule 3A_Income Statement'!CH60</f>
        <v>3148357.36</v>
      </c>
      <c r="BA43" s="231"/>
      <c r="BB43" s="340">
        <f t="shared" si="26"/>
        <v>3148357.36</v>
      </c>
      <c r="BC43" s="340">
        <f t="shared" si="27"/>
        <v>3148357.36</v>
      </c>
      <c r="BD43" s="231"/>
      <c r="BE43" s="231"/>
      <c r="BF43" s="231"/>
      <c r="BG43" s="231"/>
      <c r="BH43" s="635"/>
      <c r="BI43" s="222">
        <f t="shared" si="28"/>
        <v>3148357.36</v>
      </c>
      <c r="BJ43" s="936">
        <f>BI43-BH43-'Schedule 3A_Income Statement'!CR60</f>
        <v>0</v>
      </c>
      <c r="BL43" s="340">
        <f t="shared" si="29"/>
        <v>0</v>
      </c>
      <c r="BM43" s="340">
        <f t="shared" si="0"/>
        <v>0</v>
      </c>
      <c r="BN43" s="340">
        <f t="shared" si="1"/>
        <v>0</v>
      </c>
      <c r="BO43" s="340">
        <f t="shared" si="2"/>
        <v>11809871</v>
      </c>
      <c r="BP43" s="340">
        <f t="shared" si="3"/>
        <v>0</v>
      </c>
      <c r="BQ43" s="340">
        <f t="shared" si="4"/>
        <v>11809871</v>
      </c>
      <c r="BR43" s="340">
        <f t="shared" si="5"/>
        <v>11809871</v>
      </c>
      <c r="BS43" s="340">
        <f t="shared" si="6"/>
        <v>0</v>
      </c>
      <c r="BT43" s="340">
        <f t="shared" si="7"/>
        <v>0</v>
      </c>
      <c r="BU43" s="340">
        <f t="shared" si="8"/>
        <v>0</v>
      </c>
      <c r="BV43" s="340">
        <f t="shared" si="9"/>
        <v>0</v>
      </c>
      <c r="BW43" s="340">
        <f t="shared" si="10"/>
        <v>0</v>
      </c>
      <c r="BX43" s="340">
        <f t="shared" si="11"/>
        <v>11809871</v>
      </c>
      <c r="BY43" s="340">
        <f t="shared" si="12"/>
        <v>0</v>
      </c>
    </row>
    <row r="44" spans="1:77" s="329" customFormat="1">
      <c r="A44" s="938">
        <v>25</v>
      </c>
      <c r="B44" s="120" t="s">
        <v>226</v>
      </c>
      <c r="C44" s="629" t="s">
        <v>202</v>
      </c>
      <c r="D44" s="231">
        <f>'Schedule 3A_Income Statement'!CJ61</f>
        <v>4155842.09</v>
      </c>
      <c r="E44" s="231"/>
      <c r="F44" s="340">
        <f t="shared" si="13"/>
        <v>4155842.09</v>
      </c>
      <c r="G44" s="231">
        <f>'Schedule 3A_Income Statement'!CE61</f>
        <v>1117210.44</v>
      </c>
      <c r="H44" s="231"/>
      <c r="I44" s="340">
        <f t="shared" si="14"/>
        <v>1117210.44</v>
      </c>
      <c r="J44" s="340">
        <f t="shared" si="15"/>
        <v>5273052.5299999993</v>
      </c>
      <c r="K44" s="231"/>
      <c r="L44" s="231"/>
      <c r="M44" s="231"/>
      <c r="N44" s="231"/>
      <c r="O44" s="635"/>
      <c r="P44" s="222">
        <f t="shared" si="16"/>
        <v>5273052.5299999993</v>
      </c>
      <c r="Q44" s="936">
        <f>P44-O44-'Schedule 3A_Income Statement'!CO61</f>
        <v>0</v>
      </c>
      <c r="R44" s="223"/>
      <c r="S44" s="231">
        <f>'Schedule 3A_Income Statement'!CK61</f>
        <v>4611572.1199999992</v>
      </c>
      <c r="T44" s="231"/>
      <c r="U44" s="340">
        <f t="shared" si="17"/>
        <v>4611572.1199999992</v>
      </c>
      <c r="V44" s="231">
        <f>'Schedule 3A_Income Statement'!CF61</f>
        <v>1207395.6300000001</v>
      </c>
      <c r="W44" s="231"/>
      <c r="X44" s="340">
        <f t="shared" si="18"/>
        <v>1207395.6300000001</v>
      </c>
      <c r="Y44" s="340">
        <f t="shared" si="19"/>
        <v>5818967.7499999991</v>
      </c>
      <c r="Z44" s="231"/>
      <c r="AA44" s="231"/>
      <c r="AB44" s="231"/>
      <c r="AC44" s="231"/>
      <c r="AD44" s="635"/>
      <c r="AE44" s="222">
        <f t="shared" si="20"/>
        <v>5818967.7499999991</v>
      </c>
      <c r="AF44" s="936">
        <f>AE44-AD44-'Schedule 3A_Income Statement'!CP61</f>
        <v>0</v>
      </c>
      <c r="AG44" s="223"/>
      <c r="AH44" s="231">
        <f>'Schedule 3A_Income Statement'!CL61</f>
        <v>4771364.84</v>
      </c>
      <c r="AI44" s="231"/>
      <c r="AJ44" s="340">
        <f t="shared" si="21"/>
        <v>4771364.84</v>
      </c>
      <c r="AK44" s="231">
        <f>'Schedule 3A_Income Statement'!CG61</f>
        <v>1277565.6300000001</v>
      </c>
      <c r="AL44" s="231"/>
      <c r="AM44" s="340">
        <f t="shared" si="22"/>
        <v>1277565.6300000001</v>
      </c>
      <c r="AN44" s="340">
        <f t="shared" si="23"/>
        <v>6048930.4699999997</v>
      </c>
      <c r="AO44" s="231"/>
      <c r="AP44" s="231"/>
      <c r="AQ44" s="231"/>
      <c r="AR44" s="231"/>
      <c r="AS44" s="635"/>
      <c r="AT44" s="222">
        <f t="shared" si="24"/>
        <v>6048930.4699999997</v>
      </c>
      <c r="AU44" s="936">
        <f>AT44-AS44-'Schedule 3A_Income Statement'!CQ61</f>
        <v>0</v>
      </c>
      <c r="AV44" s="223"/>
      <c r="AW44" s="231">
        <f>'Schedule 3A_Income Statement'!CM61</f>
        <v>5054026.3899999997</v>
      </c>
      <c r="AX44" s="231"/>
      <c r="AY44" s="340">
        <f t="shared" si="25"/>
        <v>5054026.3899999997</v>
      </c>
      <c r="AZ44" s="231">
        <f>'Schedule 3A_Income Statement'!CH61</f>
        <v>1075370.46</v>
      </c>
      <c r="BA44" s="231"/>
      <c r="BB44" s="340">
        <f t="shared" si="26"/>
        <v>1075370.46</v>
      </c>
      <c r="BC44" s="340">
        <f t="shared" si="27"/>
        <v>6129396.8499999996</v>
      </c>
      <c r="BD44" s="231"/>
      <c r="BE44" s="231"/>
      <c r="BF44" s="231"/>
      <c r="BG44" s="231"/>
      <c r="BH44" s="635"/>
      <c r="BI44" s="222">
        <f t="shared" si="28"/>
        <v>6129396.8499999996</v>
      </c>
      <c r="BJ44" s="936">
        <f>BI44-BH44-'Schedule 3A_Income Statement'!CR61</f>
        <v>0</v>
      </c>
      <c r="BL44" s="340">
        <f t="shared" si="29"/>
        <v>18592805.439999998</v>
      </c>
      <c r="BM44" s="340">
        <f t="shared" si="0"/>
        <v>0</v>
      </c>
      <c r="BN44" s="340">
        <f t="shared" si="1"/>
        <v>18592805.439999998</v>
      </c>
      <c r="BO44" s="340">
        <f t="shared" si="2"/>
        <v>4677542.16</v>
      </c>
      <c r="BP44" s="340">
        <f t="shared" si="3"/>
        <v>0</v>
      </c>
      <c r="BQ44" s="340">
        <f t="shared" si="4"/>
        <v>4677542.16</v>
      </c>
      <c r="BR44" s="340">
        <f t="shared" si="5"/>
        <v>23270347.599999994</v>
      </c>
      <c r="BS44" s="340">
        <f t="shared" si="6"/>
        <v>0</v>
      </c>
      <c r="BT44" s="340">
        <f t="shared" si="7"/>
        <v>0</v>
      </c>
      <c r="BU44" s="340">
        <f t="shared" si="8"/>
        <v>0</v>
      </c>
      <c r="BV44" s="340">
        <f t="shared" si="9"/>
        <v>0</v>
      </c>
      <c r="BW44" s="340">
        <f t="shared" si="10"/>
        <v>0</v>
      </c>
      <c r="BX44" s="340">
        <f t="shared" si="11"/>
        <v>23270347.599999994</v>
      </c>
      <c r="BY44" s="340">
        <f t="shared" si="12"/>
        <v>0</v>
      </c>
    </row>
    <row r="45" spans="1:77" s="329" customFormat="1" ht="15" customHeight="1">
      <c r="A45" s="939">
        <v>26</v>
      </c>
      <c r="B45" s="122" t="s">
        <v>54</v>
      </c>
      <c r="C45" s="122"/>
      <c r="D45" s="224">
        <f>SUM(D18:D44)-D27-D29</f>
        <v>51793834.748386644</v>
      </c>
      <c r="E45" s="224">
        <f t="shared" ref="E45:H45" si="46">SUM(E18:E44)-E27-E29</f>
        <v>0</v>
      </c>
      <c r="F45" s="224">
        <f t="shared" si="13"/>
        <v>51793834.748386644</v>
      </c>
      <c r="G45" s="224">
        <f t="shared" ref="G45:O45" si="47">SUM(G18:G44)-G27-G29</f>
        <v>85272902.380370602</v>
      </c>
      <c r="H45" s="224">
        <f t="shared" si="46"/>
        <v>0</v>
      </c>
      <c r="I45" s="224">
        <f t="shared" si="14"/>
        <v>85272902.380370602</v>
      </c>
      <c r="J45" s="224">
        <f t="shared" si="15"/>
        <v>137066737.12875724</v>
      </c>
      <c r="K45" s="224">
        <f>SUM(K18:K44)-K27-K29</f>
        <v>139452.06438879328</v>
      </c>
      <c r="L45" s="224">
        <f t="shared" si="47"/>
        <v>0</v>
      </c>
      <c r="M45" s="224">
        <f t="shared" si="47"/>
        <v>0</v>
      </c>
      <c r="N45" s="224">
        <f t="shared" si="47"/>
        <v>0</v>
      </c>
      <c r="O45" s="224">
        <f t="shared" si="47"/>
        <v>0</v>
      </c>
      <c r="P45" s="224">
        <f t="shared" si="16"/>
        <v>137206189.19314602</v>
      </c>
      <c r="Q45" s="940">
        <f>P45-O45-(SUM('Schedule 3A_Income Statement'!$CO$35:$CO$61)-'Schedule 3A_Income Statement'!$CO$44-'Schedule 3A_Income Statement'!$CO$46)</f>
        <v>0</v>
      </c>
      <c r="R45" s="223"/>
      <c r="S45" s="224">
        <f>SUM(S18:S44)-S27-S29</f>
        <v>58865234.891479664</v>
      </c>
      <c r="T45" s="224">
        <f t="shared" ref="T45" si="48">SUM(T18:T44)-T27-T29</f>
        <v>0</v>
      </c>
      <c r="U45" s="224">
        <f t="shared" si="17"/>
        <v>58865234.891479664</v>
      </c>
      <c r="V45" s="224">
        <f t="shared" ref="V45" si="49">SUM(V18:V44)-V27-V29</f>
        <v>84250025.716054901</v>
      </c>
      <c r="W45" s="224">
        <f t="shared" ref="W45" si="50">SUM(W18:W44)-W27-W29</f>
        <v>0</v>
      </c>
      <c r="X45" s="224">
        <f t="shared" si="18"/>
        <v>84250025.716054901</v>
      </c>
      <c r="Y45" s="224">
        <f t="shared" si="19"/>
        <v>143115260.60753456</v>
      </c>
      <c r="Z45" s="224">
        <f t="shared" ref="Z45:AC45" si="51">SUM(Z18:Z44)-Z27-Z29</f>
        <v>321612.80701058405</v>
      </c>
      <c r="AA45" s="224">
        <f t="shared" si="51"/>
        <v>0</v>
      </c>
      <c r="AB45" s="224">
        <f t="shared" si="51"/>
        <v>0</v>
      </c>
      <c r="AC45" s="224">
        <f t="shared" si="51"/>
        <v>0</v>
      </c>
      <c r="AD45" s="224">
        <f t="shared" ref="AD45" si="52">SUM(AD18:AD44)-AD27-AD29</f>
        <v>0</v>
      </c>
      <c r="AE45" s="224">
        <f t="shared" si="20"/>
        <v>143436873.41454515</v>
      </c>
      <c r="AF45" s="940">
        <f>AE45-AD45-(SUM('Schedule 3A_Income Statement'!$CP$35:$CP$61)-'Schedule 3A_Income Statement'!$CP$44-'Schedule 3A_Income Statement'!$CP$46)</f>
        <v>0</v>
      </c>
      <c r="AG45" s="223"/>
      <c r="AH45" s="224">
        <f>SUM(AH18:AH44)-AH27-AH29</f>
        <v>59435414.557607621</v>
      </c>
      <c r="AI45" s="224">
        <f t="shared" ref="AI45" si="53">SUM(AI18:AI44)-AI27-AI29</f>
        <v>0</v>
      </c>
      <c r="AJ45" s="224">
        <f t="shared" si="21"/>
        <v>59435414.557607621</v>
      </c>
      <c r="AK45" s="224">
        <f t="shared" ref="AK45" si="54">SUM(AK18:AK44)-AK27-AK29</f>
        <v>90968973.652650699</v>
      </c>
      <c r="AL45" s="224">
        <f t="shared" ref="AL45" si="55">SUM(AL18:AL44)-AL27-AL29</f>
        <v>0</v>
      </c>
      <c r="AM45" s="224">
        <f t="shared" si="22"/>
        <v>90968973.652650699</v>
      </c>
      <c r="AN45" s="224">
        <f t="shared" si="23"/>
        <v>150404388.21025831</v>
      </c>
      <c r="AO45" s="224">
        <f t="shared" ref="AO45:AR45" si="56">SUM(AO18:AO44)-AO27-AO29</f>
        <v>1418093.8489279214</v>
      </c>
      <c r="AP45" s="224">
        <f t="shared" si="56"/>
        <v>0</v>
      </c>
      <c r="AQ45" s="224">
        <f t="shared" si="56"/>
        <v>0</v>
      </c>
      <c r="AR45" s="224">
        <f t="shared" si="56"/>
        <v>0</v>
      </c>
      <c r="AS45" s="224">
        <f t="shared" ref="AS45" si="57">SUM(AS18:AS44)-AS27-AS29</f>
        <v>0</v>
      </c>
      <c r="AT45" s="224">
        <f t="shared" si="24"/>
        <v>151822482.05918622</v>
      </c>
      <c r="AU45" s="940">
        <f>AT45-AS45-(SUM('Schedule 3A_Income Statement'!$CQ$35:$CQ$61)-'Schedule 3A_Income Statement'!$CQ$44-'Schedule 3A_Income Statement'!$CQ$46)</f>
        <v>0</v>
      </c>
      <c r="AV45" s="223"/>
      <c r="AW45" s="224">
        <f>SUM(AW18:AW44)-AW27-AW29</f>
        <v>63264346.457784906</v>
      </c>
      <c r="AX45" s="224">
        <f t="shared" ref="AX45" si="58">SUM(AX18:AX44)-AX27-AX29</f>
        <v>0</v>
      </c>
      <c r="AY45" s="224">
        <f t="shared" si="25"/>
        <v>63264346.457784906</v>
      </c>
      <c r="AZ45" s="224">
        <f t="shared" ref="AZ45" si="59">SUM(AZ18:AZ44)-AZ27-AZ29</f>
        <v>93453280.614473447</v>
      </c>
      <c r="BA45" s="224">
        <f t="shared" ref="BA45" si="60">SUM(BA18:BA44)-BA27-BA29</f>
        <v>0</v>
      </c>
      <c r="BB45" s="224">
        <f t="shared" si="26"/>
        <v>93453280.614473447</v>
      </c>
      <c r="BC45" s="224">
        <f t="shared" si="27"/>
        <v>156717627.07225835</v>
      </c>
      <c r="BD45" s="224">
        <f t="shared" ref="BD45:BG45" si="61">SUM(BD18:BD44)-BD27-BD29</f>
        <v>5911016.8278004592</v>
      </c>
      <c r="BE45" s="224">
        <f t="shared" si="61"/>
        <v>0</v>
      </c>
      <c r="BF45" s="224">
        <f t="shared" si="61"/>
        <v>0</v>
      </c>
      <c r="BG45" s="224">
        <f t="shared" si="61"/>
        <v>0</v>
      </c>
      <c r="BH45" s="224">
        <f t="shared" ref="BH45" si="62">SUM(BH18:BH44)-BH27-BH29</f>
        <v>0</v>
      </c>
      <c r="BI45" s="224">
        <f t="shared" si="28"/>
        <v>162628643.90005881</v>
      </c>
      <c r="BJ45" s="940">
        <f>BI45-BH45-(SUM('Schedule 3A_Income Statement'!$CR$35:$CR$61)-'Schedule 3A_Income Statement'!$CR$44-'Schedule 3A_Income Statement'!$CR$46)</f>
        <v>0</v>
      </c>
      <c r="BL45" s="340">
        <f t="shared" si="29"/>
        <v>233358830.65525883</v>
      </c>
      <c r="BM45" s="340">
        <f t="shared" si="0"/>
        <v>0</v>
      </c>
      <c r="BN45" s="340">
        <f t="shared" si="1"/>
        <v>233358830.65525883</v>
      </c>
      <c r="BO45" s="340">
        <f t="shared" si="2"/>
        <v>353945182.36354965</v>
      </c>
      <c r="BP45" s="340">
        <f t="shared" si="3"/>
        <v>0</v>
      </c>
      <c r="BQ45" s="340">
        <f t="shared" si="4"/>
        <v>353945182.36354965</v>
      </c>
      <c r="BR45" s="340">
        <f t="shared" si="5"/>
        <v>587304013.01880836</v>
      </c>
      <c r="BS45" s="340">
        <f t="shared" si="6"/>
        <v>7790175.5481277574</v>
      </c>
      <c r="BT45" s="340">
        <f t="shared" si="7"/>
        <v>0</v>
      </c>
      <c r="BU45" s="340">
        <f t="shared" si="8"/>
        <v>0</v>
      </c>
      <c r="BV45" s="340">
        <f t="shared" si="9"/>
        <v>0</v>
      </c>
      <c r="BW45" s="340">
        <f t="shared" si="10"/>
        <v>0</v>
      </c>
      <c r="BX45" s="340">
        <f t="shared" si="11"/>
        <v>595094188.56693625</v>
      </c>
      <c r="BY45" s="340">
        <f t="shared" si="12"/>
        <v>0</v>
      </c>
    </row>
    <row r="46" spans="1:77" s="329" customFormat="1" ht="15" customHeight="1">
      <c r="A46" s="606"/>
      <c r="B46" s="234"/>
      <c r="C46" s="234"/>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L46" s="145"/>
      <c r="BM46" s="145"/>
      <c r="BN46" s="145"/>
      <c r="BO46" s="145"/>
      <c r="BP46" s="145"/>
      <c r="BQ46" s="145"/>
      <c r="BR46" s="145"/>
      <c r="BS46" s="145"/>
      <c r="BT46" s="145"/>
      <c r="BU46" s="145"/>
      <c r="BV46" s="145"/>
      <c r="BW46" s="145"/>
      <c r="BX46" s="145"/>
      <c r="BY46" s="145"/>
    </row>
    <row r="47" spans="1:77" s="329" customFormat="1">
      <c r="A47" s="604">
        <v>27</v>
      </c>
      <c r="B47" s="122" t="s">
        <v>204</v>
      </c>
      <c r="C47" s="122" t="s">
        <v>204</v>
      </c>
      <c r="D47" s="340">
        <f t="shared" ref="D47:H52" si="63">SUMIF($C$18:$C$45,$C47,D$18:D$45)</f>
        <v>2873.11</v>
      </c>
      <c r="E47" s="340">
        <f t="shared" si="63"/>
        <v>0</v>
      </c>
      <c r="F47" s="340">
        <f t="shared" si="13"/>
        <v>2873.11</v>
      </c>
      <c r="G47" s="340">
        <f t="shared" si="63"/>
        <v>3957052.52</v>
      </c>
      <c r="H47" s="340">
        <f t="shared" si="63"/>
        <v>0</v>
      </c>
      <c r="I47" s="340">
        <f t="shared" ref="I47:I52" si="64">SUM(G47:H47)</f>
        <v>3957052.52</v>
      </c>
      <c r="J47" s="340">
        <f t="shared" ref="J47:J52" si="65">F47+I47</f>
        <v>3959925.63</v>
      </c>
      <c r="K47" s="340">
        <f t="shared" ref="K47:O52" si="66">SUMIF($C$18:$C$45,$C47,K$18:K$45)</f>
        <v>3.8333549851454345</v>
      </c>
      <c r="L47" s="340">
        <f t="shared" si="66"/>
        <v>0</v>
      </c>
      <c r="M47" s="340">
        <f t="shared" si="66"/>
        <v>0</v>
      </c>
      <c r="N47" s="340">
        <f t="shared" si="66"/>
        <v>0</v>
      </c>
      <c r="O47" s="340">
        <f t="shared" si="66"/>
        <v>0</v>
      </c>
      <c r="P47" s="341">
        <f t="shared" ref="P47:P52" si="67">SUM(J47:N47)</f>
        <v>3959929.4633549852</v>
      </c>
      <c r="Q47" s="631"/>
      <c r="R47" s="145"/>
      <c r="S47" s="340">
        <f t="shared" ref="S47:W52" si="68">SUMIF($C$18:$C$45,$C47,S$18:S$45)</f>
        <v>1055.8399999999999</v>
      </c>
      <c r="T47" s="340">
        <f t="shared" si="68"/>
        <v>0</v>
      </c>
      <c r="U47" s="340">
        <f t="shared" ref="U47:U52" si="69">SUM(S47:T47)</f>
        <v>1055.8399999999999</v>
      </c>
      <c r="V47" s="340">
        <f t="shared" si="68"/>
        <v>4451716.1399999997</v>
      </c>
      <c r="W47" s="340">
        <f t="shared" si="68"/>
        <v>0</v>
      </c>
      <c r="X47" s="340">
        <f t="shared" ref="X47:X52" si="70">SUM(V47:W47)</f>
        <v>4451716.1399999997</v>
      </c>
      <c r="Y47" s="340">
        <f t="shared" ref="Y47:Y52" si="71">U47+X47</f>
        <v>4452771.9799999995</v>
      </c>
      <c r="Z47" s="340">
        <f t="shared" ref="Z47:AD52" si="72">SUMIF($C$18:$C$45,$C47,Z$18:Z$45)</f>
        <v>3.4552255297259191</v>
      </c>
      <c r="AA47" s="340">
        <f t="shared" si="72"/>
        <v>0</v>
      </c>
      <c r="AB47" s="340">
        <f t="shared" si="72"/>
        <v>0</v>
      </c>
      <c r="AC47" s="340">
        <f t="shared" si="72"/>
        <v>0</v>
      </c>
      <c r="AD47" s="340">
        <f t="shared" si="72"/>
        <v>0</v>
      </c>
      <c r="AE47" s="341">
        <f t="shared" ref="AE47:AE52" si="73">SUM(Y47:AC47)</f>
        <v>4452775.4352255296</v>
      </c>
      <c r="AF47" s="631"/>
      <c r="AG47" s="145"/>
      <c r="AH47" s="340">
        <f t="shared" ref="AH47:AL52" si="74">SUMIF($C$18:$C$45,$C47,AH$18:AH$45)</f>
        <v>3601.6499999999996</v>
      </c>
      <c r="AI47" s="340">
        <f t="shared" si="74"/>
        <v>0</v>
      </c>
      <c r="AJ47" s="340">
        <f t="shared" ref="AJ47:AJ52" si="75">SUM(AH47:AI47)</f>
        <v>3601.6499999999996</v>
      </c>
      <c r="AK47" s="340">
        <f t="shared" si="74"/>
        <v>4325915.8600000003</v>
      </c>
      <c r="AL47" s="340">
        <f t="shared" si="74"/>
        <v>0</v>
      </c>
      <c r="AM47" s="340">
        <f t="shared" ref="AM47:AM52" si="76">SUM(AK47:AL47)</f>
        <v>4325915.8600000003</v>
      </c>
      <c r="AN47" s="340">
        <f t="shared" ref="AN47:AN52" si="77">AJ47+AM47</f>
        <v>4329517.5100000007</v>
      </c>
      <c r="AO47" s="340">
        <f t="shared" ref="AO47:AS52" si="78">SUMIF($C$18:$C$45,$C47,AO$18:AO$45)</f>
        <v>52.604810358741545</v>
      </c>
      <c r="AP47" s="340">
        <f t="shared" si="78"/>
        <v>0</v>
      </c>
      <c r="AQ47" s="340">
        <f t="shared" si="78"/>
        <v>0</v>
      </c>
      <c r="AR47" s="340">
        <f t="shared" si="78"/>
        <v>0</v>
      </c>
      <c r="AS47" s="340">
        <f t="shared" si="78"/>
        <v>0</v>
      </c>
      <c r="AT47" s="341">
        <f t="shared" ref="AT47:AT52" si="79">SUM(AN47:AR47)</f>
        <v>4329570.1148103597</v>
      </c>
      <c r="AU47" s="631"/>
      <c r="AV47" s="145"/>
      <c r="AW47" s="340">
        <f t="shared" ref="AW47:BA52" si="80">SUMIF($C$18:$C$45,$C47,AW$18:AW$45)</f>
        <v>1952.0400000000002</v>
      </c>
      <c r="AX47" s="340">
        <f t="shared" si="80"/>
        <v>0</v>
      </c>
      <c r="AY47" s="340">
        <f t="shared" ref="AY47:AY52" si="81">SUM(AW47:AX47)</f>
        <v>1952.0400000000002</v>
      </c>
      <c r="AZ47" s="340">
        <f t="shared" si="80"/>
        <v>4812777.88</v>
      </c>
      <c r="BA47" s="340">
        <f t="shared" si="80"/>
        <v>0</v>
      </c>
      <c r="BB47" s="340">
        <f t="shared" ref="BB47:BB52" si="82">SUM(AZ47:BA47)</f>
        <v>4812777.88</v>
      </c>
      <c r="BC47" s="340">
        <f t="shared" ref="BC47:BC52" si="83">AY47+BB47</f>
        <v>4814729.92</v>
      </c>
      <c r="BD47" s="340">
        <f t="shared" ref="BD47:BH52" si="84">SUMIF($C$18:$C$45,$C47,BD$18:BD$45)</f>
        <v>112.82041556170789</v>
      </c>
      <c r="BE47" s="340">
        <f t="shared" si="84"/>
        <v>0</v>
      </c>
      <c r="BF47" s="340">
        <f t="shared" si="84"/>
        <v>0</v>
      </c>
      <c r="BG47" s="340">
        <f t="shared" si="84"/>
        <v>0</v>
      </c>
      <c r="BH47" s="340">
        <f t="shared" si="84"/>
        <v>0</v>
      </c>
      <c r="BI47" s="341">
        <f t="shared" ref="BI47:BI52" si="85">SUM(BC47:BG47)</f>
        <v>4814842.7404155619</v>
      </c>
      <c r="BJ47" s="631"/>
      <c r="BL47" s="340">
        <f t="shared" ref="BL47:BL52" si="86">D47+S47+AH47+AW47</f>
        <v>9482.64</v>
      </c>
      <c r="BM47" s="340">
        <f t="shared" ref="BM47:BM52" si="87">E47+T47+AI47+AX47</f>
        <v>0</v>
      </c>
      <c r="BN47" s="340">
        <f t="shared" ref="BN47:BN52" si="88">F47+U47+AJ47+AY47</f>
        <v>9482.64</v>
      </c>
      <c r="BO47" s="340">
        <f t="shared" ref="BO47:BO52" si="89">G47+V47+AK47+AZ47</f>
        <v>17547462.399999999</v>
      </c>
      <c r="BP47" s="340">
        <f t="shared" ref="BP47:BP52" si="90">H47+W47+AL47+BA47</f>
        <v>0</v>
      </c>
      <c r="BQ47" s="340">
        <f t="shared" ref="BQ47:BQ52" si="91">I47+X47+AM47+BB47</f>
        <v>17547462.399999999</v>
      </c>
      <c r="BR47" s="340">
        <f t="shared" ref="BR47:BR52" si="92">J47+Y47+AN47+BC47</f>
        <v>17556945.039999999</v>
      </c>
      <c r="BS47" s="340">
        <f t="shared" ref="BS47:BS52" si="93">K47+Z47+AO47+BD47</f>
        <v>172.71380643532081</v>
      </c>
      <c r="BT47" s="340">
        <f t="shared" ref="BT47:BT52" si="94">L47+AA47+AP47+BE47</f>
        <v>0</v>
      </c>
      <c r="BU47" s="340">
        <f t="shared" ref="BU47:BU52" si="95">M47+AB47+AQ47+BF47</f>
        <v>0</v>
      </c>
      <c r="BV47" s="340">
        <f t="shared" ref="BV47:BV52" si="96">N47+AC47+AR47+BG47</f>
        <v>0</v>
      </c>
      <c r="BW47" s="340">
        <f t="shared" ref="BW47:BW52" si="97">O47+AD47+AS47+BH47</f>
        <v>0</v>
      </c>
      <c r="BX47" s="340">
        <f t="shared" ref="BX47:BX52" si="98">P47+AE47+AT47+BI47</f>
        <v>17557117.753806435</v>
      </c>
      <c r="BY47" s="631"/>
    </row>
    <row r="48" spans="1:77" s="329" customFormat="1">
      <c r="A48" s="604">
        <v>28</v>
      </c>
      <c r="B48" s="120" t="s">
        <v>375</v>
      </c>
      <c r="C48" s="120" t="s">
        <v>375</v>
      </c>
      <c r="D48" s="340">
        <f t="shared" si="63"/>
        <v>12873339.679999998</v>
      </c>
      <c r="E48" s="340">
        <f t="shared" si="63"/>
        <v>0</v>
      </c>
      <c r="F48" s="340">
        <f t="shared" si="13"/>
        <v>12873339.679999998</v>
      </c>
      <c r="G48" s="340">
        <f t="shared" si="63"/>
        <v>3198190.92</v>
      </c>
      <c r="H48" s="340">
        <f t="shared" si="63"/>
        <v>0</v>
      </c>
      <c r="I48" s="340">
        <f t="shared" si="64"/>
        <v>3198190.92</v>
      </c>
      <c r="J48" s="340">
        <f t="shared" si="65"/>
        <v>16071530.599999998</v>
      </c>
      <c r="K48" s="340">
        <f t="shared" si="66"/>
        <v>18110.615575087511</v>
      </c>
      <c r="L48" s="340">
        <f t="shared" si="66"/>
        <v>0</v>
      </c>
      <c r="M48" s="340">
        <f t="shared" si="66"/>
        <v>0</v>
      </c>
      <c r="N48" s="340">
        <f t="shared" si="66"/>
        <v>0</v>
      </c>
      <c r="O48" s="340">
        <f t="shared" si="66"/>
        <v>0</v>
      </c>
      <c r="P48" s="342">
        <f t="shared" si="67"/>
        <v>16089641.215575086</v>
      </c>
      <c r="Q48" s="631"/>
      <c r="R48" s="145"/>
      <c r="S48" s="340">
        <f t="shared" si="68"/>
        <v>13519775.530000001</v>
      </c>
      <c r="T48" s="340">
        <f t="shared" si="68"/>
        <v>0</v>
      </c>
      <c r="U48" s="340">
        <f t="shared" si="69"/>
        <v>13519775.530000001</v>
      </c>
      <c r="V48" s="340">
        <f t="shared" si="68"/>
        <v>2336855.2699999996</v>
      </c>
      <c r="W48" s="340">
        <f t="shared" si="68"/>
        <v>0</v>
      </c>
      <c r="X48" s="340">
        <f t="shared" si="70"/>
        <v>2336855.2699999996</v>
      </c>
      <c r="Y48" s="340">
        <f t="shared" si="71"/>
        <v>15856630.800000001</v>
      </c>
      <c r="Z48" s="340">
        <f t="shared" si="72"/>
        <v>41123.624089248202</v>
      </c>
      <c r="AA48" s="340">
        <f t="shared" si="72"/>
        <v>0</v>
      </c>
      <c r="AB48" s="340">
        <f t="shared" si="72"/>
        <v>0</v>
      </c>
      <c r="AC48" s="340">
        <f t="shared" si="72"/>
        <v>0</v>
      </c>
      <c r="AD48" s="340">
        <f t="shared" si="72"/>
        <v>0</v>
      </c>
      <c r="AE48" s="342">
        <f t="shared" si="73"/>
        <v>15897754.424089249</v>
      </c>
      <c r="AF48" s="631"/>
      <c r="AG48" s="145"/>
      <c r="AH48" s="340">
        <f t="shared" si="74"/>
        <v>13993381.130000001</v>
      </c>
      <c r="AI48" s="340">
        <f t="shared" si="74"/>
        <v>0</v>
      </c>
      <c r="AJ48" s="340">
        <f t="shared" si="75"/>
        <v>13993381.130000001</v>
      </c>
      <c r="AK48" s="340">
        <f t="shared" si="74"/>
        <v>2355262.33</v>
      </c>
      <c r="AL48" s="340">
        <f t="shared" si="74"/>
        <v>0</v>
      </c>
      <c r="AM48" s="340">
        <f t="shared" si="76"/>
        <v>2355262.33</v>
      </c>
      <c r="AN48" s="340">
        <f t="shared" si="77"/>
        <v>16348643.460000001</v>
      </c>
      <c r="AO48" s="340">
        <f t="shared" si="78"/>
        <v>182994.41362336092</v>
      </c>
      <c r="AP48" s="340">
        <f t="shared" si="78"/>
        <v>0</v>
      </c>
      <c r="AQ48" s="340">
        <f t="shared" si="78"/>
        <v>0</v>
      </c>
      <c r="AR48" s="340">
        <f t="shared" si="78"/>
        <v>0</v>
      </c>
      <c r="AS48" s="340">
        <f t="shared" si="78"/>
        <v>0</v>
      </c>
      <c r="AT48" s="342">
        <f t="shared" si="79"/>
        <v>16531637.873623362</v>
      </c>
      <c r="AU48" s="631"/>
      <c r="AV48" s="145"/>
      <c r="AW48" s="340">
        <f t="shared" si="80"/>
        <v>14150784.02</v>
      </c>
      <c r="AX48" s="340">
        <f t="shared" si="80"/>
        <v>0</v>
      </c>
      <c r="AY48" s="340">
        <f t="shared" si="81"/>
        <v>14150784.02</v>
      </c>
      <c r="AZ48" s="340">
        <f t="shared" si="80"/>
        <v>3126990.1799999992</v>
      </c>
      <c r="BA48" s="340">
        <f t="shared" si="80"/>
        <v>0</v>
      </c>
      <c r="BB48" s="340">
        <f t="shared" si="82"/>
        <v>3126990.1799999992</v>
      </c>
      <c r="BC48" s="340">
        <f t="shared" si="83"/>
        <v>17277774.199999999</v>
      </c>
      <c r="BD48" s="340">
        <f t="shared" si="84"/>
        <v>845520.35041090182</v>
      </c>
      <c r="BE48" s="340">
        <f t="shared" si="84"/>
        <v>0</v>
      </c>
      <c r="BF48" s="340">
        <f t="shared" si="84"/>
        <v>0</v>
      </c>
      <c r="BG48" s="340">
        <f t="shared" si="84"/>
        <v>0</v>
      </c>
      <c r="BH48" s="340">
        <f t="shared" si="84"/>
        <v>0</v>
      </c>
      <c r="BI48" s="342">
        <f t="shared" si="85"/>
        <v>18123294.5504109</v>
      </c>
      <c r="BJ48" s="631"/>
      <c r="BL48" s="340">
        <f t="shared" si="86"/>
        <v>54537280.359999999</v>
      </c>
      <c r="BM48" s="340">
        <f t="shared" si="87"/>
        <v>0</v>
      </c>
      <c r="BN48" s="340">
        <f t="shared" si="88"/>
        <v>54537280.359999999</v>
      </c>
      <c r="BO48" s="340">
        <f t="shared" si="89"/>
        <v>11017298.699999999</v>
      </c>
      <c r="BP48" s="340">
        <f t="shared" si="90"/>
        <v>0</v>
      </c>
      <c r="BQ48" s="340">
        <f t="shared" si="91"/>
        <v>11017298.699999999</v>
      </c>
      <c r="BR48" s="340">
        <f t="shared" si="92"/>
        <v>65554579.060000002</v>
      </c>
      <c r="BS48" s="340">
        <f t="shared" si="93"/>
        <v>1087749.0036985984</v>
      </c>
      <c r="BT48" s="340">
        <f t="shared" si="94"/>
        <v>0</v>
      </c>
      <c r="BU48" s="340">
        <f t="shared" si="95"/>
        <v>0</v>
      </c>
      <c r="BV48" s="340">
        <f t="shared" si="96"/>
        <v>0</v>
      </c>
      <c r="BW48" s="340">
        <f t="shared" si="97"/>
        <v>0</v>
      </c>
      <c r="BX48" s="340">
        <f t="shared" si="98"/>
        <v>66642328.063698605</v>
      </c>
      <c r="BY48" s="631"/>
    </row>
    <row r="49" spans="1:77" s="329" customFormat="1">
      <c r="A49" s="604">
        <v>29</v>
      </c>
      <c r="B49" s="122" t="s">
        <v>377</v>
      </c>
      <c r="C49" s="122" t="s">
        <v>377</v>
      </c>
      <c r="D49" s="340">
        <f t="shared" si="63"/>
        <v>2312092.0899999966</v>
      </c>
      <c r="E49" s="340">
        <f t="shared" si="63"/>
        <v>0</v>
      </c>
      <c r="F49" s="340">
        <f t="shared" si="13"/>
        <v>2312092.0899999966</v>
      </c>
      <c r="G49" s="340">
        <f t="shared" si="63"/>
        <v>7533807</v>
      </c>
      <c r="H49" s="340">
        <f t="shared" si="63"/>
        <v>0</v>
      </c>
      <c r="I49" s="340">
        <f t="shared" si="64"/>
        <v>7533807</v>
      </c>
      <c r="J49" s="340">
        <f t="shared" si="65"/>
        <v>9845899.0899999961</v>
      </c>
      <c r="K49" s="340">
        <f t="shared" si="66"/>
        <v>12684.282529961445</v>
      </c>
      <c r="L49" s="340">
        <f t="shared" si="66"/>
        <v>0</v>
      </c>
      <c r="M49" s="340">
        <f t="shared" si="66"/>
        <v>0</v>
      </c>
      <c r="N49" s="340">
        <f t="shared" si="66"/>
        <v>0</v>
      </c>
      <c r="O49" s="340">
        <f t="shared" si="66"/>
        <v>0</v>
      </c>
      <c r="P49" s="342">
        <f t="shared" si="67"/>
        <v>9858583.3725299574</v>
      </c>
      <c r="Q49" s="631"/>
      <c r="R49" s="145"/>
      <c r="S49" s="340">
        <f t="shared" si="68"/>
        <v>3135506.669999999</v>
      </c>
      <c r="T49" s="340">
        <f t="shared" si="68"/>
        <v>0</v>
      </c>
      <c r="U49" s="340">
        <f t="shared" si="69"/>
        <v>3135506.669999999</v>
      </c>
      <c r="V49" s="340">
        <f t="shared" si="68"/>
        <v>6022746.4900000012</v>
      </c>
      <c r="W49" s="340">
        <f t="shared" si="68"/>
        <v>0</v>
      </c>
      <c r="X49" s="340">
        <f t="shared" si="70"/>
        <v>6022746.4900000012</v>
      </c>
      <c r="Y49" s="340">
        <f t="shared" si="71"/>
        <v>9158253.1600000001</v>
      </c>
      <c r="Z49" s="340">
        <f t="shared" si="72"/>
        <v>25931.502002082143</v>
      </c>
      <c r="AA49" s="340">
        <f t="shared" si="72"/>
        <v>0</v>
      </c>
      <c r="AB49" s="340">
        <f t="shared" si="72"/>
        <v>0</v>
      </c>
      <c r="AC49" s="340">
        <f t="shared" si="72"/>
        <v>0</v>
      </c>
      <c r="AD49" s="340">
        <f t="shared" si="72"/>
        <v>0</v>
      </c>
      <c r="AE49" s="342">
        <f t="shared" si="73"/>
        <v>9184184.6620020829</v>
      </c>
      <c r="AF49" s="631"/>
      <c r="AG49" s="145"/>
      <c r="AH49" s="340">
        <f t="shared" si="74"/>
        <v>1870600.5399999989</v>
      </c>
      <c r="AI49" s="340">
        <f t="shared" si="74"/>
        <v>0</v>
      </c>
      <c r="AJ49" s="340">
        <f t="shared" si="75"/>
        <v>1870600.5399999989</v>
      </c>
      <c r="AK49" s="340">
        <f t="shared" si="74"/>
        <v>6130200.9700000007</v>
      </c>
      <c r="AL49" s="340">
        <f t="shared" si="74"/>
        <v>0</v>
      </c>
      <c r="AM49" s="340">
        <f t="shared" si="76"/>
        <v>6130200.9700000007</v>
      </c>
      <c r="AN49" s="340">
        <f t="shared" si="77"/>
        <v>8000801.5099999998</v>
      </c>
      <c r="AO49" s="340">
        <f t="shared" si="78"/>
        <v>96568.81237286111</v>
      </c>
      <c r="AP49" s="340">
        <f t="shared" si="78"/>
        <v>0</v>
      </c>
      <c r="AQ49" s="340">
        <f t="shared" si="78"/>
        <v>0</v>
      </c>
      <c r="AR49" s="340">
        <f t="shared" si="78"/>
        <v>0</v>
      </c>
      <c r="AS49" s="340">
        <f t="shared" si="78"/>
        <v>0</v>
      </c>
      <c r="AT49" s="342">
        <f t="shared" si="79"/>
        <v>8097370.3223728612</v>
      </c>
      <c r="AU49" s="631"/>
      <c r="AV49" s="145"/>
      <c r="AW49" s="340">
        <f t="shared" si="80"/>
        <v>1893079.4599999995</v>
      </c>
      <c r="AX49" s="340">
        <f t="shared" si="80"/>
        <v>0</v>
      </c>
      <c r="AY49" s="340">
        <f t="shared" si="81"/>
        <v>1893079.4599999995</v>
      </c>
      <c r="AZ49" s="340">
        <f t="shared" si="80"/>
        <v>5851194.419999999</v>
      </c>
      <c r="BA49" s="340">
        <f t="shared" si="80"/>
        <v>0</v>
      </c>
      <c r="BB49" s="340">
        <f t="shared" si="82"/>
        <v>5851194.419999999</v>
      </c>
      <c r="BC49" s="340">
        <f t="shared" si="83"/>
        <v>7744273.879999999</v>
      </c>
      <c r="BD49" s="340">
        <f t="shared" si="84"/>
        <v>370377.59120638511</v>
      </c>
      <c r="BE49" s="340">
        <f t="shared" si="84"/>
        <v>0</v>
      </c>
      <c r="BF49" s="340">
        <f t="shared" si="84"/>
        <v>0</v>
      </c>
      <c r="BG49" s="340">
        <f t="shared" si="84"/>
        <v>0</v>
      </c>
      <c r="BH49" s="340">
        <f t="shared" si="84"/>
        <v>0</v>
      </c>
      <c r="BI49" s="342">
        <f t="shared" si="85"/>
        <v>8114651.4712063838</v>
      </c>
      <c r="BJ49" s="631"/>
      <c r="BL49" s="340">
        <f t="shared" si="86"/>
        <v>9211278.7599999942</v>
      </c>
      <c r="BM49" s="340">
        <f t="shared" si="87"/>
        <v>0</v>
      </c>
      <c r="BN49" s="340">
        <f t="shared" si="88"/>
        <v>9211278.7599999942</v>
      </c>
      <c r="BO49" s="340">
        <f t="shared" si="89"/>
        <v>25537948.879999999</v>
      </c>
      <c r="BP49" s="340">
        <f t="shared" si="90"/>
        <v>0</v>
      </c>
      <c r="BQ49" s="340">
        <f t="shared" si="91"/>
        <v>25537948.879999999</v>
      </c>
      <c r="BR49" s="340">
        <f t="shared" si="92"/>
        <v>34749227.640000001</v>
      </c>
      <c r="BS49" s="340">
        <f t="shared" si="93"/>
        <v>505562.18811128981</v>
      </c>
      <c r="BT49" s="340">
        <f t="shared" si="94"/>
        <v>0</v>
      </c>
      <c r="BU49" s="340">
        <f t="shared" si="95"/>
        <v>0</v>
      </c>
      <c r="BV49" s="340">
        <f t="shared" si="96"/>
        <v>0</v>
      </c>
      <c r="BW49" s="340">
        <f t="shared" si="97"/>
        <v>0</v>
      </c>
      <c r="BX49" s="340">
        <f t="shared" si="98"/>
        <v>35254789.828111283</v>
      </c>
      <c r="BY49" s="631"/>
    </row>
    <row r="50" spans="1:77" s="329" customFormat="1">
      <c r="A50" s="604">
        <v>30</v>
      </c>
      <c r="B50" s="120" t="s">
        <v>379</v>
      </c>
      <c r="C50" s="120" t="s">
        <v>202</v>
      </c>
      <c r="D50" s="340">
        <f t="shared" si="63"/>
        <v>14837659.370000001</v>
      </c>
      <c r="E50" s="340">
        <f t="shared" si="63"/>
        <v>0</v>
      </c>
      <c r="F50" s="340">
        <f t="shared" si="13"/>
        <v>14837659.370000001</v>
      </c>
      <c r="G50" s="340">
        <f t="shared" si="63"/>
        <v>64958873.030000031</v>
      </c>
      <c r="H50" s="340">
        <f t="shared" si="63"/>
        <v>0</v>
      </c>
      <c r="I50" s="340">
        <f t="shared" si="64"/>
        <v>64958873.030000031</v>
      </c>
      <c r="J50" s="340">
        <f t="shared" si="65"/>
        <v>79796532.400000036</v>
      </c>
      <c r="K50" s="340">
        <f t="shared" si="66"/>
        <v>94215.042818910952</v>
      </c>
      <c r="L50" s="340">
        <f t="shared" si="66"/>
        <v>0</v>
      </c>
      <c r="M50" s="340">
        <f t="shared" si="66"/>
        <v>0</v>
      </c>
      <c r="N50" s="340">
        <f t="shared" si="66"/>
        <v>0</v>
      </c>
      <c r="O50" s="340">
        <f t="shared" si="66"/>
        <v>0</v>
      </c>
      <c r="P50" s="342">
        <f t="shared" si="67"/>
        <v>79890747.44281894</v>
      </c>
      <c r="Q50" s="631"/>
      <c r="R50" s="145"/>
      <c r="S50" s="340">
        <f t="shared" si="68"/>
        <v>18106982.679999996</v>
      </c>
      <c r="T50" s="340">
        <f t="shared" si="68"/>
        <v>0</v>
      </c>
      <c r="U50" s="340">
        <f t="shared" si="69"/>
        <v>18106982.679999996</v>
      </c>
      <c r="V50" s="340">
        <f t="shared" si="68"/>
        <v>65070287.019999936</v>
      </c>
      <c r="W50" s="340">
        <f t="shared" si="68"/>
        <v>0</v>
      </c>
      <c r="X50" s="340">
        <f t="shared" si="70"/>
        <v>65070287.019999936</v>
      </c>
      <c r="Y50" s="340">
        <f t="shared" si="71"/>
        <v>83177269.699999928</v>
      </c>
      <c r="Z50" s="340">
        <f t="shared" si="72"/>
        <v>216462.68588627951</v>
      </c>
      <c r="AA50" s="340">
        <f t="shared" si="72"/>
        <v>0</v>
      </c>
      <c r="AB50" s="340">
        <f t="shared" si="72"/>
        <v>0</v>
      </c>
      <c r="AC50" s="340">
        <f t="shared" si="72"/>
        <v>0</v>
      </c>
      <c r="AD50" s="340">
        <f t="shared" si="72"/>
        <v>0</v>
      </c>
      <c r="AE50" s="342">
        <f t="shared" si="73"/>
        <v>83393732.385886207</v>
      </c>
      <c r="AF50" s="631"/>
      <c r="AG50" s="145"/>
      <c r="AH50" s="340">
        <f t="shared" si="74"/>
        <v>17400324.910000019</v>
      </c>
      <c r="AI50" s="340">
        <f t="shared" si="74"/>
        <v>0</v>
      </c>
      <c r="AJ50" s="340">
        <f t="shared" si="75"/>
        <v>17400324.910000019</v>
      </c>
      <c r="AK50" s="340">
        <f t="shared" si="74"/>
        <v>71368778.290001303</v>
      </c>
      <c r="AL50" s="340">
        <f t="shared" si="74"/>
        <v>0</v>
      </c>
      <c r="AM50" s="340">
        <f t="shared" si="76"/>
        <v>71368778.290001303</v>
      </c>
      <c r="AN50" s="340">
        <f t="shared" si="77"/>
        <v>88769103.200001329</v>
      </c>
      <c r="AO50" s="340">
        <f t="shared" si="78"/>
        <v>970462.6848989455</v>
      </c>
      <c r="AP50" s="340">
        <f t="shared" si="78"/>
        <v>0</v>
      </c>
      <c r="AQ50" s="340">
        <f t="shared" si="78"/>
        <v>0</v>
      </c>
      <c r="AR50" s="340">
        <f t="shared" si="78"/>
        <v>0</v>
      </c>
      <c r="AS50" s="340">
        <f t="shared" si="78"/>
        <v>0</v>
      </c>
      <c r="AT50" s="342">
        <f t="shared" si="79"/>
        <v>89739565.884900272</v>
      </c>
      <c r="AU50" s="631"/>
      <c r="AV50" s="145"/>
      <c r="AW50" s="340">
        <f t="shared" si="80"/>
        <v>19384463.080000013</v>
      </c>
      <c r="AX50" s="340">
        <f t="shared" si="80"/>
        <v>0</v>
      </c>
      <c r="AY50" s="340">
        <f t="shared" si="81"/>
        <v>19384463.080000013</v>
      </c>
      <c r="AZ50" s="340">
        <f t="shared" si="80"/>
        <v>73097913.340001702</v>
      </c>
      <c r="BA50" s="340">
        <f t="shared" si="80"/>
        <v>0</v>
      </c>
      <c r="BB50" s="340">
        <f t="shared" si="82"/>
        <v>73097913.340001702</v>
      </c>
      <c r="BC50" s="340">
        <f t="shared" si="83"/>
        <v>92482376.420001715</v>
      </c>
      <c r="BD50" s="340">
        <f t="shared" si="84"/>
        <v>3967726.0351185342</v>
      </c>
      <c r="BE50" s="340">
        <f t="shared" si="84"/>
        <v>0</v>
      </c>
      <c r="BF50" s="340">
        <f t="shared" si="84"/>
        <v>0</v>
      </c>
      <c r="BG50" s="340">
        <f t="shared" si="84"/>
        <v>0</v>
      </c>
      <c r="BH50" s="340">
        <f t="shared" si="84"/>
        <v>0</v>
      </c>
      <c r="BI50" s="342">
        <f t="shared" si="85"/>
        <v>96450102.455120251</v>
      </c>
      <c r="BJ50" s="631"/>
      <c r="BL50" s="340">
        <f t="shared" si="86"/>
        <v>69729430.040000021</v>
      </c>
      <c r="BM50" s="340">
        <f t="shared" si="87"/>
        <v>0</v>
      </c>
      <c r="BN50" s="340">
        <f t="shared" si="88"/>
        <v>69729430.040000021</v>
      </c>
      <c r="BO50" s="340">
        <f t="shared" si="89"/>
        <v>274495851.68000299</v>
      </c>
      <c r="BP50" s="340">
        <f t="shared" si="90"/>
        <v>0</v>
      </c>
      <c r="BQ50" s="340">
        <f t="shared" si="91"/>
        <v>274495851.68000299</v>
      </c>
      <c r="BR50" s="340">
        <f t="shared" si="92"/>
        <v>344225281.72000301</v>
      </c>
      <c r="BS50" s="340">
        <f t="shared" si="93"/>
        <v>5248866.4487226699</v>
      </c>
      <c r="BT50" s="340">
        <f t="shared" si="94"/>
        <v>0</v>
      </c>
      <c r="BU50" s="340">
        <f t="shared" si="95"/>
        <v>0</v>
      </c>
      <c r="BV50" s="340">
        <f t="shared" si="96"/>
        <v>0</v>
      </c>
      <c r="BW50" s="340">
        <f t="shared" si="97"/>
        <v>0</v>
      </c>
      <c r="BX50" s="340">
        <f t="shared" si="98"/>
        <v>349474148.16872567</v>
      </c>
      <c r="BY50" s="631"/>
    </row>
    <row r="51" spans="1:77" s="329" customFormat="1">
      <c r="A51" s="604">
        <v>31</v>
      </c>
      <c r="B51" s="122" t="s">
        <v>381</v>
      </c>
      <c r="C51" s="122" t="s">
        <v>381</v>
      </c>
      <c r="D51" s="340">
        <f t="shared" si="63"/>
        <v>8779464.0300000049</v>
      </c>
      <c r="E51" s="340">
        <f t="shared" si="63"/>
        <v>0</v>
      </c>
      <c r="F51" s="340">
        <f t="shared" si="13"/>
        <v>8779464.0300000049</v>
      </c>
      <c r="G51" s="340">
        <f t="shared" si="63"/>
        <v>3721142.1099999985</v>
      </c>
      <c r="H51" s="340">
        <f t="shared" si="63"/>
        <v>0</v>
      </c>
      <c r="I51" s="340">
        <f t="shared" si="64"/>
        <v>3721142.1099999985</v>
      </c>
      <c r="J51" s="340">
        <f t="shared" si="65"/>
        <v>12500606.140000004</v>
      </c>
      <c r="K51" s="340">
        <f t="shared" si="66"/>
        <v>14438.2901098482</v>
      </c>
      <c r="L51" s="340">
        <f t="shared" si="66"/>
        <v>0</v>
      </c>
      <c r="M51" s="340">
        <f t="shared" si="66"/>
        <v>0</v>
      </c>
      <c r="N51" s="340">
        <f t="shared" si="66"/>
        <v>0</v>
      </c>
      <c r="O51" s="340">
        <f t="shared" si="66"/>
        <v>0</v>
      </c>
      <c r="P51" s="342">
        <f t="shared" si="67"/>
        <v>12515044.430109853</v>
      </c>
      <c r="Q51" s="631"/>
      <c r="R51" s="145"/>
      <c r="S51" s="340">
        <f t="shared" si="68"/>
        <v>10431189.290000008</v>
      </c>
      <c r="T51" s="340">
        <f t="shared" si="68"/>
        <v>0</v>
      </c>
      <c r="U51" s="340">
        <f t="shared" si="69"/>
        <v>10431189.290000008</v>
      </c>
      <c r="V51" s="340">
        <f t="shared" si="68"/>
        <v>3930104.9700000007</v>
      </c>
      <c r="W51" s="340">
        <f t="shared" si="68"/>
        <v>0</v>
      </c>
      <c r="X51" s="340">
        <f t="shared" si="70"/>
        <v>3930104.9700000007</v>
      </c>
      <c r="Y51" s="340">
        <f t="shared" si="71"/>
        <v>14361294.260000009</v>
      </c>
      <c r="Z51" s="340">
        <f t="shared" si="72"/>
        <v>38091.53980744438</v>
      </c>
      <c r="AA51" s="340">
        <f t="shared" si="72"/>
        <v>0</v>
      </c>
      <c r="AB51" s="340">
        <f t="shared" si="72"/>
        <v>0</v>
      </c>
      <c r="AC51" s="340">
        <f t="shared" si="72"/>
        <v>0</v>
      </c>
      <c r="AD51" s="340">
        <f t="shared" si="72"/>
        <v>0</v>
      </c>
      <c r="AE51" s="342">
        <f t="shared" si="73"/>
        <v>14399385.799807454</v>
      </c>
      <c r="AF51" s="631"/>
      <c r="AG51" s="145"/>
      <c r="AH51" s="340">
        <f t="shared" si="74"/>
        <v>10657846.690000001</v>
      </c>
      <c r="AI51" s="340">
        <f t="shared" si="74"/>
        <v>0</v>
      </c>
      <c r="AJ51" s="340">
        <f t="shared" si="75"/>
        <v>10657846.690000001</v>
      </c>
      <c r="AK51" s="340">
        <f t="shared" si="74"/>
        <v>4103683.2399999993</v>
      </c>
      <c r="AL51" s="340">
        <f t="shared" si="74"/>
        <v>0</v>
      </c>
      <c r="AM51" s="340">
        <f t="shared" si="76"/>
        <v>4103683.2399999993</v>
      </c>
      <c r="AN51" s="340">
        <f t="shared" si="77"/>
        <v>14761529.93</v>
      </c>
      <c r="AO51" s="340">
        <f t="shared" si="78"/>
        <v>168015.33322239522</v>
      </c>
      <c r="AP51" s="340">
        <f t="shared" si="78"/>
        <v>0</v>
      </c>
      <c r="AQ51" s="340">
        <f t="shared" si="78"/>
        <v>0</v>
      </c>
      <c r="AR51" s="340">
        <f t="shared" si="78"/>
        <v>0</v>
      </c>
      <c r="AS51" s="340">
        <f t="shared" si="78"/>
        <v>0</v>
      </c>
      <c r="AT51" s="342">
        <f t="shared" si="79"/>
        <v>14929545.263222395</v>
      </c>
      <c r="AU51" s="631"/>
      <c r="AV51" s="145"/>
      <c r="AW51" s="340">
        <f t="shared" si="80"/>
        <v>11255879.530000001</v>
      </c>
      <c r="AX51" s="340">
        <f t="shared" si="80"/>
        <v>0</v>
      </c>
      <c r="AY51" s="340">
        <f t="shared" si="81"/>
        <v>11255879.530000001</v>
      </c>
      <c r="AZ51" s="340">
        <f t="shared" si="80"/>
        <v>3643115.0800000015</v>
      </c>
      <c r="BA51" s="340">
        <f t="shared" si="80"/>
        <v>0</v>
      </c>
      <c r="BB51" s="340">
        <f t="shared" si="82"/>
        <v>3643115.0800000015</v>
      </c>
      <c r="BC51" s="340">
        <f t="shared" si="83"/>
        <v>14898994.610000003</v>
      </c>
      <c r="BD51" s="340">
        <f t="shared" si="84"/>
        <v>727280.03064907552</v>
      </c>
      <c r="BE51" s="340">
        <f t="shared" si="84"/>
        <v>0</v>
      </c>
      <c r="BF51" s="340">
        <f t="shared" si="84"/>
        <v>0</v>
      </c>
      <c r="BG51" s="340">
        <f t="shared" si="84"/>
        <v>0</v>
      </c>
      <c r="BH51" s="340">
        <f t="shared" si="84"/>
        <v>0</v>
      </c>
      <c r="BI51" s="342">
        <f t="shared" si="85"/>
        <v>15626274.640649078</v>
      </c>
      <c r="BJ51" s="631"/>
      <c r="BL51" s="340">
        <f t="shared" si="86"/>
        <v>41124379.540000021</v>
      </c>
      <c r="BM51" s="340">
        <f t="shared" si="87"/>
        <v>0</v>
      </c>
      <c r="BN51" s="340">
        <f t="shared" si="88"/>
        <v>41124379.540000021</v>
      </c>
      <c r="BO51" s="340">
        <f t="shared" si="89"/>
        <v>15398045.4</v>
      </c>
      <c r="BP51" s="340">
        <f t="shared" si="90"/>
        <v>0</v>
      </c>
      <c r="BQ51" s="340">
        <f t="shared" si="91"/>
        <v>15398045.4</v>
      </c>
      <c r="BR51" s="340">
        <f t="shared" si="92"/>
        <v>56522424.940000013</v>
      </c>
      <c r="BS51" s="340">
        <f t="shared" si="93"/>
        <v>947825.19378876337</v>
      </c>
      <c r="BT51" s="340">
        <f t="shared" si="94"/>
        <v>0</v>
      </c>
      <c r="BU51" s="340">
        <f t="shared" si="95"/>
        <v>0</v>
      </c>
      <c r="BV51" s="340">
        <f t="shared" si="96"/>
        <v>0</v>
      </c>
      <c r="BW51" s="340">
        <f t="shared" si="97"/>
        <v>0</v>
      </c>
      <c r="BX51" s="340">
        <f t="shared" si="98"/>
        <v>57470250.133788779</v>
      </c>
      <c r="BY51" s="631"/>
    </row>
    <row r="52" spans="1:77" s="329" customFormat="1">
      <c r="A52" s="604">
        <v>32</v>
      </c>
      <c r="B52" s="122" t="s">
        <v>383</v>
      </c>
      <c r="C52" s="122" t="s">
        <v>383</v>
      </c>
      <c r="D52" s="340">
        <f>SUMIF($C$18:$C$45,$C52,D$18:D$45)</f>
        <v>18564537.149390977</v>
      </c>
      <c r="E52" s="340">
        <f t="shared" si="63"/>
        <v>0</v>
      </c>
      <c r="F52" s="340">
        <f t="shared" si="13"/>
        <v>18564537.149390977</v>
      </c>
      <c r="G52" s="340">
        <f t="shared" si="63"/>
        <v>2610635.502820434</v>
      </c>
      <c r="H52" s="340">
        <f t="shared" si="63"/>
        <v>0</v>
      </c>
      <c r="I52" s="340">
        <f t="shared" si="64"/>
        <v>2610635.502820434</v>
      </c>
      <c r="J52" s="340">
        <f t="shared" si="65"/>
        <v>21175172.652211413</v>
      </c>
      <c r="K52" s="340">
        <f t="shared" si="66"/>
        <v>0</v>
      </c>
      <c r="L52" s="340">
        <f t="shared" si="66"/>
        <v>0</v>
      </c>
      <c r="M52" s="340">
        <f t="shared" si="66"/>
        <v>0</v>
      </c>
      <c r="N52" s="340">
        <f t="shared" si="66"/>
        <v>0</v>
      </c>
      <c r="O52" s="340">
        <f t="shared" si="66"/>
        <v>0</v>
      </c>
      <c r="P52" s="342">
        <f t="shared" si="67"/>
        <v>21175172.652211413</v>
      </c>
      <c r="Q52" s="631"/>
      <c r="R52" s="145"/>
      <c r="S52" s="340">
        <f t="shared" si="68"/>
        <v>19246855.562483974</v>
      </c>
      <c r="T52" s="340">
        <f t="shared" si="68"/>
        <v>0</v>
      </c>
      <c r="U52" s="340">
        <f t="shared" si="69"/>
        <v>19246855.562483974</v>
      </c>
      <c r="V52" s="340">
        <f t="shared" si="68"/>
        <v>3145114.528504828</v>
      </c>
      <c r="W52" s="340">
        <f t="shared" si="68"/>
        <v>0</v>
      </c>
      <c r="X52" s="340">
        <f t="shared" si="70"/>
        <v>3145114.528504828</v>
      </c>
      <c r="Y52" s="340">
        <f t="shared" si="71"/>
        <v>22391970.0909888</v>
      </c>
      <c r="Z52" s="340">
        <f t="shared" si="72"/>
        <v>0</v>
      </c>
      <c r="AA52" s="340">
        <f t="shared" si="72"/>
        <v>0</v>
      </c>
      <c r="AB52" s="340">
        <f t="shared" si="72"/>
        <v>0</v>
      </c>
      <c r="AC52" s="340">
        <f t="shared" si="72"/>
        <v>0</v>
      </c>
      <c r="AD52" s="340">
        <f t="shared" si="72"/>
        <v>0</v>
      </c>
      <c r="AE52" s="342">
        <f t="shared" si="73"/>
        <v>22391970.0909888</v>
      </c>
      <c r="AF52" s="631"/>
      <c r="AG52" s="145"/>
      <c r="AH52" s="340">
        <f t="shared" si="74"/>
        <v>21085790.318611935</v>
      </c>
      <c r="AI52" s="340">
        <f t="shared" si="74"/>
        <v>0</v>
      </c>
      <c r="AJ52" s="340">
        <f t="shared" si="75"/>
        <v>21085790.318611935</v>
      </c>
      <c r="AK52" s="340">
        <f t="shared" si="74"/>
        <v>3391931.6650992339</v>
      </c>
      <c r="AL52" s="340">
        <f t="shared" si="74"/>
        <v>0</v>
      </c>
      <c r="AM52" s="340">
        <f t="shared" si="76"/>
        <v>3391931.6650992339</v>
      </c>
      <c r="AN52" s="340">
        <f t="shared" si="77"/>
        <v>24477721.983711168</v>
      </c>
      <c r="AO52" s="340">
        <f t="shared" si="78"/>
        <v>0</v>
      </c>
      <c r="AP52" s="340">
        <f t="shared" si="78"/>
        <v>0</v>
      </c>
      <c r="AQ52" s="340">
        <f t="shared" si="78"/>
        <v>0</v>
      </c>
      <c r="AR52" s="340">
        <f t="shared" si="78"/>
        <v>0</v>
      </c>
      <c r="AS52" s="340">
        <f t="shared" si="78"/>
        <v>0</v>
      </c>
      <c r="AT52" s="342">
        <f t="shared" si="79"/>
        <v>24477721.983711168</v>
      </c>
      <c r="AU52" s="631"/>
      <c r="AV52" s="145"/>
      <c r="AW52" s="340">
        <f t="shared" si="80"/>
        <v>22154319.008789256</v>
      </c>
      <c r="AX52" s="340">
        <f t="shared" si="80"/>
        <v>0</v>
      </c>
      <c r="AY52" s="340">
        <f t="shared" si="81"/>
        <v>22154319.008789256</v>
      </c>
      <c r="AZ52" s="340">
        <f t="shared" si="80"/>
        <v>3628088.4169215965</v>
      </c>
      <c r="BA52" s="340">
        <f t="shared" si="80"/>
        <v>0</v>
      </c>
      <c r="BB52" s="340">
        <f t="shared" si="82"/>
        <v>3628088.4169215965</v>
      </c>
      <c r="BC52" s="340">
        <f t="shared" si="83"/>
        <v>25782407.425710853</v>
      </c>
      <c r="BD52" s="340">
        <f t="shared" si="84"/>
        <v>0</v>
      </c>
      <c r="BE52" s="340">
        <f t="shared" si="84"/>
        <v>0</v>
      </c>
      <c r="BF52" s="340">
        <f t="shared" si="84"/>
        <v>0</v>
      </c>
      <c r="BG52" s="340">
        <f t="shared" si="84"/>
        <v>0</v>
      </c>
      <c r="BH52" s="340">
        <f t="shared" si="84"/>
        <v>0</v>
      </c>
      <c r="BI52" s="342">
        <f t="shared" si="85"/>
        <v>25782407.425710853</v>
      </c>
      <c r="BJ52" s="631"/>
      <c r="BL52" s="340">
        <f t="shared" si="86"/>
        <v>81051502.039276138</v>
      </c>
      <c r="BM52" s="340">
        <f t="shared" si="87"/>
        <v>0</v>
      </c>
      <c r="BN52" s="340">
        <f t="shared" si="88"/>
        <v>81051502.039276138</v>
      </c>
      <c r="BO52" s="340">
        <f t="shared" si="89"/>
        <v>12775770.113346092</v>
      </c>
      <c r="BP52" s="340">
        <f t="shared" si="90"/>
        <v>0</v>
      </c>
      <c r="BQ52" s="340">
        <f t="shared" si="91"/>
        <v>12775770.113346092</v>
      </c>
      <c r="BR52" s="340">
        <f t="shared" si="92"/>
        <v>93827272.152622238</v>
      </c>
      <c r="BS52" s="340">
        <f t="shared" si="93"/>
        <v>0</v>
      </c>
      <c r="BT52" s="340">
        <f t="shared" si="94"/>
        <v>0</v>
      </c>
      <c r="BU52" s="340">
        <f t="shared" si="95"/>
        <v>0</v>
      </c>
      <c r="BV52" s="340">
        <f t="shared" si="96"/>
        <v>0</v>
      </c>
      <c r="BW52" s="340">
        <f t="shared" si="97"/>
        <v>0</v>
      </c>
      <c r="BX52" s="340">
        <f t="shared" si="98"/>
        <v>93827272.152622238</v>
      </c>
      <c r="BY52" s="631"/>
    </row>
    <row r="53" spans="1:77">
      <c r="A53" s="605"/>
      <c r="B53" s="337"/>
      <c r="C53" s="337"/>
      <c r="D53" s="337"/>
      <c r="E53" s="337"/>
      <c r="F53" s="337"/>
      <c r="G53" s="337"/>
      <c r="H53" s="337"/>
      <c r="I53" s="337"/>
      <c r="J53" s="337"/>
      <c r="K53" s="337"/>
      <c r="L53" s="337"/>
      <c r="M53" s="337"/>
      <c r="N53" s="337"/>
      <c r="O53" s="337"/>
      <c r="P53" s="337"/>
      <c r="Q53" s="697"/>
      <c r="R53" s="337"/>
      <c r="S53" s="337"/>
      <c r="T53" s="337"/>
      <c r="U53" s="337"/>
      <c r="V53" s="337"/>
      <c r="W53" s="337"/>
      <c r="X53" s="337"/>
      <c r="Y53" s="337"/>
      <c r="Z53" s="337"/>
      <c r="AA53" s="337"/>
      <c r="AB53" s="337"/>
      <c r="AC53" s="337"/>
      <c r="AD53" s="337"/>
      <c r="AE53" s="337"/>
      <c r="AF53" s="697"/>
      <c r="AG53" s="337"/>
      <c r="AH53" s="337"/>
      <c r="AI53" s="337"/>
      <c r="AJ53" s="337"/>
      <c r="AK53" s="337"/>
      <c r="AL53" s="337"/>
      <c r="AM53" s="337"/>
      <c r="AN53" s="337"/>
      <c r="AO53" s="337"/>
      <c r="AP53" s="337"/>
      <c r="AQ53" s="337"/>
      <c r="AR53" s="337"/>
      <c r="AS53" s="337"/>
      <c r="AU53" s="697"/>
      <c r="BJ53" s="697"/>
      <c r="BY53" s="697"/>
    </row>
    <row r="54" spans="1:77" s="329" customFormat="1" ht="15" customHeight="1">
      <c r="A54" s="235"/>
      <c r="B54" s="169" t="s">
        <v>1386</v>
      </c>
      <c r="C54" s="169"/>
      <c r="D54" s="145"/>
      <c r="E54" s="145"/>
      <c r="F54" s="145"/>
      <c r="G54" s="145"/>
      <c r="H54" s="145"/>
      <c r="I54" s="145"/>
      <c r="J54" s="145"/>
      <c r="K54" s="145"/>
      <c r="L54" s="145"/>
      <c r="M54" s="145"/>
      <c r="N54" s="145"/>
      <c r="O54" s="145"/>
      <c r="P54" s="145"/>
      <c r="Q54" s="223"/>
      <c r="R54" s="145"/>
      <c r="S54" s="145"/>
      <c r="T54" s="145"/>
      <c r="U54" s="145"/>
      <c r="V54" s="145"/>
      <c r="W54" s="145"/>
      <c r="X54" s="145"/>
      <c r="Y54" s="145"/>
      <c r="Z54" s="145"/>
      <c r="AA54" s="145"/>
      <c r="AB54" s="145"/>
      <c r="AC54" s="145"/>
      <c r="AD54" s="145"/>
      <c r="AE54" s="145"/>
      <c r="AF54" s="223"/>
      <c r="AG54" s="145"/>
      <c r="AH54" s="145"/>
      <c r="AI54" s="145"/>
      <c r="AJ54" s="145"/>
      <c r="AK54" s="145"/>
      <c r="AL54" s="145"/>
      <c r="AM54" s="145"/>
      <c r="AN54" s="145"/>
      <c r="AO54" s="145"/>
      <c r="AP54" s="145"/>
      <c r="AQ54" s="145"/>
      <c r="AR54" s="145"/>
      <c r="AS54" s="145"/>
      <c r="AU54" s="223"/>
      <c r="BJ54" s="223"/>
      <c r="BY54" s="223"/>
    </row>
    <row r="55" spans="1:77" s="329" customFormat="1" ht="15" customHeight="1">
      <c r="A55" s="236"/>
      <c r="B55" s="145" t="s">
        <v>1387</v>
      </c>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row>
    <row r="56" spans="1:77" s="329" customFormat="1">
      <c r="A56" s="168"/>
      <c r="B56" s="145" t="s">
        <v>1388</v>
      </c>
      <c r="C56" s="145"/>
      <c r="D56" s="145"/>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row>
    <row r="57" spans="1:77" s="329" customFormat="1">
      <c r="A57" s="168"/>
      <c r="B57" s="145" t="s">
        <v>356</v>
      </c>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row>
    <row r="58" spans="1:77" s="329" customFormat="1">
      <c r="A58" s="168"/>
      <c r="B58" s="145" t="s">
        <v>1389</v>
      </c>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row>
    <row r="59" spans="1:77" s="329" customFormat="1">
      <c r="A59" s="168"/>
      <c r="B59" s="145" t="s">
        <v>1390</v>
      </c>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row>
    <row r="60" spans="1:77" s="329" customFormat="1">
      <c r="A60" s="168"/>
      <c r="B60" s="145" t="s">
        <v>362</v>
      </c>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row>
    <row r="61" spans="1:77" s="329" customFormat="1">
      <c r="A61" s="168"/>
      <c r="B61" s="145" t="s">
        <v>364</v>
      </c>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row>
    <row r="62" spans="1:77">
      <c r="B62" s="941" t="s">
        <v>1391</v>
      </c>
      <c r="C62" s="335"/>
    </row>
    <row r="63" spans="1:77">
      <c r="B63" s="327" t="s">
        <v>1392</v>
      </c>
    </row>
  </sheetData>
  <sheetProtection formatColumns="0"/>
  <mergeCells count="45">
    <mergeCell ref="T14:T15"/>
    <mergeCell ref="X14:X15"/>
    <mergeCell ref="U14:U15"/>
    <mergeCell ref="AI14:AI15"/>
    <mergeCell ref="AM14:AM15"/>
    <mergeCell ref="AJ14:AJ15"/>
    <mergeCell ref="AN14:AN15"/>
    <mergeCell ref="AT14:AT15"/>
    <mergeCell ref="V14:V15"/>
    <mergeCell ref="Y14:Y15"/>
    <mergeCell ref="AE14:AE15"/>
    <mergeCell ref="AH14:AH15"/>
    <mergeCell ref="AK14:AK15"/>
    <mergeCell ref="AF14:AF15"/>
    <mergeCell ref="W14:W15"/>
    <mergeCell ref="AL14:AL15"/>
    <mergeCell ref="D14:D15"/>
    <mergeCell ref="G14:G15"/>
    <mergeCell ref="J14:J15"/>
    <mergeCell ref="P14:P15"/>
    <mergeCell ref="S14:S15"/>
    <mergeCell ref="Q14:Q15"/>
    <mergeCell ref="H14:H15"/>
    <mergeCell ref="E14:E15"/>
    <mergeCell ref="I14:I15"/>
    <mergeCell ref="F14:F15"/>
    <mergeCell ref="AW14:AW15"/>
    <mergeCell ref="AZ14:AZ15"/>
    <mergeCell ref="BC14:BC15"/>
    <mergeCell ref="AU14:AU15"/>
    <mergeCell ref="BJ14:BJ15"/>
    <mergeCell ref="BI14:BI15"/>
    <mergeCell ref="BA14:BA15"/>
    <mergeCell ref="AX14:AX15"/>
    <mergeCell ref="BB14:BB15"/>
    <mergeCell ref="AY14:AY15"/>
    <mergeCell ref="BQ14:BQ15"/>
    <mergeCell ref="BR14:BR15"/>
    <mergeCell ref="BX14:BX15"/>
    <mergeCell ref="BY14:BY15"/>
    <mergeCell ref="BL14:BL15"/>
    <mergeCell ref="BM14:BM15"/>
    <mergeCell ref="BN14:BN15"/>
    <mergeCell ref="BO14:BO15"/>
    <mergeCell ref="BP14:BP1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R31"/>
  <sheetViews>
    <sheetView topLeftCell="A5" zoomScale="110" zoomScaleNormal="110" workbookViewId="0">
      <selection activeCell="H20" sqref="H20"/>
    </sheetView>
  </sheetViews>
  <sheetFormatPr defaultRowHeight="13.15"/>
  <cols>
    <col min="1" max="1" width="52.28515625" style="345" bestFit="1" customWidth="1"/>
    <col min="2" max="11" width="12.28515625" style="353" customWidth="1"/>
    <col min="12" max="16" width="16.28515625" style="354" customWidth="1"/>
    <col min="17" max="21" width="9.28515625" style="355"/>
    <col min="22" max="26" width="13" style="355" customWidth="1"/>
    <col min="27" max="31" width="13.28515625" style="355" customWidth="1"/>
    <col min="32" max="36" width="15.28515625" style="344" customWidth="1"/>
    <col min="37" max="41" width="12.5703125" style="344" customWidth="1"/>
    <col min="42" max="43" width="9.28515625" style="345"/>
    <col min="44" max="44" width="9.28515625" style="346"/>
    <col min="45" max="287" width="9.28515625" style="345"/>
    <col min="288" max="288" width="11.28515625" style="345" customWidth="1"/>
    <col min="289" max="289" width="39.28515625" style="345" customWidth="1"/>
    <col min="290" max="291" width="12.28515625" style="345" customWidth="1"/>
    <col min="292" max="292" width="16.28515625" style="345" customWidth="1"/>
    <col min="293" max="293" width="9.28515625" style="345"/>
    <col min="294" max="294" width="13" style="345" customWidth="1"/>
    <col min="295" max="295" width="13.28515625" style="345" bestFit="1" customWidth="1"/>
    <col min="296" max="296" width="15.28515625" style="345" bestFit="1" customWidth="1"/>
    <col min="297" max="297" width="12.5703125" style="345" bestFit="1" customWidth="1"/>
    <col min="298" max="543" width="9.28515625" style="345"/>
    <col min="544" max="544" width="11.28515625" style="345" customWidth="1"/>
    <col min="545" max="545" width="39.28515625" style="345" customWidth="1"/>
    <col min="546" max="547" width="12.28515625" style="345" customWidth="1"/>
    <col min="548" max="548" width="16.28515625" style="345" customWidth="1"/>
    <col min="549" max="549" width="9.28515625" style="345"/>
    <col min="550" max="550" width="13" style="345" customWidth="1"/>
    <col min="551" max="551" width="13.28515625" style="345" bestFit="1" customWidth="1"/>
    <col min="552" max="552" width="15.28515625" style="345" bestFit="1" customWidth="1"/>
    <col min="553" max="553" width="12.5703125" style="345" bestFit="1" customWidth="1"/>
    <col min="554" max="799" width="9.28515625" style="345"/>
    <col min="800" max="800" width="11.28515625" style="345" customWidth="1"/>
    <col min="801" max="801" width="39.28515625" style="345" customWidth="1"/>
    <col min="802" max="803" width="12.28515625" style="345" customWidth="1"/>
    <col min="804" max="804" width="16.28515625" style="345" customWidth="1"/>
    <col min="805" max="805" width="9.28515625" style="345"/>
    <col min="806" max="806" width="13" style="345" customWidth="1"/>
    <col min="807" max="807" width="13.28515625" style="345" bestFit="1" customWidth="1"/>
    <col min="808" max="808" width="15.28515625" style="345" bestFit="1" customWidth="1"/>
    <col min="809" max="809" width="12.5703125" style="345" bestFit="1" customWidth="1"/>
    <col min="810" max="1055" width="9.28515625" style="345"/>
    <col min="1056" max="1056" width="11.28515625" style="345" customWidth="1"/>
    <col min="1057" max="1057" width="39.28515625" style="345" customWidth="1"/>
    <col min="1058" max="1059" width="12.28515625" style="345" customWidth="1"/>
    <col min="1060" max="1060" width="16.28515625" style="345" customWidth="1"/>
    <col min="1061" max="1061" width="9.28515625" style="345"/>
    <col min="1062" max="1062" width="13" style="345" customWidth="1"/>
    <col min="1063" max="1063" width="13.28515625" style="345" bestFit="1" customWidth="1"/>
    <col min="1064" max="1064" width="15.28515625" style="345" bestFit="1" customWidth="1"/>
    <col min="1065" max="1065" width="12.5703125" style="345" bestFit="1" customWidth="1"/>
    <col min="1066" max="1311" width="9.28515625" style="345"/>
    <col min="1312" max="1312" width="11.28515625" style="345" customWidth="1"/>
    <col min="1313" max="1313" width="39.28515625" style="345" customWidth="1"/>
    <col min="1314" max="1315" width="12.28515625" style="345" customWidth="1"/>
    <col min="1316" max="1316" width="16.28515625" style="345" customWidth="1"/>
    <col min="1317" max="1317" width="9.28515625" style="345"/>
    <col min="1318" max="1318" width="13" style="345" customWidth="1"/>
    <col min="1319" max="1319" width="13.28515625" style="345" bestFit="1" customWidth="1"/>
    <col min="1320" max="1320" width="15.28515625" style="345" bestFit="1" customWidth="1"/>
    <col min="1321" max="1321" width="12.5703125" style="345" bestFit="1" customWidth="1"/>
    <col min="1322" max="1567" width="9.28515625" style="345"/>
    <col min="1568" max="1568" width="11.28515625" style="345" customWidth="1"/>
    <col min="1569" max="1569" width="39.28515625" style="345" customWidth="1"/>
    <col min="1570" max="1571" width="12.28515625" style="345" customWidth="1"/>
    <col min="1572" max="1572" width="16.28515625" style="345" customWidth="1"/>
    <col min="1573" max="1573" width="9.28515625" style="345"/>
    <col min="1574" max="1574" width="13" style="345" customWidth="1"/>
    <col min="1575" max="1575" width="13.28515625" style="345" bestFit="1" customWidth="1"/>
    <col min="1576" max="1576" width="15.28515625" style="345" bestFit="1" customWidth="1"/>
    <col min="1577" max="1577" width="12.5703125" style="345" bestFit="1" customWidth="1"/>
    <col min="1578" max="1823" width="9.28515625" style="345"/>
    <col min="1824" max="1824" width="11.28515625" style="345" customWidth="1"/>
    <col min="1825" max="1825" width="39.28515625" style="345" customWidth="1"/>
    <col min="1826" max="1827" width="12.28515625" style="345" customWidth="1"/>
    <col min="1828" max="1828" width="16.28515625" style="345" customWidth="1"/>
    <col min="1829" max="1829" width="9.28515625" style="345"/>
    <col min="1830" max="1830" width="13" style="345" customWidth="1"/>
    <col min="1831" max="1831" width="13.28515625" style="345" bestFit="1" customWidth="1"/>
    <col min="1832" max="1832" width="15.28515625" style="345" bestFit="1" customWidth="1"/>
    <col min="1833" max="1833" width="12.5703125" style="345" bestFit="1" customWidth="1"/>
    <col min="1834" max="2079" width="9.28515625" style="345"/>
    <col min="2080" max="2080" width="11.28515625" style="345" customWidth="1"/>
    <col min="2081" max="2081" width="39.28515625" style="345" customWidth="1"/>
    <col min="2082" max="2083" width="12.28515625" style="345" customWidth="1"/>
    <col min="2084" max="2084" width="16.28515625" style="345" customWidth="1"/>
    <col min="2085" max="2085" width="9.28515625" style="345"/>
    <col min="2086" max="2086" width="13" style="345" customWidth="1"/>
    <col min="2087" max="2087" width="13.28515625" style="345" bestFit="1" customWidth="1"/>
    <col min="2088" max="2088" width="15.28515625" style="345" bestFit="1" customWidth="1"/>
    <col min="2089" max="2089" width="12.5703125" style="345" bestFit="1" customWidth="1"/>
    <col min="2090" max="2335" width="9.28515625" style="345"/>
    <col min="2336" max="2336" width="11.28515625" style="345" customWidth="1"/>
    <col min="2337" max="2337" width="39.28515625" style="345" customWidth="1"/>
    <col min="2338" max="2339" width="12.28515625" style="345" customWidth="1"/>
    <col min="2340" max="2340" width="16.28515625" style="345" customWidth="1"/>
    <col min="2341" max="2341" width="9.28515625" style="345"/>
    <col min="2342" max="2342" width="13" style="345" customWidth="1"/>
    <col min="2343" max="2343" width="13.28515625" style="345" bestFit="1" customWidth="1"/>
    <col min="2344" max="2344" width="15.28515625" style="345" bestFit="1" customWidth="1"/>
    <col min="2345" max="2345" width="12.5703125" style="345" bestFit="1" customWidth="1"/>
    <col min="2346" max="2591" width="9.28515625" style="345"/>
    <col min="2592" max="2592" width="11.28515625" style="345" customWidth="1"/>
    <col min="2593" max="2593" width="39.28515625" style="345" customWidth="1"/>
    <col min="2594" max="2595" width="12.28515625" style="345" customWidth="1"/>
    <col min="2596" max="2596" width="16.28515625" style="345" customWidth="1"/>
    <col min="2597" max="2597" width="9.28515625" style="345"/>
    <col min="2598" max="2598" width="13" style="345" customWidth="1"/>
    <col min="2599" max="2599" width="13.28515625" style="345" bestFit="1" customWidth="1"/>
    <col min="2600" max="2600" width="15.28515625" style="345" bestFit="1" customWidth="1"/>
    <col min="2601" max="2601" width="12.5703125" style="345" bestFit="1" customWidth="1"/>
    <col min="2602" max="2847" width="9.28515625" style="345"/>
    <col min="2848" max="2848" width="11.28515625" style="345" customWidth="1"/>
    <col min="2849" max="2849" width="39.28515625" style="345" customWidth="1"/>
    <col min="2850" max="2851" width="12.28515625" style="345" customWidth="1"/>
    <col min="2852" max="2852" width="16.28515625" style="345" customWidth="1"/>
    <col min="2853" max="2853" width="9.28515625" style="345"/>
    <col min="2854" max="2854" width="13" style="345" customWidth="1"/>
    <col min="2855" max="2855" width="13.28515625" style="345" bestFit="1" customWidth="1"/>
    <col min="2856" max="2856" width="15.28515625" style="345" bestFit="1" customWidth="1"/>
    <col min="2857" max="2857" width="12.5703125" style="345" bestFit="1" customWidth="1"/>
    <col min="2858" max="3103" width="9.28515625" style="345"/>
    <col min="3104" max="3104" width="11.28515625" style="345" customWidth="1"/>
    <col min="3105" max="3105" width="39.28515625" style="345" customWidth="1"/>
    <col min="3106" max="3107" width="12.28515625" style="345" customWidth="1"/>
    <col min="3108" max="3108" width="16.28515625" style="345" customWidth="1"/>
    <col min="3109" max="3109" width="9.28515625" style="345"/>
    <col min="3110" max="3110" width="13" style="345" customWidth="1"/>
    <col min="3111" max="3111" width="13.28515625" style="345" bestFit="1" customWidth="1"/>
    <col min="3112" max="3112" width="15.28515625" style="345" bestFit="1" customWidth="1"/>
    <col min="3113" max="3113" width="12.5703125" style="345" bestFit="1" customWidth="1"/>
    <col min="3114" max="3359" width="9.28515625" style="345"/>
    <col min="3360" max="3360" width="11.28515625" style="345" customWidth="1"/>
    <col min="3361" max="3361" width="39.28515625" style="345" customWidth="1"/>
    <col min="3362" max="3363" width="12.28515625" style="345" customWidth="1"/>
    <col min="3364" max="3364" width="16.28515625" style="345" customWidth="1"/>
    <col min="3365" max="3365" width="9.28515625" style="345"/>
    <col min="3366" max="3366" width="13" style="345" customWidth="1"/>
    <col min="3367" max="3367" width="13.28515625" style="345" bestFit="1" customWidth="1"/>
    <col min="3368" max="3368" width="15.28515625" style="345" bestFit="1" customWidth="1"/>
    <col min="3369" max="3369" width="12.5703125" style="345" bestFit="1" customWidth="1"/>
    <col min="3370" max="3615" width="9.28515625" style="345"/>
    <col min="3616" max="3616" width="11.28515625" style="345" customWidth="1"/>
    <col min="3617" max="3617" width="39.28515625" style="345" customWidth="1"/>
    <col min="3618" max="3619" width="12.28515625" style="345" customWidth="1"/>
    <col min="3620" max="3620" width="16.28515625" style="345" customWidth="1"/>
    <col min="3621" max="3621" width="9.28515625" style="345"/>
    <col min="3622" max="3622" width="13" style="345" customWidth="1"/>
    <col min="3623" max="3623" width="13.28515625" style="345" bestFit="1" customWidth="1"/>
    <col min="3624" max="3624" width="15.28515625" style="345" bestFit="1" customWidth="1"/>
    <col min="3625" max="3625" width="12.5703125" style="345" bestFit="1" customWidth="1"/>
    <col min="3626" max="3871" width="9.28515625" style="345"/>
    <col min="3872" max="3872" width="11.28515625" style="345" customWidth="1"/>
    <col min="3873" max="3873" width="39.28515625" style="345" customWidth="1"/>
    <col min="3874" max="3875" width="12.28515625" style="345" customWidth="1"/>
    <col min="3876" max="3876" width="16.28515625" style="345" customWidth="1"/>
    <col min="3877" max="3877" width="9.28515625" style="345"/>
    <col min="3878" max="3878" width="13" style="345" customWidth="1"/>
    <col min="3879" max="3879" width="13.28515625" style="345" bestFit="1" customWidth="1"/>
    <col min="3880" max="3880" width="15.28515625" style="345" bestFit="1" customWidth="1"/>
    <col min="3881" max="3881" width="12.5703125" style="345" bestFit="1" customWidth="1"/>
    <col min="3882" max="4127" width="9.28515625" style="345"/>
    <col min="4128" max="4128" width="11.28515625" style="345" customWidth="1"/>
    <col min="4129" max="4129" width="39.28515625" style="345" customWidth="1"/>
    <col min="4130" max="4131" width="12.28515625" style="345" customWidth="1"/>
    <col min="4132" max="4132" width="16.28515625" style="345" customWidth="1"/>
    <col min="4133" max="4133" width="9.28515625" style="345"/>
    <col min="4134" max="4134" width="13" style="345" customWidth="1"/>
    <col min="4135" max="4135" width="13.28515625" style="345" bestFit="1" customWidth="1"/>
    <col min="4136" max="4136" width="15.28515625" style="345" bestFit="1" customWidth="1"/>
    <col min="4137" max="4137" width="12.5703125" style="345" bestFit="1" customWidth="1"/>
    <col min="4138" max="4383" width="9.28515625" style="345"/>
    <col min="4384" max="4384" width="11.28515625" style="345" customWidth="1"/>
    <col min="4385" max="4385" width="39.28515625" style="345" customWidth="1"/>
    <col min="4386" max="4387" width="12.28515625" style="345" customWidth="1"/>
    <col min="4388" max="4388" width="16.28515625" style="345" customWidth="1"/>
    <col min="4389" max="4389" width="9.28515625" style="345"/>
    <col min="4390" max="4390" width="13" style="345" customWidth="1"/>
    <col min="4391" max="4391" width="13.28515625" style="345" bestFit="1" customWidth="1"/>
    <col min="4392" max="4392" width="15.28515625" style="345" bestFit="1" customWidth="1"/>
    <col min="4393" max="4393" width="12.5703125" style="345" bestFit="1" customWidth="1"/>
    <col min="4394" max="4639" width="9.28515625" style="345"/>
    <col min="4640" max="4640" width="11.28515625" style="345" customWidth="1"/>
    <col min="4641" max="4641" width="39.28515625" style="345" customWidth="1"/>
    <col min="4642" max="4643" width="12.28515625" style="345" customWidth="1"/>
    <col min="4644" max="4644" width="16.28515625" style="345" customWidth="1"/>
    <col min="4645" max="4645" width="9.28515625" style="345"/>
    <col min="4646" max="4646" width="13" style="345" customWidth="1"/>
    <col min="4647" max="4647" width="13.28515625" style="345" bestFit="1" customWidth="1"/>
    <col min="4648" max="4648" width="15.28515625" style="345" bestFit="1" customWidth="1"/>
    <col min="4649" max="4649" width="12.5703125" style="345" bestFit="1" customWidth="1"/>
    <col min="4650" max="4895" width="9.28515625" style="345"/>
    <col min="4896" max="4896" width="11.28515625" style="345" customWidth="1"/>
    <col min="4897" max="4897" width="39.28515625" style="345" customWidth="1"/>
    <col min="4898" max="4899" width="12.28515625" style="345" customWidth="1"/>
    <col min="4900" max="4900" width="16.28515625" style="345" customWidth="1"/>
    <col min="4901" max="4901" width="9.28515625" style="345"/>
    <col min="4902" max="4902" width="13" style="345" customWidth="1"/>
    <col min="4903" max="4903" width="13.28515625" style="345" bestFit="1" customWidth="1"/>
    <col min="4904" max="4904" width="15.28515625" style="345" bestFit="1" customWidth="1"/>
    <col min="4905" max="4905" width="12.5703125" style="345" bestFit="1" customWidth="1"/>
    <col min="4906" max="5151" width="9.28515625" style="345"/>
    <col min="5152" max="5152" width="11.28515625" style="345" customWidth="1"/>
    <col min="5153" max="5153" width="39.28515625" style="345" customWidth="1"/>
    <col min="5154" max="5155" width="12.28515625" style="345" customWidth="1"/>
    <col min="5156" max="5156" width="16.28515625" style="345" customWidth="1"/>
    <col min="5157" max="5157" width="9.28515625" style="345"/>
    <col min="5158" max="5158" width="13" style="345" customWidth="1"/>
    <col min="5159" max="5159" width="13.28515625" style="345" bestFit="1" customWidth="1"/>
    <col min="5160" max="5160" width="15.28515625" style="345" bestFit="1" customWidth="1"/>
    <col min="5161" max="5161" width="12.5703125" style="345" bestFit="1" customWidth="1"/>
    <col min="5162" max="5407" width="9.28515625" style="345"/>
    <col min="5408" max="5408" width="11.28515625" style="345" customWidth="1"/>
    <col min="5409" max="5409" width="39.28515625" style="345" customWidth="1"/>
    <col min="5410" max="5411" width="12.28515625" style="345" customWidth="1"/>
    <col min="5412" max="5412" width="16.28515625" style="345" customWidth="1"/>
    <col min="5413" max="5413" width="9.28515625" style="345"/>
    <col min="5414" max="5414" width="13" style="345" customWidth="1"/>
    <col min="5415" max="5415" width="13.28515625" style="345" bestFit="1" customWidth="1"/>
    <col min="5416" max="5416" width="15.28515625" style="345" bestFit="1" customWidth="1"/>
    <col min="5417" max="5417" width="12.5703125" style="345" bestFit="1" customWidth="1"/>
    <col min="5418" max="5663" width="9.28515625" style="345"/>
    <col min="5664" max="5664" width="11.28515625" style="345" customWidth="1"/>
    <col min="5665" max="5665" width="39.28515625" style="345" customWidth="1"/>
    <col min="5666" max="5667" width="12.28515625" style="345" customWidth="1"/>
    <col min="5668" max="5668" width="16.28515625" style="345" customWidth="1"/>
    <col min="5669" max="5669" width="9.28515625" style="345"/>
    <col min="5670" max="5670" width="13" style="345" customWidth="1"/>
    <col min="5671" max="5671" width="13.28515625" style="345" bestFit="1" customWidth="1"/>
    <col min="5672" max="5672" width="15.28515625" style="345" bestFit="1" customWidth="1"/>
    <col min="5673" max="5673" width="12.5703125" style="345" bestFit="1" customWidth="1"/>
    <col min="5674" max="5919" width="9.28515625" style="345"/>
    <col min="5920" max="5920" width="11.28515625" style="345" customWidth="1"/>
    <col min="5921" max="5921" width="39.28515625" style="345" customWidth="1"/>
    <col min="5922" max="5923" width="12.28515625" style="345" customWidth="1"/>
    <col min="5924" max="5924" width="16.28515625" style="345" customWidth="1"/>
    <col min="5925" max="5925" width="9.28515625" style="345"/>
    <col min="5926" max="5926" width="13" style="345" customWidth="1"/>
    <col min="5927" max="5927" width="13.28515625" style="345" bestFit="1" customWidth="1"/>
    <col min="5928" max="5928" width="15.28515625" style="345" bestFit="1" customWidth="1"/>
    <col min="5929" max="5929" width="12.5703125" style="345" bestFit="1" customWidth="1"/>
    <col min="5930" max="6175" width="9.28515625" style="345"/>
    <col min="6176" max="6176" width="11.28515625" style="345" customWidth="1"/>
    <col min="6177" max="6177" width="39.28515625" style="345" customWidth="1"/>
    <col min="6178" max="6179" width="12.28515625" style="345" customWidth="1"/>
    <col min="6180" max="6180" width="16.28515625" style="345" customWidth="1"/>
    <col min="6181" max="6181" width="9.28515625" style="345"/>
    <col min="6182" max="6182" width="13" style="345" customWidth="1"/>
    <col min="6183" max="6183" width="13.28515625" style="345" bestFit="1" customWidth="1"/>
    <col min="6184" max="6184" width="15.28515625" style="345" bestFit="1" customWidth="1"/>
    <col min="6185" max="6185" width="12.5703125" style="345" bestFit="1" customWidth="1"/>
    <col min="6186" max="6431" width="9.28515625" style="345"/>
    <col min="6432" max="6432" width="11.28515625" style="345" customWidth="1"/>
    <col min="6433" max="6433" width="39.28515625" style="345" customWidth="1"/>
    <col min="6434" max="6435" width="12.28515625" style="345" customWidth="1"/>
    <col min="6436" max="6436" width="16.28515625" style="345" customWidth="1"/>
    <col min="6437" max="6437" width="9.28515625" style="345"/>
    <col min="6438" max="6438" width="13" style="345" customWidth="1"/>
    <col min="6439" max="6439" width="13.28515625" style="345" bestFit="1" customWidth="1"/>
    <col min="6440" max="6440" width="15.28515625" style="345" bestFit="1" customWidth="1"/>
    <col min="6441" max="6441" width="12.5703125" style="345" bestFit="1" customWidth="1"/>
    <col min="6442" max="6687" width="9.28515625" style="345"/>
    <col min="6688" max="6688" width="11.28515625" style="345" customWidth="1"/>
    <col min="6689" max="6689" width="39.28515625" style="345" customWidth="1"/>
    <col min="6690" max="6691" width="12.28515625" style="345" customWidth="1"/>
    <col min="6692" max="6692" width="16.28515625" style="345" customWidth="1"/>
    <col min="6693" max="6693" width="9.28515625" style="345"/>
    <col min="6694" max="6694" width="13" style="345" customWidth="1"/>
    <col min="6695" max="6695" width="13.28515625" style="345" bestFit="1" customWidth="1"/>
    <col min="6696" max="6696" width="15.28515625" style="345" bestFit="1" customWidth="1"/>
    <col min="6697" max="6697" width="12.5703125" style="345" bestFit="1" customWidth="1"/>
    <col min="6698" max="6943" width="9.28515625" style="345"/>
    <col min="6944" max="6944" width="11.28515625" style="345" customWidth="1"/>
    <col min="6945" max="6945" width="39.28515625" style="345" customWidth="1"/>
    <col min="6946" max="6947" width="12.28515625" style="345" customWidth="1"/>
    <col min="6948" max="6948" width="16.28515625" style="345" customWidth="1"/>
    <col min="6949" max="6949" width="9.28515625" style="345"/>
    <col min="6950" max="6950" width="13" style="345" customWidth="1"/>
    <col min="6951" max="6951" width="13.28515625" style="345" bestFit="1" customWidth="1"/>
    <col min="6952" max="6952" width="15.28515625" style="345" bestFit="1" customWidth="1"/>
    <col min="6953" max="6953" width="12.5703125" style="345" bestFit="1" customWidth="1"/>
    <col min="6954" max="7199" width="9.28515625" style="345"/>
    <col min="7200" max="7200" width="11.28515625" style="345" customWidth="1"/>
    <col min="7201" max="7201" width="39.28515625" style="345" customWidth="1"/>
    <col min="7202" max="7203" width="12.28515625" style="345" customWidth="1"/>
    <col min="7204" max="7204" width="16.28515625" style="345" customWidth="1"/>
    <col min="7205" max="7205" width="9.28515625" style="345"/>
    <col min="7206" max="7206" width="13" style="345" customWidth="1"/>
    <col min="7207" max="7207" width="13.28515625" style="345" bestFit="1" customWidth="1"/>
    <col min="7208" max="7208" width="15.28515625" style="345" bestFit="1" customWidth="1"/>
    <col min="7209" max="7209" width="12.5703125" style="345" bestFit="1" customWidth="1"/>
    <col min="7210" max="7455" width="9.28515625" style="345"/>
    <col min="7456" max="7456" width="11.28515625" style="345" customWidth="1"/>
    <col min="7457" max="7457" width="39.28515625" style="345" customWidth="1"/>
    <col min="7458" max="7459" width="12.28515625" style="345" customWidth="1"/>
    <col min="7460" max="7460" width="16.28515625" style="345" customWidth="1"/>
    <col min="7461" max="7461" width="9.28515625" style="345"/>
    <col min="7462" max="7462" width="13" style="345" customWidth="1"/>
    <col min="7463" max="7463" width="13.28515625" style="345" bestFit="1" customWidth="1"/>
    <col min="7464" max="7464" width="15.28515625" style="345" bestFit="1" customWidth="1"/>
    <col min="7465" max="7465" width="12.5703125" style="345" bestFit="1" customWidth="1"/>
    <col min="7466" max="7711" width="9.28515625" style="345"/>
    <col min="7712" max="7712" width="11.28515625" style="345" customWidth="1"/>
    <col min="7713" max="7713" width="39.28515625" style="345" customWidth="1"/>
    <col min="7714" max="7715" width="12.28515625" style="345" customWidth="1"/>
    <col min="7716" max="7716" width="16.28515625" style="345" customWidth="1"/>
    <col min="7717" max="7717" width="9.28515625" style="345"/>
    <col min="7718" max="7718" width="13" style="345" customWidth="1"/>
    <col min="7719" max="7719" width="13.28515625" style="345" bestFit="1" customWidth="1"/>
    <col min="7720" max="7720" width="15.28515625" style="345" bestFit="1" customWidth="1"/>
    <col min="7721" max="7721" width="12.5703125" style="345" bestFit="1" customWidth="1"/>
    <col min="7722" max="7967" width="9.28515625" style="345"/>
    <col min="7968" max="7968" width="11.28515625" style="345" customWidth="1"/>
    <col min="7969" max="7969" width="39.28515625" style="345" customWidth="1"/>
    <col min="7970" max="7971" width="12.28515625" style="345" customWidth="1"/>
    <col min="7972" max="7972" width="16.28515625" style="345" customWidth="1"/>
    <col min="7973" max="7973" width="9.28515625" style="345"/>
    <col min="7974" max="7974" width="13" style="345" customWidth="1"/>
    <col min="7975" max="7975" width="13.28515625" style="345" bestFit="1" customWidth="1"/>
    <col min="7976" max="7976" width="15.28515625" style="345" bestFit="1" customWidth="1"/>
    <col min="7977" max="7977" width="12.5703125" style="345" bestFit="1" customWidth="1"/>
    <col min="7978" max="8223" width="9.28515625" style="345"/>
    <col min="8224" max="8224" width="11.28515625" style="345" customWidth="1"/>
    <col min="8225" max="8225" width="39.28515625" style="345" customWidth="1"/>
    <col min="8226" max="8227" width="12.28515625" style="345" customWidth="1"/>
    <col min="8228" max="8228" width="16.28515625" style="345" customWidth="1"/>
    <col min="8229" max="8229" width="9.28515625" style="345"/>
    <col min="8230" max="8230" width="13" style="345" customWidth="1"/>
    <col min="8231" max="8231" width="13.28515625" style="345" bestFit="1" customWidth="1"/>
    <col min="8232" max="8232" width="15.28515625" style="345" bestFit="1" customWidth="1"/>
    <col min="8233" max="8233" width="12.5703125" style="345" bestFit="1" customWidth="1"/>
    <col min="8234" max="8479" width="9.28515625" style="345"/>
    <col min="8480" max="8480" width="11.28515625" style="345" customWidth="1"/>
    <col min="8481" max="8481" width="39.28515625" style="345" customWidth="1"/>
    <col min="8482" max="8483" width="12.28515625" style="345" customWidth="1"/>
    <col min="8484" max="8484" width="16.28515625" style="345" customWidth="1"/>
    <col min="8485" max="8485" width="9.28515625" style="345"/>
    <col min="8486" max="8486" width="13" style="345" customWidth="1"/>
    <col min="8487" max="8487" width="13.28515625" style="345" bestFit="1" customWidth="1"/>
    <col min="8488" max="8488" width="15.28515625" style="345" bestFit="1" customWidth="1"/>
    <col min="8489" max="8489" width="12.5703125" style="345" bestFit="1" customWidth="1"/>
    <col min="8490" max="8735" width="9.28515625" style="345"/>
    <col min="8736" max="8736" width="11.28515625" style="345" customWidth="1"/>
    <col min="8737" max="8737" width="39.28515625" style="345" customWidth="1"/>
    <col min="8738" max="8739" width="12.28515625" style="345" customWidth="1"/>
    <col min="8740" max="8740" width="16.28515625" style="345" customWidth="1"/>
    <col min="8741" max="8741" width="9.28515625" style="345"/>
    <col min="8742" max="8742" width="13" style="345" customWidth="1"/>
    <col min="8743" max="8743" width="13.28515625" style="345" bestFit="1" customWidth="1"/>
    <col min="8744" max="8744" width="15.28515625" style="345" bestFit="1" customWidth="1"/>
    <col min="8745" max="8745" width="12.5703125" style="345" bestFit="1" customWidth="1"/>
    <col min="8746" max="8991" width="9.28515625" style="345"/>
    <col min="8992" max="8992" width="11.28515625" style="345" customWidth="1"/>
    <col min="8993" max="8993" width="39.28515625" style="345" customWidth="1"/>
    <col min="8994" max="8995" width="12.28515625" style="345" customWidth="1"/>
    <col min="8996" max="8996" width="16.28515625" style="345" customWidth="1"/>
    <col min="8997" max="8997" width="9.28515625" style="345"/>
    <col min="8998" max="8998" width="13" style="345" customWidth="1"/>
    <col min="8999" max="8999" width="13.28515625" style="345" bestFit="1" customWidth="1"/>
    <col min="9000" max="9000" width="15.28515625" style="345" bestFit="1" customWidth="1"/>
    <col min="9001" max="9001" width="12.5703125" style="345" bestFit="1" customWidth="1"/>
    <col min="9002" max="9247" width="9.28515625" style="345"/>
    <col min="9248" max="9248" width="11.28515625" style="345" customWidth="1"/>
    <col min="9249" max="9249" width="39.28515625" style="345" customWidth="1"/>
    <col min="9250" max="9251" width="12.28515625" style="345" customWidth="1"/>
    <col min="9252" max="9252" width="16.28515625" style="345" customWidth="1"/>
    <col min="9253" max="9253" width="9.28515625" style="345"/>
    <col min="9254" max="9254" width="13" style="345" customWidth="1"/>
    <col min="9255" max="9255" width="13.28515625" style="345" bestFit="1" customWidth="1"/>
    <col min="9256" max="9256" width="15.28515625" style="345" bestFit="1" customWidth="1"/>
    <col min="9257" max="9257" width="12.5703125" style="345" bestFit="1" customWidth="1"/>
    <col min="9258" max="9503" width="9.28515625" style="345"/>
    <col min="9504" max="9504" width="11.28515625" style="345" customWidth="1"/>
    <col min="9505" max="9505" width="39.28515625" style="345" customWidth="1"/>
    <col min="9506" max="9507" width="12.28515625" style="345" customWidth="1"/>
    <col min="9508" max="9508" width="16.28515625" style="345" customWidth="1"/>
    <col min="9509" max="9509" width="9.28515625" style="345"/>
    <col min="9510" max="9510" width="13" style="345" customWidth="1"/>
    <col min="9511" max="9511" width="13.28515625" style="345" bestFit="1" customWidth="1"/>
    <col min="9512" max="9512" width="15.28515625" style="345" bestFit="1" customWidth="1"/>
    <col min="9513" max="9513" width="12.5703125" style="345" bestFit="1" customWidth="1"/>
    <col min="9514" max="9759" width="9.28515625" style="345"/>
    <col min="9760" max="9760" width="11.28515625" style="345" customWidth="1"/>
    <col min="9761" max="9761" width="39.28515625" style="345" customWidth="1"/>
    <col min="9762" max="9763" width="12.28515625" style="345" customWidth="1"/>
    <col min="9764" max="9764" width="16.28515625" style="345" customWidth="1"/>
    <col min="9765" max="9765" width="9.28515625" style="345"/>
    <col min="9766" max="9766" width="13" style="345" customWidth="1"/>
    <col min="9767" max="9767" width="13.28515625" style="345" bestFit="1" customWidth="1"/>
    <col min="9768" max="9768" width="15.28515625" style="345" bestFit="1" customWidth="1"/>
    <col min="9769" max="9769" width="12.5703125" style="345" bestFit="1" customWidth="1"/>
    <col min="9770" max="10015" width="9.28515625" style="345"/>
    <col min="10016" max="10016" width="11.28515625" style="345" customWidth="1"/>
    <col min="10017" max="10017" width="39.28515625" style="345" customWidth="1"/>
    <col min="10018" max="10019" width="12.28515625" style="345" customWidth="1"/>
    <col min="10020" max="10020" width="16.28515625" style="345" customWidth="1"/>
    <col min="10021" max="10021" width="9.28515625" style="345"/>
    <col min="10022" max="10022" width="13" style="345" customWidth="1"/>
    <col min="10023" max="10023" width="13.28515625" style="345" bestFit="1" customWidth="1"/>
    <col min="10024" max="10024" width="15.28515625" style="345" bestFit="1" customWidth="1"/>
    <col min="10025" max="10025" width="12.5703125" style="345" bestFit="1" customWidth="1"/>
    <col min="10026" max="10271" width="9.28515625" style="345"/>
    <col min="10272" max="10272" width="11.28515625" style="345" customWidth="1"/>
    <col min="10273" max="10273" width="39.28515625" style="345" customWidth="1"/>
    <col min="10274" max="10275" width="12.28515625" style="345" customWidth="1"/>
    <col min="10276" max="10276" width="16.28515625" style="345" customWidth="1"/>
    <col min="10277" max="10277" width="9.28515625" style="345"/>
    <col min="10278" max="10278" width="13" style="345" customWidth="1"/>
    <col min="10279" max="10279" width="13.28515625" style="345" bestFit="1" customWidth="1"/>
    <col min="10280" max="10280" width="15.28515625" style="345" bestFit="1" customWidth="1"/>
    <col min="10281" max="10281" width="12.5703125" style="345" bestFit="1" customWidth="1"/>
    <col min="10282" max="10527" width="9.28515625" style="345"/>
    <col min="10528" max="10528" width="11.28515625" style="345" customWidth="1"/>
    <col min="10529" max="10529" width="39.28515625" style="345" customWidth="1"/>
    <col min="10530" max="10531" width="12.28515625" style="345" customWidth="1"/>
    <col min="10532" max="10532" width="16.28515625" style="345" customWidth="1"/>
    <col min="10533" max="10533" width="9.28515625" style="345"/>
    <col min="10534" max="10534" width="13" style="345" customWidth="1"/>
    <col min="10535" max="10535" width="13.28515625" style="345" bestFit="1" customWidth="1"/>
    <col min="10536" max="10536" width="15.28515625" style="345" bestFit="1" customWidth="1"/>
    <col min="10537" max="10537" width="12.5703125" style="345" bestFit="1" customWidth="1"/>
    <col min="10538" max="10783" width="9.28515625" style="345"/>
    <col min="10784" max="10784" width="11.28515625" style="345" customWidth="1"/>
    <col min="10785" max="10785" width="39.28515625" style="345" customWidth="1"/>
    <col min="10786" max="10787" width="12.28515625" style="345" customWidth="1"/>
    <col min="10788" max="10788" width="16.28515625" style="345" customWidth="1"/>
    <col min="10789" max="10789" width="9.28515625" style="345"/>
    <col min="10790" max="10790" width="13" style="345" customWidth="1"/>
    <col min="10791" max="10791" width="13.28515625" style="345" bestFit="1" customWidth="1"/>
    <col min="10792" max="10792" width="15.28515625" style="345" bestFit="1" customWidth="1"/>
    <col min="10793" max="10793" width="12.5703125" style="345" bestFit="1" customWidth="1"/>
    <col min="10794" max="11039" width="9.28515625" style="345"/>
    <col min="11040" max="11040" width="11.28515625" style="345" customWidth="1"/>
    <col min="11041" max="11041" width="39.28515625" style="345" customWidth="1"/>
    <col min="11042" max="11043" width="12.28515625" style="345" customWidth="1"/>
    <col min="11044" max="11044" width="16.28515625" style="345" customWidth="1"/>
    <col min="11045" max="11045" width="9.28515625" style="345"/>
    <col min="11046" max="11046" width="13" style="345" customWidth="1"/>
    <col min="11047" max="11047" width="13.28515625" style="345" bestFit="1" customWidth="1"/>
    <col min="11048" max="11048" width="15.28515625" style="345" bestFit="1" customWidth="1"/>
    <col min="11049" max="11049" width="12.5703125" style="345" bestFit="1" customWidth="1"/>
    <col min="11050" max="11295" width="9.28515625" style="345"/>
    <col min="11296" max="11296" width="11.28515625" style="345" customWidth="1"/>
    <col min="11297" max="11297" width="39.28515625" style="345" customWidth="1"/>
    <col min="11298" max="11299" width="12.28515625" style="345" customWidth="1"/>
    <col min="11300" max="11300" width="16.28515625" style="345" customWidth="1"/>
    <col min="11301" max="11301" width="9.28515625" style="345"/>
    <col min="11302" max="11302" width="13" style="345" customWidth="1"/>
    <col min="11303" max="11303" width="13.28515625" style="345" bestFit="1" customWidth="1"/>
    <col min="11304" max="11304" width="15.28515625" style="345" bestFit="1" customWidth="1"/>
    <col min="11305" max="11305" width="12.5703125" style="345" bestFit="1" customWidth="1"/>
    <col min="11306" max="11551" width="9.28515625" style="345"/>
    <col min="11552" max="11552" width="11.28515625" style="345" customWidth="1"/>
    <col min="11553" max="11553" width="39.28515625" style="345" customWidth="1"/>
    <col min="11554" max="11555" width="12.28515625" style="345" customWidth="1"/>
    <col min="11556" max="11556" width="16.28515625" style="345" customWidth="1"/>
    <col min="11557" max="11557" width="9.28515625" style="345"/>
    <col min="11558" max="11558" width="13" style="345" customWidth="1"/>
    <col min="11559" max="11559" width="13.28515625" style="345" bestFit="1" customWidth="1"/>
    <col min="11560" max="11560" width="15.28515625" style="345" bestFit="1" customWidth="1"/>
    <col min="11561" max="11561" width="12.5703125" style="345" bestFit="1" customWidth="1"/>
    <col min="11562" max="11807" width="9.28515625" style="345"/>
    <col min="11808" max="11808" width="11.28515625" style="345" customWidth="1"/>
    <col min="11809" max="11809" width="39.28515625" style="345" customWidth="1"/>
    <col min="11810" max="11811" width="12.28515625" style="345" customWidth="1"/>
    <col min="11812" max="11812" width="16.28515625" style="345" customWidth="1"/>
    <col min="11813" max="11813" width="9.28515625" style="345"/>
    <col min="11814" max="11814" width="13" style="345" customWidth="1"/>
    <col min="11815" max="11815" width="13.28515625" style="345" bestFit="1" customWidth="1"/>
    <col min="11816" max="11816" width="15.28515625" style="345" bestFit="1" customWidth="1"/>
    <col min="11817" max="11817" width="12.5703125" style="345" bestFit="1" customWidth="1"/>
    <col min="11818" max="12063" width="9.28515625" style="345"/>
    <col min="12064" max="12064" width="11.28515625" style="345" customWidth="1"/>
    <col min="12065" max="12065" width="39.28515625" style="345" customWidth="1"/>
    <col min="12066" max="12067" width="12.28515625" style="345" customWidth="1"/>
    <col min="12068" max="12068" width="16.28515625" style="345" customWidth="1"/>
    <col min="12069" max="12069" width="9.28515625" style="345"/>
    <col min="12070" max="12070" width="13" style="345" customWidth="1"/>
    <col min="12071" max="12071" width="13.28515625" style="345" bestFit="1" customWidth="1"/>
    <col min="12072" max="12072" width="15.28515625" style="345" bestFit="1" customWidth="1"/>
    <col min="12073" max="12073" width="12.5703125" style="345" bestFit="1" customWidth="1"/>
    <col min="12074" max="12319" width="9.28515625" style="345"/>
    <col min="12320" max="12320" width="11.28515625" style="345" customWidth="1"/>
    <col min="12321" max="12321" width="39.28515625" style="345" customWidth="1"/>
    <col min="12322" max="12323" width="12.28515625" style="345" customWidth="1"/>
    <col min="12324" max="12324" width="16.28515625" style="345" customWidth="1"/>
    <col min="12325" max="12325" width="9.28515625" style="345"/>
    <col min="12326" max="12326" width="13" style="345" customWidth="1"/>
    <col min="12327" max="12327" width="13.28515625" style="345" bestFit="1" customWidth="1"/>
    <col min="12328" max="12328" width="15.28515625" style="345" bestFit="1" customWidth="1"/>
    <col min="12329" max="12329" width="12.5703125" style="345" bestFit="1" customWidth="1"/>
    <col min="12330" max="12575" width="9.28515625" style="345"/>
    <col min="12576" max="12576" width="11.28515625" style="345" customWidth="1"/>
    <col min="12577" max="12577" width="39.28515625" style="345" customWidth="1"/>
    <col min="12578" max="12579" width="12.28515625" style="345" customWidth="1"/>
    <col min="12580" max="12580" width="16.28515625" style="345" customWidth="1"/>
    <col min="12581" max="12581" width="9.28515625" style="345"/>
    <col min="12582" max="12582" width="13" style="345" customWidth="1"/>
    <col min="12583" max="12583" width="13.28515625" style="345" bestFit="1" customWidth="1"/>
    <col min="12584" max="12584" width="15.28515625" style="345" bestFit="1" customWidth="1"/>
    <col min="12585" max="12585" width="12.5703125" style="345" bestFit="1" customWidth="1"/>
    <col min="12586" max="12831" width="9.28515625" style="345"/>
    <col min="12832" max="12832" width="11.28515625" style="345" customWidth="1"/>
    <col min="12833" max="12833" width="39.28515625" style="345" customWidth="1"/>
    <col min="12834" max="12835" width="12.28515625" style="345" customWidth="1"/>
    <col min="12836" max="12836" width="16.28515625" style="345" customWidth="1"/>
    <col min="12837" max="12837" width="9.28515625" style="345"/>
    <col min="12838" max="12838" width="13" style="345" customWidth="1"/>
    <col min="12839" max="12839" width="13.28515625" style="345" bestFit="1" customWidth="1"/>
    <col min="12840" max="12840" width="15.28515625" style="345" bestFit="1" customWidth="1"/>
    <col min="12841" max="12841" width="12.5703125" style="345" bestFit="1" customWidth="1"/>
    <col min="12842" max="13087" width="9.28515625" style="345"/>
    <col min="13088" max="13088" width="11.28515625" style="345" customWidth="1"/>
    <col min="13089" max="13089" width="39.28515625" style="345" customWidth="1"/>
    <col min="13090" max="13091" width="12.28515625" style="345" customWidth="1"/>
    <col min="13092" max="13092" width="16.28515625" style="345" customWidth="1"/>
    <col min="13093" max="13093" width="9.28515625" style="345"/>
    <col min="13094" max="13094" width="13" style="345" customWidth="1"/>
    <col min="13095" max="13095" width="13.28515625" style="345" bestFit="1" customWidth="1"/>
    <col min="13096" max="13096" width="15.28515625" style="345" bestFit="1" customWidth="1"/>
    <col min="13097" max="13097" width="12.5703125" style="345" bestFit="1" customWidth="1"/>
    <col min="13098" max="13343" width="9.28515625" style="345"/>
    <col min="13344" max="13344" width="11.28515625" style="345" customWidth="1"/>
    <col min="13345" max="13345" width="39.28515625" style="345" customWidth="1"/>
    <col min="13346" max="13347" width="12.28515625" style="345" customWidth="1"/>
    <col min="13348" max="13348" width="16.28515625" style="345" customWidth="1"/>
    <col min="13349" max="13349" width="9.28515625" style="345"/>
    <col min="13350" max="13350" width="13" style="345" customWidth="1"/>
    <col min="13351" max="13351" width="13.28515625" style="345" bestFit="1" customWidth="1"/>
    <col min="13352" max="13352" width="15.28515625" style="345" bestFit="1" customWidth="1"/>
    <col min="13353" max="13353" width="12.5703125" style="345" bestFit="1" customWidth="1"/>
    <col min="13354" max="13599" width="9.28515625" style="345"/>
    <col min="13600" max="13600" width="11.28515625" style="345" customWidth="1"/>
    <col min="13601" max="13601" width="39.28515625" style="345" customWidth="1"/>
    <col min="13602" max="13603" width="12.28515625" style="345" customWidth="1"/>
    <col min="13604" max="13604" width="16.28515625" style="345" customWidth="1"/>
    <col min="13605" max="13605" width="9.28515625" style="345"/>
    <col min="13606" max="13606" width="13" style="345" customWidth="1"/>
    <col min="13607" max="13607" width="13.28515625" style="345" bestFit="1" customWidth="1"/>
    <col min="13608" max="13608" width="15.28515625" style="345" bestFit="1" customWidth="1"/>
    <col min="13609" max="13609" width="12.5703125" style="345" bestFit="1" customWidth="1"/>
    <col min="13610" max="13855" width="9.28515625" style="345"/>
    <col min="13856" max="13856" width="11.28515625" style="345" customWidth="1"/>
    <col min="13857" max="13857" width="39.28515625" style="345" customWidth="1"/>
    <col min="13858" max="13859" width="12.28515625" style="345" customWidth="1"/>
    <col min="13860" max="13860" width="16.28515625" style="345" customWidth="1"/>
    <col min="13861" max="13861" width="9.28515625" style="345"/>
    <col min="13862" max="13862" width="13" style="345" customWidth="1"/>
    <col min="13863" max="13863" width="13.28515625" style="345" bestFit="1" customWidth="1"/>
    <col min="13864" max="13864" width="15.28515625" style="345" bestFit="1" customWidth="1"/>
    <col min="13865" max="13865" width="12.5703125" style="345" bestFit="1" customWidth="1"/>
    <col min="13866" max="14111" width="9.28515625" style="345"/>
    <col min="14112" max="14112" width="11.28515625" style="345" customWidth="1"/>
    <col min="14113" max="14113" width="39.28515625" style="345" customWidth="1"/>
    <col min="14114" max="14115" width="12.28515625" style="345" customWidth="1"/>
    <col min="14116" max="14116" width="16.28515625" style="345" customWidth="1"/>
    <col min="14117" max="14117" width="9.28515625" style="345"/>
    <col min="14118" max="14118" width="13" style="345" customWidth="1"/>
    <col min="14119" max="14119" width="13.28515625" style="345" bestFit="1" customWidth="1"/>
    <col min="14120" max="14120" width="15.28515625" style="345" bestFit="1" customWidth="1"/>
    <col min="14121" max="14121" width="12.5703125" style="345" bestFit="1" customWidth="1"/>
    <col min="14122" max="14367" width="9.28515625" style="345"/>
    <col min="14368" max="14368" width="11.28515625" style="345" customWidth="1"/>
    <col min="14369" max="14369" width="39.28515625" style="345" customWidth="1"/>
    <col min="14370" max="14371" width="12.28515625" style="345" customWidth="1"/>
    <col min="14372" max="14372" width="16.28515625" style="345" customWidth="1"/>
    <col min="14373" max="14373" width="9.28515625" style="345"/>
    <col min="14374" max="14374" width="13" style="345" customWidth="1"/>
    <col min="14375" max="14375" width="13.28515625" style="345" bestFit="1" customWidth="1"/>
    <col min="14376" max="14376" width="15.28515625" style="345" bestFit="1" customWidth="1"/>
    <col min="14377" max="14377" width="12.5703125" style="345" bestFit="1" customWidth="1"/>
    <col min="14378" max="14623" width="9.28515625" style="345"/>
    <col min="14624" max="14624" width="11.28515625" style="345" customWidth="1"/>
    <col min="14625" max="14625" width="39.28515625" style="345" customWidth="1"/>
    <col min="14626" max="14627" width="12.28515625" style="345" customWidth="1"/>
    <col min="14628" max="14628" width="16.28515625" style="345" customWidth="1"/>
    <col min="14629" max="14629" width="9.28515625" style="345"/>
    <col min="14630" max="14630" width="13" style="345" customWidth="1"/>
    <col min="14631" max="14631" width="13.28515625" style="345" bestFit="1" customWidth="1"/>
    <col min="14632" max="14632" width="15.28515625" style="345" bestFit="1" customWidth="1"/>
    <col min="14633" max="14633" width="12.5703125" style="345" bestFit="1" customWidth="1"/>
    <col min="14634" max="14879" width="9.28515625" style="345"/>
    <col min="14880" max="14880" width="11.28515625" style="345" customWidth="1"/>
    <col min="14881" max="14881" width="39.28515625" style="345" customWidth="1"/>
    <col min="14882" max="14883" width="12.28515625" style="345" customWidth="1"/>
    <col min="14884" max="14884" width="16.28515625" style="345" customWidth="1"/>
    <col min="14885" max="14885" width="9.28515625" style="345"/>
    <col min="14886" max="14886" width="13" style="345" customWidth="1"/>
    <col min="14887" max="14887" width="13.28515625" style="345" bestFit="1" customWidth="1"/>
    <col min="14888" max="14888" width="15.28515625" style="345" bestFit="1" customWidth="1"/>
    <col min="14889" max="14889" width="12.5703125" style="345" bestFit="1" customWidth="1"/>
    <col min="14890" max="15135" width="9.28515625" style="345"/>
    <col min="15136" max="15136" width="11.28515625" style="345" customWidth="1"/>
    <col min="15137" max="15137" width="39.28515625" style="345" customWidth="1"/>
    <col min="15138" max="15139" width="12.28515625" style="345" customWidth="1"/>
    <col min="15140" max="15140" width="16.28515625" style="345" customWidth="1"/>
    <col min="15141" max="15141" width="9.28515625" style="345"/>
    <col min="15142" max="15142" width="13" style="345" customWidth="1"/>
    <col min="15143" max="15143" width="13.28515625" style="345" bestFit="1" customWidth="1"/>
    <col min="15144" max="15144" width="15.28515625" style="345" bestFit="1" customWidth="1"/>
    <col min="15145" max="15145" width="12.5703125" style="345" bestFit="1" customWidth="1"/>
    <col min="15146" max="15391" width="9.28515625" style="345"/>
    <col min="15392" max="15392" width="11.28515625" style="345" customWidth="1"/>
    <col min="15393" max="15393" width="39.28515625" style="345" customWidth="1"/>
    <col min="15394" max="15395" width="12.28515625" style="345" customWidth="1"/>
    <col min="15396" max="15396" width="16.28515625" style="345" customWidth="1"/>
    <col min="15397" max="15397" width="9.28515625" style="345"/>
    <col min="15398" max="15398" width="13" style="345" customWidth="1"/>
    <col min="15399" max="15399" width="13.28515625" style="345" bestFit="1" customWidth="1"/>
    <col min="15400" max="15400" width="15.28515625" style="345" bestFit="1" customWidth="1"/>
    <col min="15401" max="15401" width="12.5703125" style="345" bestFit="1" customWidth="1"/>
    <col min="15402" max="15647" width="9.28515625" style="345"/>
    <col min="15648" max="15648" width="11.28515625" style="345" customWidth="1"/>
    <col min="15649" max="15649" width="39.28515625" style="345" customWidth="1"/>
    <col min="15650" max="15651" width="12.28515625" style="345" customWidth="1"/>
    <col min="15652" max="15652" width="16.28515625" style="345" customWidth="1"/>
    <col min="15653" max="15653" width="9.28515625" style="345"/>
    <col min="15654" max="15654" width="13" style="345" customWidth="1"/>
    <col min="15655" max="15655" width="13.28515625" style="345" bestFit="1" customWidth="1"/>
    <col min="15656" max="15656" width="15.28515625" style="345" bestFit="1" customWidth="1"/>
    <col min="15657" max="15657" width="12.5703125" style="345" bestFit="1" customWidth="1"/>
    <col min="15658" max="15903" width="9.28515625" style="345"/>
    <col min="15904" max="15904" width="11.28515625" style="345" customWidth="1"/>
    <col min="15905" max="15905" width="39.28515625" style="345" customWidth="1"/>
    <col min="15906" max="15907" width="12.28515625" style="345" customWidth="1"/>
    <col min="15908" max="15908" width="16.28515625" style="345" customWidth="1"/>
    <col min="15909" max="15909" width="9.28515625" style="345"/>
    <col min="15910" max="15910" width="13" style="345" customWidth="1"/>
    <col min="15911" max="15911" width="13.28515625" style="345" bestFit="1" customWidth="1"/>
    <col min="15912" max="15912" width="15.28515625" style="345" bestFit="1" customWidth="1"/>
    <col min="15913" max="15913" width="12.5703125" style="345" bestFit="1" customWidth="1"/>
    <col min="15914" max="16159" width="9.28515625" style="345"/>
    <col min="16160" max="16160" width="11.28515625" style="345" customWidth="1"/>
    <col min="16161" max="16161" width="39.28515625" style="345" customWidth="1"/>
    <col min="16162" max="16163" width="12.28515625" style="345" customWidth="1"/>
    <col min="16164" max="16164" width="16.28515625" style="345" customWidth="1"/>
    <col min="16165" max="16165" width="9.28515625" style="345"/>
    <col min="16166" max="16166" width="13" style="345" customWidth="1"/>
    <col min="16167" max="16167" width="13.28515625" style="345" bestFit="1" customWidth="1"/>
    <col min="16168" max="16168" width="15.28515625" style="345" bestFit="1" customWidth="1"/>
    <col min="16169" max="16169" width="12.5703125" style="345" bestFit="1" customWidth="1"/>
    <col min="16170" max="16384" width="9.28515625" style="345"/>
  </cols>
  <sheetData>
    <row r="1" spans="1:44" s="180" customFormat="1" ht="21" customHeight="1">
      <c r="A1" s="17" t="s">
        <v>1393</v>
      </c>
      <c r="B1" s="179"/>
      <c r="C1" s="179"/>
      <c r="D1" s="759"/>
      <c r="E1" s="759"/>
    </row>
    <row r="2" spans="1:44" s="180" customFormat="1" ht="21" customHeight="1">
      <c r="A2" s="15" t="s">
        <v>1303</v>
      </c>
      <c r="B2" s="397" t="str">
        <f>'Schedule 2_Balance Sheet'!C2</f>
        <v>Tufts Associated Health Plans, Inc. (TAHMO)</v>
      </c>
      <c r="C2" s="398"/>
      <c r="D2" s="398"/>
      <c r="E2" s="398"/>
      <c r="F2" s="399"/>
    </row>
    <row r="3" spans="1:44" s="180" customFormat="1" ht="21" customHeight="1">
      <c r="A3" s="15" t="s">
        <v>1285</v>
      </c>
      <c r="B3" s="520" t="str">
        <f>'Schedule 2_Balance Sheet'!C3</f>
        <v>01/01/2024 - 12/31/2024</v>
      </c>
      <c r="C3" s="521"/>
      <c r="D3" s="521"/>
      <c r="E3" s="521"/>
      <c r="F3" s="522"/>
    </row>
    <row r="4" spans="1:44" s="180" customFormat="1" ht="21" customHeight="1">
      <c r="A4" s="15" t="s">
        <v>1306</v>
      </c>
      <c r="B4" s="401">
        <f>'Schedule 2_Balance Sheet'!C4</f>
        <v>45657</v>
      </c>
      <c r="C4" s="398"/>
      <c r="D4" s="398"/>
      <c r="E4" s="398"/>
      <c r="F4" s="399"/>
    </row>
    <row r="5" spans="1:44" s="180" customFormat="1" ht="21" customHeight="1">
      <c r="A5" s="15" t="s">
        <v>1307</v>
      </c>
      <c r="B5" s="397" t="str">
        <f>'Schedule 2_Balance Sheet'!C5</f>
        <v>Roshni Parikh</v>
      </c>
      <c r="C5" s="398"/>
      <c r="D5" s="398"/>
      <c r="E5" s="398"/>
      <c r="F5" s="399"/>
    </row>
    <row r="6" spans="1:44" s="180" customFormat="1" ht="21" customHeight="1">
      <c r="A6" s="15" t="s">
        <v>1288</v>
      </c>
      <c r="B6" s="401">
        <f>'Schedule 2_Balance Sheet'!C6</f>
        <v>45657</v>
      </c>
      <c r="C6" s="398"/>
      <c r="D6" s="398"/>
      <c r="E6" s="398"/>
      <c r="F6" s="399"/>
      <c r="H6" s="343"/>
      <c r="M6" s="343"/>
      <c r="O6" s="343"/>
    </row>
    <row r="7" spans="1:44" ht="13.9" thickBot="1">
      <c r="A7" s="179" t="s">
        <v>1289</v>
      </c>
      <c r="B7" s="179"/>
      <c r="C7" s="179"/>
      <c r="D7" s="179"/>
      <c r="E7" s="179"/>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row>
    <row r="8" spans="1:44" ht="13.9" thickBot="1">
      <c r="A8" s="356" t="s">
        <v>1394</v>
      </c>
      <c r="B8" s="942">
        <f>'Schedule 1_Enrollment'!L15</f>
        <v>35771.209502942002</v>
      </c>
      <c r="C8" s="942">
        <f>'Schedule 1_Enrollment'!L22</f>
        <v>37419.599249890583</v>
      </c>
      <c r="D8" s="942">
        <f>'Schedule 1_Enrollment'!L29</f>
        <v>39167.94809025916</v>
      </c>
      <c r="E8" s="942">
        <f>'Schedule 1_Enrollment'!L36</f>
        <v>40904.200352759675</v>
      </c>
      <c r="F8" s="943">
        <f>B8+C8+D8+E8</f>
        <v>153262.95719585143</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row>
    <row r="9" spans="1:44" s="347" customFormat="1" ht="13.5" customHeight="1" thickBot="1">
      <c r="A9" s="357"/>
      <c r="B9" s="944" t="s">
        <v>1395</v>
      </c>
      <c r="C9" s="944"/>
      <c r="D9" s="944"/>
      <c r="E9" s="944"/>
      <c r="F9" s="358"/>
      <c r="G9" s="359" t="s">
        <v>1396</v>
      </c>
      <c r="H9" s="944"/>
      <c r="I9" s="944"/>
      <c r="J9" s="944"/>
      <c r="K9" s="358"/>
      <c r="L9" s="360" t="s">
        <v>1397</v>
      </c>
      <c r="M9" s="945"/>
      <c r="N9" s="945"/>
      <c r="O9" s="945"/>
      <c r="P9" s="361"/>
      <c r="Q9" s="362" t="s">
        <v>1398</v>
      </c>
      <c r="R9" s="946"/>
      <c r="S9" s="946"/>
      <c r="T9" s="946"/>
      <c r="U9" s="363"/>
      <c r="V9" s="362" t="s">
        <v>1399</v>
      </c>
      <c r="W9" s="946"/>
      <c r="X9" s="946"/>
      <c r="Y9" s="946"/>
      <c r="Z9" s="363"/>
      <c r="AA9" s="362" t="s">
        <v>1400</v>
      </c>
      <c r="AB9" s="946"/>
      <c r="AC9" s="946"/>
      <c r="AD9" s="946"/>
      <c r="AE9" s="363"/>
      <c r="AF9" s="364" t="s">
        <v>1401</v>
      </c>
      <c r="AG9" s="947"/>
      <c r="AH9" s="947"/>
      <c r="AI9" s="947"/>
      <c r="AJ9" s="365"/>
      <c r="AK9" s="366" t="s">
        <v>1402</v>
      </c>
      <c r="AL9" s="947"/>
      <c r="AM9" s="947"/>
      <c r="AN9" s="947"/>
      <c r="AO9" s="365"/>
      <c r="AR9" s="348"/>
    </row>
    <row r="10" spans="1:44" s="347" customFormat="1">
      <c r="A10" s="276" t="s">
        <v>1403</v>
      </c>
      <c r="B10" s="109" t="s">
        <v>1291</v>
      </c>
      <c r="C10" s="109" t="s">
        <v>1298</v>
      </c>
      <c r="D10" s="109" t="s">
        <v>1299</v>
      </c>
      <c r="E10" s="109" t="s">
        <v>1300</v>
      </c>
      <c r="F10" s="109" t="s">
        <v>54</v>
      </c>
      <c r="G10" s="109" t="str">
        <f>B10</f>
        <v>Q1</v>
      </c>
      <c r="H10" s="109" t="str">
        <f>C10</f>
        <v>Q2</v>
      </c>
      <c r="I10" s="109" t="str">
        <f>D10</f>
        <v>Q3</v>
      </c>
      <c r="J10" s="109" t="str">
        <f>E10</f>
        <v>Q4</v>
      </c>
      <c r="K10" s="109" t="s">
        <v>54</v>
      </c>
      <c r="L10" s="109" t="str">
        <f>G10</f>
        <v>Q1</v>
      </c>
      <c r="M10" s="109" t="str">
        <f>H10</f>
        <v>Q2</v>
      </c>
      <c r="N10" s="109" t="str">
        <f>I10</f>
        <v>Q3</v>
      </c>
      <c r="O10" s="109" t="str">
        <f>J10</f>
        <v>Q4</v>
      </c>
      <c r="P10" s="109" t="s">
        <v>54</v>
      </c>
      <c r="Q10" s="109" t="str">
        <f>L10</f>
        <v>Q1</v>
      </c>
      <c r="R10" s="109" t="str">
        <f>M10</f>
        <v>Q2</v>
      </c>
      <c r="S10" s="109" t="str">
        <f>N10</f>
        <v>Q3</v>
      </c>
      <c r="T10" s="109" t="str">
        <f>O10</f>
        <v>Q4</v>
      </c>
      <c r="U10" s="109" t="s">
        <v>54</v>
      </c>
      <c r="V10" s="109" t="str">
        <f>Q10</f>
        <v>Q1</v>
      </c>
      <c r="W10" s="109" t="str">
        <f>R10</f>
        <v>Q2</v>
      </c>
      <c r="X10" s="109" t="str">
        <f>S10</f>
        <v>Q3</v>
      </c>
      <c r="Y10" s="109" t="str">
        <f>T10</f>
        <v>Q4</v>
      </c>
      <c r="Z10" s="109" t="s">
        <v>54</v>
      </c>
      <c r="AA10" s="109" t="str">
        <f>V10</f>
        <v>Q1</v>
      </c>
      <c r="AB10" s="109" t="str">
        <f>W10</f>
        <v>Q2</v>
      </c>
      <c r="AC10" s="109" t="str">
        <f>X10</f>
        <v>Q3</v>
      </c>
      <c r="AD10" s="109" t="str">
        <f>Y10</f>
        <v>Q4</v>
      </c>
      <c r="AE10" s="109" t="s">
        <v>54</v>
      </c>
      <c r="AF10" s="109" t="str">
        <f>AA10</f>
        <v>Q1</v>
      </c>
      <c r="AG10" s="109" t="str">
        <f>AB10</f>
        <v>Q2</v>
      </c>
      <c r="AH10" s="109" t="str">
        <f>AC10</f>
        <v>Q3</v>
      </c>
      <c r="AI10" s="109" t="str">
        <f>AD10</f>
        <v>Q4</v>
      </c>
      <c r="AJ10" s="109" t="s">
        <v>54</v>
      </c>
      <c r="AK10" s="110" t="str">
        <f t="shared" ref="AK10:AN10" si="0">AF10</f>
        <v>Q1</v>
      </c>
      <c r="AL10" s="110" t="str">
        <f t="shared" si="0"/>
        <v>Q2</v>
      </c>
      <c r="AM10" s="110" t="str">
        <f t="shared" si="0"/>
        <v>Q3</v>
      </c>
      <c r="AN10" s="110" t="str">
        <f t="shared" si="0"/>
        <v>Q4</v>
      </c>
      <c r="AO10" s="111" t="s">
        <v>54</v>
      </c>
      <c r="AR10" s="348"/>
    </row>
    <row r="11" spans="1:44" s="349" customFormat="1">
      <c r="A11" s="277" t="s">
        <v>1404</v>
      </c>
      <c r="B11" s="291"/>
      <c r="C11" s="291"/>
      <c r="D11" s="291"/>
      <c r="E11" s="291"/>
      <c r="F11" s="291"/>
      <c r="G11" s="291"/>
      <c r="H11" s="291"/>
      <c r="I11" s="291"/>
      <c r="J11" s="291"/>
      <c r="K11" s="291"/>
      <c r="L11" s="292"/>
      <c r="M11" s="292"/>
      <c r="N11" s="292"/>
      <c r="O11" s="292"/>
      <c r="P11" s="292"/>
      <c r="Q11" s="293"/>
      <c r="R11" s="293"/>
      <c r="S11" s="293"/>
      <c r="T11" s="293"/>
      <c r="U11" s="293"/>
      <c r="V11" s="293"/>
      <c r="W11" s="293"/>
      <c r="X11" s="293"/>
      <c r="Y11" s="293"/>
      <c r="Z11" s="293"/>
      <c r="AA11" s="293"/>
      <c r="AB11" s="293"/>
      <c r="AC11" s="293"/>
      <c r="AD11" s="293"/>
      <c r="AE11" s="293"/>
      <c r="AF11" s="294"/>
      <c r="AG11" s="294"/>
      <c r="AH11" s="294"/>
      <c r="AI11" s="294"/>
      <c r="AJ11" s="294"/>
      <c r="AK11" s="295"/>
      <c r="AL11" s="295"/>
      <c r="AM11" s="295"/>
      <c r="AN11" s="296"/>
      <c r="AO11" s="297"/>
      <c r="AR11" s="350"/>
    </row>
    <row r="12" spans="1:44" s="349" customFormat="1">
      <c r="A12" s="277"/>
      <c r="B12" s="291"/>
      <c r="C12" s="291"/>
      <c r="D12" s="291"/>
      <c r="E12" s="291"/>
      <c r="F12" s="291"/>
      <c r="G12" s="291"/>
      <c r="H12" s="291"/>
      <c r="I12" s="291"/>
      <c r="J12" s="291"/>
      <c r="K12" s="291"/>
      <c r="L12" s="292"/>
      <c r="M12" s="292"/>
      <c r="N12" s="292"/>
      <c r="O12" s="292"/>
      <c r="P12" s="292"/>
      <c r="Q12" s="293"/>
      <c r="R12" s="293"/>
      <c r="S12" s="293"/>
      <c r="T12" s="293"/>
      <c r="U12" s="293"/>
      <c r="V12" s="293"/>
      <c r="W12" s="293"/>
      <c r="X12" s="293"/>
      <c r="Y12" s="293"/>
      <c r="Z12" s="293"/>
      <c r="AA12" s="293"/>
      <c r="AB12" s="293"/>
      <c r="AC12" s="293"/>
      <c r="AD12" s="293"/>
      <c r="AE12" s="293"/>
      <c r="AF12" s="294"/>
      <c r="AG12" s="294"/>
      <c r="AH12" s="294"/>
      <c r="AI12" s="294"/>
      <c r="AJ12" s="294"/>
      <c r="AK12" s="295"/>
      <c r="AL12" s="295"/>
      <c r="AM12" s="295"/>
      <c r="AN12" s="296"/>
      <c r="AO12" s="297"/>
      <c r="AR12" s="350"/>
    </row>
    <row r="13" spans="1:44">
      <c r="A13" s="278" t="s">
        <v>197</v>
      </c>
      <c r="B13" s="351">
        <v>577</v>
      </c>
      <c r="C13" s="351">
        <v>697</v>
      </c>
      <c r="D13" s="351">
        <v>677</v>
      </c>
      <c r="E13" s="351">
        <v>717</v>
      </c>
      <c r="F13" s="112">
        <f>SUM(B13:E13)</f>
        <v>2668</v>
      </c>
      <c r="G13" s="351">
        <v>4753</v>
      </c>
      <c r="H13" s="351">
        <v>7650</v>
      </c>
      <c r="I13" s="351">
        <v>5670</v>
      </c>
      <c r="J13" s="351">
        <v>5907</v>
      </c>
      <c r="K13" s="112">
        <f t="shared" ref="K13:K26" si="1">SUM(G13:J13)</f>
        <v>23980</v>
      </c>
      <c r="L13" s="105">
        <f>'Schedule 3A_Income Statement'!CO35</f>
        <v>15464998.849056762</v>
      </c>
      <c r="M13" s="105">
        <f>'Schedule 3A_Income Statement'!CP35</f>
        <v>15300192.973905504</v>
      </c>
      <c r="N13" s="105">
        <f>'Schedule 3A_Income Statement'!CQ35</f>
        <v>16087789.664956342</v>
      </c>
      <c r="O13" s="105">
        <f>'Schedule 3A_Income Statement'!CR35</f>
        <v>17660220.768483486</v>
      </c>
      <c r="P13" s="105">
        <f t="shared" ref="P13:P20" si="2">SUM(L13:O13)</f>
        <v>64513202.25640209</v>
      </c>
      <c r="Q13" s="113">
        <f>IF(B8=0,0,(B13/$B$8)*12000)</f>
        <v>193.56348572531596</v>
      </c>
      <c r="R13" s="113">
        <f>IF(C8=0,0,(C13/$C$8)*12000)</f>
        <v>223.51922969951252</v>
      </c>
      <c r="S13" s="113">
        <f>IF(D8=0,0,(D13/$D$8)*12000)</f>
        <v>207.41449057476646</v>
      </c>
      <c r="T13" s="113">
        <f>IF(E8=0,0,(E13/$E$8)*12000)</f>
        <v>210.34514611699325</v>
      </c>
      <c r="U13" s="113">
        <f>IF(F8=0,0,(F13/$F$8)*12000)</f>
        <v>208.8958779458199</v>
      </c>
      <c r="V13" s="114">
        <f t="shared" ref="V13:Z28" si="3">IF(B13=0,0,G13/B13)</f>
        <v>8.2374350086655106</v>
      </c>
      <c r="W13" s="114">
        <f t="shared" si="3"/>
        <v>10.975609756097562</v>
      </c>
      <c r="X13" s="114">
        <f t="shared" si="3"/>
        <v>8.3751846381093049</v>
      </c>
      <c r="Y13" s="114">
        <f t="shared" si="3"/>
        <v>8.2384937238493716</v>
      </c>
      <c r="Z13" s="114">
        <f t="shared" si="3"/>
        <v>8.9880059970014994</v>
      </c>
      <c r="AA13" s="113">
        <f>IF($B$8=0,0,(G13/$B$8)*12000)</f>
        <v>1594.4666337130445</v>
      </c>
      <c r="AB13" s="113">
        <f>IF($C$8=0,0,(H13/$C$8)*12000)</f>
        <v>2453.2598381653811</v>
      </c>
      <c r="AC13" s="113">
        <f>IF($D$8=0,0,(I13/$D$8)*12000)</f>
        <v>1737.1346551830513</v>
      </c>
      <c r="AD13" s="113">
        <f>IF($E$8=0,0,(J13/$E$8)*12000)</f>
        <v>1732.9271661270279</v>
      </c>
      <c r="AE13" s="113">
        <f>IF($F$8=0,0,(K13/$F$8)*12000)</f>
        <v>1877.5574037259223</v>
      </c>
      <c r="AF13" s="106">
        <f t="shared" ref="AF13:AJ13" si="4">IF(G13=0,0,L13/G13)</f>
        <v>3253.734241333213</v>
      </c>
      <c r="AG13" s="106">
        <f t="shared" si="4"/>
        <v>2000.0252253471247</v>
      </c>
      <c r="AH13" s="106">
        <f t="shared" si="4"/>
        <v>2837.352674595475</v>
      </c>
      <c r="AI13" s="106">
        <f t="shared" si="4"/>
        <v>2989.710643047822</v>
      </c>
      <c r="AJ13" s="107">
        <f t="shared" si="4"/>
        <v>2690.2920040201038</v>
      </c>
      <c r="AK13" s="106">
        <f>IF(B$8=0,0,L13/B$8)</f>
        <v>432.33089023128622</v>
      </c>
      <c r="AL13" s="106">
        <f>IF(C$8=0,0,M13/C$8)</f>
        <v>408.88179672181394</v>
      </c>
      <c r="AM13" s="106">
        <f>IF(D$8=0,0,N13/D$8)</f>
        <v>410.73863833467658</v>
      </c>
      <c r="AN13" s="106">
        <f>IF(E$8=0,0,O13/E$8)</f>
        <v>431.74589934972306</v>
      </c>
      <c r="AO13" s="108">
        <f>IF(F$8=0,0,P13/F$8)</f>
        <v>420.93147252771627</v>
      </c>
    </row>
    <row r="14" spans="1:44">
      <c r="A14" s="278" t="s">
        <v>199</v>
      </c>
      <c r="B14" s="351">
        <v>42</v>
      </c>
      <c r="C14" s="351">
        <v>43</v>
      </c>
      <c r="D14" s="351">
        <v>34</v>
      </c>
      <c r="E14" s="351">
        <v>50</v>
      </c>
      <c r="F14" s="112">
        <f>SUM(B14:E14)</f>
        <v>169</v>
      </c>
      <c r="G14" s="351">
        <v>433</v>
      </c>
      <c r="H14" s="351">
        <v>470</v>
      </c>
      <c r="I14" s="351">
        <v>342</v>
      </c>
      <c r="J14" s="351">
        <v>358</v>
      </c>
      <c r="K14" s="112">
        <f t="shared" si="1"/>
        <v>1603</v>
      </c>
      <c r="L14" s="105">
        <f>'Schedule 3A_Income Statement'!CO36</f>
        <v>624642.3665183218</v>
      </c>
      <c r="M14" s="105">
        <f>'Schedule 3A_Income Statement'!CP36</f>
        <v>597561.45018374454</v>
      </c>
      <c r="N14" s="105">
        <f>'Schedule 3A_Income Statement'!CQ36</f>
        <v>443848.2086670188</v>
      </c>
      <c r="O14" s="105">
        <f>'Schedule 3A_Income Statement'!CR36</f>
        <v>463073.78192741447</v>
      </c>
      <c r="P14" s="105">
        <f t="shared" si="2"/>
        <v>2129125.8072964996</v>
      </c>
      <c r="Q14" s="113">
        <f>IF(B8=0,0,(B14/$B$8)*12000)</f>
        <v>14.089543155048993</v>
      </c>
      <c r="R14" s="113">
        <f>IF(C8=0,0,(C14/$C$8)*12000)</f>
        <v>13.789565103413254</v>
      </c>
      <c r="S14" s="113">
        <f>IF(D8=0,0,(D14/$D$8)*12000)</f>
        <v>10.416680471997134</v>
      </c>
      <c r="T14" s="113">
        <f>IF(E8=0,0,(E14/$E$8)*12000)</f>
        <v>14.668420231310545</v>
      </c>
      <c r="U14" s="113">
        <f>IF(F8=0,0,(F14/$F$8)*12000)</f>
        <v>13.232160184723975</v>
      </c>
      <c r="V14" s="114">
        <f t="shared" ref="V14" si="5">IF(B14=0,0,G14/B14)</f>
        <v>10.30952380952381</v>
      </c>
      <c r="W14" s="114">
        <f t="shared" ref="W14" si="6">IF(C14=0,0,H14/C14)</f>
        <v>10.930232558139535</v>
      </c>
      <c r="X14" s="114">
        <f t="shared" ref="X14" si="7">IF(D14=0,0,I14/D14)</f>
        <v>10.058823529411764</v>
      </c>
      <c r="Y14" s="114">
        <f t="shared" ref="Y14" si="8">IF(E14=0,0,J14/E14)</f>
        <v>7.16</v>
      </c>
      <c r="Z14" s="114">
        <f t="shared" ref="Z14" si="9">IF(F14=0,0,K14/F14)</f>
        <v>9.4852071005917153</v>
      </c>
      <c r="AA14" s="113">
        <f t="shared" ref="AA14:AA31" si="10">IF($B$8=0,0,(G14/$B$8)*12000)</f>
        <v>145.25648062229081</v>
      </c>
      <c r="AB14" s="113">
        <f t="shared" ref="AB14:AB30" si="11">IF($C$8=0,0,(H14/$C$8)*12000)</f>
        <v>150.72315345591232</v>
      </c>
      <c r="AC14" s="113">
        <f t="shared" ref="AC14:AC30" si="12">IF($D$8=0,0,(I14/$D$8)*12000)</f>
        <v>104.77955063008881</v>
      </c>
      <c r="AD14" s="113">
        <f t="shared" ref="AD14:AD30" si="13">IF($E$8=0,0,(J14/$E$8)*12000)</f>
        <v>105.02588885618351</v>
      </c>
      <c r="AE14" s="113">
        <f t="shared" ref="AE14:AE30" si="14">IF($F$8=0,0,(K14/$F$8)*12000)</f>
        <v>125.50977974031083</v>
      </c>
      <c r="AF14" s="106">
        <f t="shared" ref="AF14:AF31" si="15">IF(G14=0,0,L14/G14)</f>
        <v>1442.5920704811126</v>
      </c>
      <c r="AG14" s="106">
        <f t="shared" ref="AG14:AG31" si="16">IF(H14=0,0,M14/H14)</f>
        <v>1271.4073408164777</v>
      </c>
      <c r="AH14" s="106">
        <f t="shared" ref="AH14:AH31" si="17">IF(I14=0,0,N14/I14)</f>
        <v>1297.8017797281252</v>
      </c>
      <c r="AI14" s="106">
        <f t="shared" ref="AI14:AI31" si="18">IF(J14=0,0,O14/J14)</f>
        <v>1293.5021841547891</v>
      </c>
      <c r="AJ14" s="107">
        <f t="shared" ref="AJ14:AJ31" si="19">IF(K14=0,0,P14/K14)</f>
        <v>1328.2132297545224</v>
      </c>
      <c r="AK14" s="106">
        <f t="shared" ref="AK14:AK30" si="20">IF(B$8=0,0,L14/B$8)</f>
        <v>17.462153927642511</v>
      </c>
      <c r="AL14" s="106">
        <f t="shared" ref="AL14:AL30" si="21">IF(C$8=0,0,M14/C$8)</f>
        <v>15.96921031123795</v>
      </c>
      <c r="AM14" s="106">
        <f t="shared" ref="AM14:AM30" si="22">IF(D$8=0,0,N14/D$8)</f>
        <v>11.331923940570205</v>
      </c>
      <c r="AN14" s="106">
        <f t="shared" ref="AN14:AN30" si="23">IF(E$8=0,0,O14/E$8)</f>
        <v>11.320934719022624</v>
      </c>
      <c r="AO14" s="108">
        <f t="shared" ref="AO14:AO30" si="24">IF(F$8=0,0,P14/F$8)</f>
        <v>13.891979159554749</v>
      </c>
    </row>
    <row r="15" spans="1:44">
      <c r="A15" s="278" t="s">
        <v>200</v>
      </c>
      <c r="B15" s="289"/>
      <c r="C15" s="289"/>
      <c r="D15" s="289"/>
      <c r="E15" s="289"/>
      <c r="F15" s="289"/>
      <c r="G15" s="351">
        <v>161037.79999999999</v>
      </c>
      <c r="H15" s="351">
        <v>185575</v>
      </c>
      <c r="I15" s="351">
        <v>196490.9</v>
      </c>
      <c r="J15" s="351">
        <v>207283.6</v>
      </c>
      <c r="K15" s="112">
        <f>SUM(G15:J15)</f>
        <v>750387.29999999993</v>
      </c>
      <c r="L15" s="105">
        <f>'Schedule 3A_Income Statement'!CO37</f>
        <v>11789006.934176056</v>
      </c>
      <c r="M15" s="105">
        <f>'Schedule 3A_Income Statement'!CP37</f>
        <v>13616760.139741719</v>
      </c>
      <c r="N15" s="105">
        <f>'Schedule 3A_Income Statement'!CQ37</f>
        <v>14082587.961824838</v>
      </c>
      <c r="O15" s="105">
        <f>'Schedule 3A_Income Statement'!CR37</f>
        <v>14771291.48388665</v>
      </c>
      <c r="P15" s="105">
        <f>SUM(L15:O15)</f>
        <v>54259646.519629262</v>
      </c>
      <c r="Q15" s="287"/>
      <c r="R15" s="287"/>
      <c r="S15" s="287"/>
      <c r="T15" s="287"/>
      <c r="U15" s="287"/>
      <c r="V15" s="114">
        <f>IF(B15=0,0,G15/B15)</f>
        <v>0</v>
      </c>
      <c r="W15" s="114">
        <f>IF(C15=0,0,H15/C15)</f>
        <v>0</v>
      </c>
      <c r="X15" s="114">
        <f>IF(D15=0,0,I15/D15)</f>
        <v>0</v>
      </c>
      <c r="Y15" s="114">
        <f>IF(E15=0,0,J15/E15)</f>
        <v>0</v>
      </c>
      <c r="Z15" s="114">
        <f>IF(F15=0,0,K15/F15)</f>
        <v>0</v>
      </c>
      <c r="AA15" s="113">
        <f t="shared" si="10"/>
        <v>54022.59601652735</v>
      </c>
      <c r="AB15" s="113">
        <f t="shared" si="11"/>
        <v>59511.594048044528</v>
      </c>
      <c r="AC15" s="113">
        <f t="shared" si="12"/>
        <v>60199.497675151222</v>
      </c>
      <c r="AD15" s="113">
        <f t="shared" si="13"/>
        <v>60810.459037177658</v>
      </c>
      <c r="AE15" s="113">
        <f t="shared" si="14"/>
        <v>58752.928722973513</v>
      </c>
      <c r="AF15" s="106">
        <f>IF(G15=0,0,L15/G15)</f>
        <v>73.206457950717507</v>
      </c>
      <c r="AG15" s="106">
        <f>IF(H15=0,0,M15/H15)</f>
        <v>73.376048173200701</v>
      </c>
      <c r="AH15" s="106">
        <f>IF(I15=0,0,N15/I15)</f>
        <v>71.670433398314316</v>
      </c>
      <c r="AI15" s="106">
        <f>IF(J15=0,0,O15/J15)</f>
        <v>71.261264682235591</v>
      </c>
      <c r="AJ15" s="107">
        <f>IF(K15=0,0,P15/K15)</f>
        <v>72.308855066749217</v>
      </c>
      <c r="AK15" s="106">
        <f t="shared" si="20"/>
        <v>329.56690863937575</v>
      </c>
      <c r="AL15" s="106">
        <f t="shared" si="21"/>
        <v>363.89379931110659</v>
      </c>
      <c r="AM15" s="106">
        <f t="shared" si="22"/>
        <v>359.54367406157525</v>
      </c>
      <c r="AN15" s="106">
        <f t="shared" si="23"/>
        <v>361.1191847413802</v>
      </c>
      <c r="AO15" s="108">
        <f t="shared" si="24"/>
        <v>354.02975064804491</v>
      </c>
    </row>
    <row r="16" spans="1:44">
      <c r="A16" s="278" t="s">
        <v>201</v>
      </c>
      <c r="B16" s="289"/>
      <c r="C16" s="289"/>
      <c r="D16" s="289"/>
      <c r="E16" s="289"/>
      <c r="F16" s="289"/>
      <c r="G16" s="351">
        <v>8896</v>
      </c>
      <c r="H16" s="351">
        <v>9694</v>
      </c>
      <c r="I16" s="351">
        <v>9322</v>
      </c>
      <c r="J16" s="351">
        <v>9546</v>
      </c>
      <c r="K16" s="112">
        <f t="shared" ref="K16" si="25">SUM(G16:J16)</f>
        <v>37458</v>
      </c>
      <c r="L16" s="105">
        <f>'Schedule 3A_Income Statement'!CO38</f>
        <v>891782.68399064441</v>
      </c>
      <c r="M16" s="105">
        <f>'Schedule 3A_Income Statement'!CP38</f>
        <v>951749.95425407367</v>
      </c>
      <c r="N16" s="105">
        <f>'Schedule 3A_Income Statement'!CQ38</f>
        <v>992813.82554838795</v>
      </c>
      <c r="O16" s="105">
        <f>'Schedule 3A_Income Statement'!CR38</f>
        <v>1074994.3617144288</v>
      </c>
      <c r="P16" s="105">
        <f t="shared" ref="P16" si="26">SUM(L16:O16)</f>
        <v>3911340.8255075347</v>
      </c>
      <c r="Q16" s="287"/>
      <c r="R16" s="287"/>
      <c r="S16" s="287"/>
      <c r="T16" s="287"/>
      <c r="U16" s="287"/>
      <c r="V16" s="114">
        <f t="shared" ref="V16" si="27">IF(B16=0,0,G16/B16)</f>
        <v>0</v>
      </c>
      <c r="W16" s="114">
        <f t="shared" ref="W16" si="28">IF(C16=0,0,H16/C16)</f>
        <v>0</v>
      </c>
      <c r="X16" s="114">
        <f t="shared" ref="X16" si="29">IF(D16=0,0,I16/D16)</f>
        <v>0</v>
      </c>
      <c r="Y16" s="114">
        <f t="shared" ref="Y16" si="30">IF(E16=0,0,J16/E16)</f>
        <v>0</v>
      </c>
      <c r="Z16" s="114">
        <f t="shared" ref="Z16" si="31">IF(F16=0,0,K16/F16)</f>
        <v>0</v>
      </c>
      <c r="AA16" s="113">
        <f t="shared" si="10"/>
        <v>2984.2994263646633</v>
      </c>
      <c r="AB16" s="113">
        <f t="shared" si="11"/>
        <v>3108.7452119183276</v>
      </c>
      <c r="AC16" s="113">
        <f t="shared" si="12"/>
        <v>2856.0086870575669</v>
      </c>
      <c r="AD16" s="113">
        <f t="shared" si="13"/>
        <v>2800.4947905618096</v>
      </c>
      <c r="AE16" s="113">
        <f t="shared" si="14"/>
        <v>2932.8417526591161</v>
      </c>
      <c r="AF16" s="106">
        <f t="shared" ref="AF16" si="32">IF(G16=0,0,L16/G16)</f>
        <v>100.24535566441597</v>
      </c>
      <c r="AG16" s="106">
        <f t="shared" ref="AG16" si="33">IF(H16=0,0,M16/H16)</f>
        <v>98.179281437391552</v>
      </c>
      <c r="AH16" s="106">
        <f t="shared" ref="AH16" si="34">IF(I16=0,0,N16/I16)</f>
        <v>106.50223402149624</v>
      </c>
      <c r="AI16" s="106">
        <f t="shared" ref="AI16" si="35">IF(J16=0,0,O16/J16)</f>
        <v>112.61202196882765</v>
      </c>
      <c r="AJ16" s="107">
        <f t="shared" ref="AJ16" si="36">IF(K16=0,0,P16/K16)</f>
        <v>104.41937170984929</v>
      </c>
      <c r="AK16" s="106">
        <f t="shared" si="20"/>
        <v>24.930179783753182</v>
      </c>
      <c r="AL16" s="106">
        <f t="shared" si="21"/>
        <v>25.434530923172744</v>
      </c>
      <c r="AM16" s="106">
        <f t="shared" si="22"/>
        <v>25.347608796369268</v>
      </c>
      <c r="AN16" s="106">
        <f t="shared" si="23"/>
        <v>26.280781739861158</v>
      </c>
      <c r="AO16" s="108">
        <f t="shared" si="24"/>
        <v>25.520457761423177</v>
      </c>
    </row>
    <row r="17" spans="1:44">
      <c r="A17" s="278" t="s">
        <v>202</v>
      </c>
      <c r="B17" s="289"/>
      <c r="C17" s="289"/>
      <c r="D17" s="289"/>
      <c r="E17" s="289"/>
      <c r="F17" s="289"/>
      <c r="G17" s="351">
        <v>131186.89999999997</v>
      </c>
      <c r="H17" s="351">
        <v>146432.69999999998</v>
      </c>
      <c r="I17" s="351">
        <v>154766.5</v>
      </c>
      <c r="J17" s="351">
        <v>158179.80000000002</v>
      </c>
      <c r="K17" s="112">
        <f>SUM(G17:J17)</f>
        <v>590565.9</v>
      </c>
      <c r="L17" s="105">
        <f>'Schedule 3A_Income Statement'!CO39</f>
        <v>8957559.346404044</v>
      </c>
      <c r="M17" s="105">
        <f>'Schedule 3A_Income Statement'!CP39</f>
        <v>9347239.3240977544</v>
      </c>
      <c r="N17" s="105">
        <f>'Schedule 3A_Income Statement'!CQ39</f>
        <v>9923191.1210541874</v>
      </c>
      <c r="O17" s="105">
        <f>'Schedule 3A_Income Statement'!CR39</f>
        <v>10622858.665920569</v>
      </c>
      <c r="P17" s="105">
        <f t="shared" ref="P17" si="37">SUM(L17:O17)</f>
        <v>38850848.457476556</v>
      </c>
      <c r="Q17" s="287"/>
      <c r="R17" s="287"/>
      <c r="S17" s="287"/>
      <c r="T17" s="287"/>
      <c r="U17" s="287"/>
      <c r="V17" s="114">
        <f t="shared" ref="V17:Z18" si="38">IF(B17=0,0,G17/B17)</f>
        <v>0</v>
      </c>
      <c r="W17" s="114">
        <f t="shared" si="38"/>
        <v>0</v>
      </c>
      <c r="X17" s="114">
        <f t="shared" si="38"/>
        <v>0</v>
      </c>
      <c r="Y17" s="114">
        <f t="shared" si="38"/>
        <v>0</v>
      </c>
      <c r="Z17" s="114">
        <f t="shared" si="38"/>
        <v>0</v>
      </c>
      <c r="AA17" s="113">
        <f t="shared" si="10"/>
        <v>44008.654498264201</v>
      </c>
      <c r="AB17" s="113">
        <f t="shared" si="11"/>
        <v>46959.145346943769</v>
      </c>
      <c r="AC17" s="113">
        <f t="shared" si="12"/>
        <v>47416.269949098358</v>
      </c>
      <c r="AD17" s="113">
        <f t="shared" si="13"/>
        <v>46404.955570093123</v>
      </c>
      <c r="AE17" s="113">
        <f t="shared" si="14"/>
        <v>46239.423600211128</v>
      </c>
      <c r="AF17" s="106">
        <f t="shared" ref="AF17:AJ18" si="39">IF(G17=0,0,L17/G17)</f>
        <v>68.280898065310225</v>
      </c>
      <c r="AG17" s="106">
        <f t="shared" si="39"/>
        <v>63.833005360809132</v>
      </c>
      <c r="AH17" s="106">
        <f t="shared" si="39"/>
        <v>64.117177302931751</v>
      </c>
      <c r="AI17" s="106">
        <f t="shared" si="39"/>
        <v>67.156859889319421</v>
      </c>
      <c r="AJ17" s="107">
        <f t="shared" si="39"/>
        <v>65.785797076120645</v>
      </c>
      <c r="AK17" s="106">
        <f t="shared" si="20"/>
        <v>250.41253764895285</v>
      </c>
      <c r="AL17" s="106">
        <f t="shared" si="21"/>
        <v>249.79528138920639</v>
      </c>
      <c r="AM17" s="106">
        <f t="shared" si="22"/>
        <v>253.34978228083455</v>
      </c>
      <c r="AN17" s="106">
        <f t="shared" si="23"/>
        <v>259.70092494923637</v>
      </c>
      <c r="AO17" s="108">
        <f t="shared" si="24"/>
        <v>253.49144482335606</v>
      </c>
    </row>
    <row r="18" spans="1:44">
      <c r="A18" s="278" t="s">
        <v>1405</v>
      </c>
      <c r="B18" s="590"/>
      <c r="C18" s="590"/>
      <c r="D18" s="590"/>
      <c r="E18" s="590"/>
      <c r="F18" s="590"/>
      <c r="G18" s="351">
        <v>6190</v>
      </c>
      <c r="H18" s="351">
        <v>6818</v>
      </c>
      <c r="I18" s="351">
        <v>6770</v>
      </c>
      <c r="J18" s="351">
        <v>7189</v>
      </c>
      <c r="K18" s="112">
        <f>SUM(G18:J18)</f>
        <v>26967</v>
      </c>
      <c r="L18" s="105">
        <f>'Schedule 3A_Income Statement'!CO41</f>
        <v>3959929.4633549852</v>
      </c>
      <c r="M18" s="105">
        <f>'Schedule 3A_Income Statement'!CP41</f>
        <v>4452775.4352255296</v>
      </c>
      <c r="N18" s="105">
        <f>'Schedule 3A_Income Statement'!CQ41</f>
        <v>4329570.1148103578</v>
      </c>
      <c r="O18" s="105">
        <f>'Schedule 3A_Income Statement'!CR41</f>
        <v>4814842.7404155619</v>
      </c>
      <c r="P18" s="105">
        <f>SUM(L18:O18)</f>
        <v>17557117.753806435</v>
      </c>
      <c r="Q18" s="287"/>
      <c r="R18" s="287"/>
      <c r="S18" s="287"/>
      <c r="T18" s="287"/>
      <c r="U18" s="287"/>
      <c r="V18" s="114">
        <f t="shared" si="38"/>
        <v>0</v>
      </c>
      <c r="W18" s="114">
        <f t="shared" si="38"/>
        <v>0</v>
      </c>
      <c r="X18" s="114">
        <f t="shared" si="38"/>
        <v>0</v>
      </c>
      <c r="Y18" s="114">
        <f t="shared" si="38"/>
        <v>0</v>
      </c>
      <c r="Z18" s="114">
        <f t="shared" si="38"/>
        <v>0</v>
      </c>
      <c r="AA18" s="113">
        <f t="shared" si="10"/>
        <v>2076.5302888036495</v>
      </c>
      <c r="AB18" s="113">
        <f t="shared" si="11"/>
        <v>2186.4477877923623</v>
      </c>
      <c r="AC18" s="113">
        <f t="shared" si="12"/>
        <v>2074.1449057476643</v>
      </c>
      <c r="AD18" s="113">
        <f t="shared" si="13"/>
        <v>2109.0254608578302</v>
      </c>
      <c r="AE18" s="113">
        <f t="shared" si="14"/>
        <v>2111.4299627304817</v>
      </c>
      <c r="AF18" s="106">
        <f t="shared" si="39"/>
        <v>639.73012332067617</v>
      </c>
      <c r="AG18" s="106">
        <f t="shared" si="39"/>
        <v>653.09114626364476</v>
      </c>
      <c r="AH18" s="106">
        <f t="shared" si="39"/>
        <v>639.52291208424788</v>
      </c>
      <c r="AI18" s="106">
        <f t="shared" si="39"/>
        <v>669.75138968084048</v>
      </c>
      <c r="AJ18" s="107">
        <f t="shared" si="39"/>
        <v>651.0593597287957</v>
      </c>
      <c r="AK18" s="106">
        <f t="shared" si="20"/>
        <v>110.70158147795648</v>
      </c>
      <c r="AL18" s="106">
        <f t="shared" si="21"/>
        <v>118.995807664577</v>
      </c>
      <c r="AM18" s="106">
        <f t="shared" si="22"/>
        <v>110.53859918403785</v>
      </c>
      <c r="AN18" s="106">
        <f t="shared" si="23"/>
        <v>117.71022777348391</v>
      </c>
      <c r="AO18" s="108">
        <f t="shared" si="24"/>
        <v>114.55551997062521</v>
      </c>
      <c r="AR18" s="345"/>
    </row>
    <row r="19" spans="1:44">
      <c r="A19" s="278" t="s">
        <v>214</v>
      </c>
      <c r="B19" s="289"/>
      <c r="C19" s="289"/>
      <c r="D19" s="289"/>
      <c r="E19" s="289"/>
      <c r="F19" s="289"/>
      <c r="G19" s="351">
        <v>36083</v>
      </c>
      <c r="H19" s="351">
        <v>34059</v>
      </c>
      <c r="I19" s="351">
        <v>31064</v>
      </c>
      <c r="J19" s="351">
        <v>29457</v>
      </c>
      <c r="K19" s="112">
        <f t="shared" si="1"/>
        <v>130663</v>
      </c>
      <c r="L19" s="105">
        <f>'Schedule 3A_Income Statement'!CO49</f>
        <v>9858583.3725299574</v>
      </c>
      <c r="M19" s="105">
        <f>'Schedule 3A_Income Statement'!CP49</f>
        <v>9184184.6620020829</v>
      </c>
      <c r="N19" s="105">
        <f>'Schedule 3A_Income Statement'!CQ49</f>
        <v>8097370.3223728603</v>
      </c>
      <c r="O19" s="105">
        <f>'Schedule 3A_Income Statement'!CR49</f>
        <v>8114651.4712063828</v>
      </c>
      <c r="P19" s="105">
        <f t="shared" si="2"/>
        <v>35254789.828111283</v>
      </c>
      <c r="Q19" s="287"/>
      <c r="R19" s="287"/>
      <c r="S19" s="287"/>
      <c r="T19" s="287"/>
      <c r="U19" s="287"/>
      <c r="V19" s="114">
        <f t="shared" si="3"/>
        <v>0</v>
      </c>
      <c r="W19" s="114">
        <f t="shared" si="3"/>
        <v>0</v>
      </c>
      <c r="X19" s="114">
        <f t="shared" si="3"/>
        <v>0</v>
      </c>
      <c r="Y19" s="114">
        <f t="shared" si="3"/>
        <v>0</v>
      </c>
      <c r="Z19" s="114">
        <f t="shared" si="3"/>
        <v>0</v>
      </c>
      <c r="AA19" s="113">
        <f t="shared" si="10"/>
        <v>12104.594896753162</v>
      </c>
      <c r="AB19" s="113">
        <f t="shared" si="11"/>
        <v>10922.297624584931</v>
      </c>
      <c r="AC19" s="113">
        <f t="shared" si="12"/>
        <v>9517.1694759446746</v>
      </c>
      <c r="AD19" s="113">
        <f t="shared" si="13"/>
        <v>8641.7530950742948</v>
      </c>
      <c r="AE19" s="113">
        <f t="shared" si="14"/>
        <v>10230.495539743128</v>
      </c>
      <c r="AF19" s="106">
        <f t="shared" si="15"/>
        <v>273.21961512429556</v>
      </c>
      <c r="AG19" s="106">
        <f t="shared" si="16"/>
        <v>269.65514730327027</v>
      </c>
      <c r="AH19" s="106">
        <f t="shared" si="17"/>
        <v>260.66734233752447</v>
      </c>
      <c r="AI19" s="106">
        <f t="shared" si="18"/>
        <v>275.47447028571759</v>
      </c>
      <c r="AJ19" s="107">
        <f t="shared" si="19"/>
        <v>269.8146363401367</v>
      </c>
      <c r="AK19" s="106">
        <f t="shared" si="20"/>
        <v>275.60106324386766</v>
      </c>
      <c r="AL19" s="106">
        <f t="shared" si="21"/>
        <v>245.43781457063406</v>
      </c>
      <c r="AM19" s="106">
        <f t="shared" si="22"/>
        <v>206.73460615585907</v>
      </c>
      <c r="AN19" s="106">
        <f t="shared" si="23"/>
        <v>198.38186301712932</v>
      </c>
      <c r="AO19" s="108">
        <f t="shared" si="24"/>
        <v>230.02811946959858</v>
      </c>
    </row>
    <row r="20" spans="1:44">
      <c r="A20" s="278" t="s">
        <v>215</v>
      </c>
      <c r="B20" s="289"/>
      <c r="C20" s="289"/>
      <c r="D20" s="289"/>
      <c r="E20" s="289"/>
      <c r="F20" s="289"/>
      <c r="G20" s="351">
        <v>3445359</v>
      </c>
      <c r="H20" s="351">
        <v>3473086</v>
      </c>
      <c r="I20" s="351">
        <v>3569760</v>
      </c>
      <c r="J20" s="351">
        <v>3578420</v>
      </c>
      <c r="K20" s="112">
        <f t="shared" si="1"/>
        <v>14066625</v>
      </c>
      <c r="L20" s="105">
        <f>'Schedule 3A_Income Statement'!CO50</f>
        <v>18260995.984985933</v>
      </c>
      <c r="M20" s="105">
        <f>'Schedule 3A_Income Statement'!CP50</f>
        <v>18562949.244698908</v>
      </c>
      <c r="N20" s="105">
        <f>'Schedule 3A_Income Statement'!CQ50</f>
        <v>19605298.603655785</v>
      </c>
      <c r="O20" s="105">
        <f>'Schedule 3A_Income Statement'!CR50</f>
        <v>20292950.085133981</v>
      </c>
      <c r="P20" s="105">
        <f t="shared" si="2"/>
        <v>76722193.918474615</v>
      </c>
      <c r="Q20" s="287"/>
      <c r="R20" s="287"/>
      <c r="S20" s="287"/>
      <c r="T20" s="287"/>
      <c r="U20" s="287"/>
      <c r="V20" s="114">
        <f t="shared" ref="V20" si="40">IF(B20=0,0,G20/B20)</f>
        <v>0</v>
      </c>
      <c r="W20" s="114">
        <f t="shared" ref="W20" si="41">IF(C20=0,0,H20/C20)</f>
        <v>0</v>
      </c>
      <c r="X20" s="114">
        <f t="shared" ref="X20" si="42">IF(D20=0,0,I20/D20)</f>
        <v>0</v>
      </c>
      <c r="Y20" s="114">
        <f t="shared" ref="Y20" si="43">IF(E20=0,0,J20/E20)</f>
        <v>0</v>
      </c>
      <c r="Z20" s="114">
        <f t="shared" ref="Z20" si="44">IF(F20=0,0,K20/F20)</f>
        <v>0</v>
      </c>
      <c r="AA20" s="113">
        <f t="shared" si="10"/>
        <v>1155798.4360746772</v>
      </c>
      <c r="AB20" s="113">
        <f t="shared" si="11"/>
        <v>1113775.4769012355</v>
      </c>
      <c r="AC20" s="113">
        <f t="shared" si="12"/>
        <v>1093677.9200504848</v>
      </c>
      <c r="AD20" s="113">
        <f t="shared" si="13"/>
        <v>1049795.3664825256</v>
      </c>
      <c r="AE20" s="113">
        <f t="shared" si="14"/>
        <v>1101371.8062629756</v>
      </c>
      <c r="AF20" s="106">
        <f t="shared" si="15"/>
        <v>5.300172198306746</v>
      </c>
      <c r="AG20" s="106">
        <f t="shared" si="16"/>
        <v>5.3447997673247674</v>
      </c>
      <c r="AH20" s="106">
        <f t="shared" si="17"/>
        <v>5.492049494547472</v>
      </c>
      <c r="AI20" s="106">
        <f t="shared" si="18"/>
        <v>5.6709246217978828</v>
      </c>
      <c r="AJ20" s="107">
        <f t="shared" si="19"/>
        <v>5.4542005575946337</v>
      </c>
      <c r="AK20" s="106">
        <f t="shared" si="20"/>
        <v>510.49422814411849</v>
      </c>
      <c r="AL20" s="106">
        <f t="shared" si="21"/>
        <v>496.07557581614634</v>
      </c>
      <c r="AM20" s="106">
        <f t="shared" si="22"/>
        <v>500.54443900091638</v>
      </c>
      <c r="AN20" s="106">
        <f t="shared" si="23"/>
        <v>496.10919930292391</v>
      </c>
      <c r="AO20" s="108">
        <f t="shared" si="24"/>
        <v>500.59189331987756</v>
      </c>
    </row>
    <row r="21" spans="1:44">
      <c r="A21" s="278" t="s">
        <v>216</v>
      </c>
      <c r="B21" s="289"/>
      <c r="C21" s="289"/>
      <c r="D21" s="289"/>
      <c r="E21" s="289"/>
      <c r="F21" s="289"/>
      <c r="G21" s="351">
        <v>90674</v>
      </c>
      <c r="H21" s="351">
        <v>108325</v>
      </c>
      <c r="I21" s="351">
        <v>74964</v>
      </c>
      <c r="J21" s="351">
        <v>73207</v>
      </c>
      <c r="K21" s="112">
        <f t="shared" ref="K21:K25" si="45">SUM(G21:J21)</f>
        <v>347170</v>
      </c>
      <c r="L21" s="105">
        <f>'Schedule 3A_Income Statement'!CO51</f>
        <v>1279500.5997949918</v>
      </c>
      <c r="M21" s="105">
        <f>'Schedule 3A_Income Statement'!CP51</f>
        <v>1231927.7481994913</v>
      </c>
      <c r="N21" s="105">
        <f>'Schedule 3A_Income Statement'!CQ51</f>
        <v>1303539.0801780368</v>
      </c>
      <c r="O21" s="105">
        <f>'Schedule 3A_Income Statement'!CR51</f>
        <v>1378300.3266128814</v>
      </c>
      <c r="P21" s="105">
        <f t="shared" ref="P21:P25" si="46">SUM(L21:O21)</f>
        <v>5193267.7547854017</v>
      </c>
      <c r="Q21" s="287"/>
      <c r="R21" s="287"/>
      <c r="S21" s="287"/>
      <c r="T21" s="287"/>
      <c r="U21" s="287"/>
      <c r="V21" s="114">
        <f t="shared" ref="V21:V25" si="47">IF(B21=0,0,G21/B21)</f>
        <v>0</v>
      </c>
      <c r="W21" s="114">
        <f t="shared" ref="W21:W25" si="48">IF(C21=0,0,H21/C21)</f>
        <v>0</v>
      </c>
      <c r="X21" s="114">
        <f t="shared" ref="X21:X25" si="49">IF(D21=0,0,I21/D21)</f>
        <v>0</v>
      </c>
      <c r="Y21" s="114">
        <f t="shared" ref="Y21:Y25" si="50">IF(E21=0,0,J21/E21)</f>
        <v>0</v>
      </c>
      <c r="Z21" s="114">
        <f t="shared" ref="Z21:Z25" si="51">IF(F21=0,0,K21/F21)</f>
        <v>0</v>
      </c>
      <c r="AA21" s="113">
        <f t="shared" si="10"/>
        <v>30417.981810497913</v>
      </c>
      <c r="AB21" s="113">
        <f t="shared" ref="AB21:AB25" si="52">IF($C$8=0,0,(H21/$C$8)*12000)</f>
        <v>34738.479995982343</v>
      </c>
      <c r="AC21" s="113">
        <f t="shared" ref="AC21:AC25" si="53">IF($D$8=0,0,(I21/$D$8)*12000)</f>
        <v>22966.942203023325</v>
      </c>
      <c r="AD21" s="113">
        <f t="shared" ref="AD21:AD25" si="54">IF($E$8=0,0,(J21/$E$8)*12000)</f>
        <v>21476.620797471023</v>
      </c>
      <c r="AE21" s="113">
        <f t="shared" ref="AE21:AE25" si="55">IF($F$8=0,0,(K21/$F$8)*12000)</f>
        <v>27182.30207887942</v>
      </c>
      <c r="AF21" s="106">
        <f t="shared" ref="AF21:AF25" si="56">IF(G21=0,0,L21/G21)</f>
        <v>14.110997637635835</v>
      </c>
      <c r="AG21" s="106">
        <f t="shared" ref="AG21:AG25" si="57">IF(H21=0,0,M21/H21)</f>
        <v>11.372515561500036</v>
      </c>
      <c r="AH21" s="106">
        <f t="shared" ref="AH21:AH25" si="58">IF(I21=0,0,N21/I21)</f>
        <v>17.388867725548753</v>
      </c>
      <c r="AI21" s="106">
        <f t="shared" ref="AI21:AI25" si="59">IF(J21=0,0,O21/J21)</f>
        <v>18.827438996446809</v>
      </c>
      <c r="AJ21" s="107">
        <f t="shared" ref="AJ21:AJ25" si="60">IF(K21=0,0,P21/K21)</f>
        <v>14.958860946468306</v>
      </c>
      <c r="AK21" s="106">
        <f t="shared" ref="AK21:AK25" si="61">IF(B$8=0,0,L21/B$8)</f>
        <v>35.769005789132159</v>
      </c>
      <c r="AL21" s="106">
        <f t="shared" ref="AL21:AL25" si="62">IF(C$8=0,0,M21/C$8)</f>
        <v>32.921992028097243</v>
      </c>
      <c r="AM21" s="106">
        <f t="shared" ref="AM21:AM25" si="63">IF(D$8=0,0,N21/D$8)</f>
        <v>33.280760002391325</v>
      </c>
      <c r="AN21" s="106">
        <f t="shared" ref="AN21:AN25" si="64">IF(E$8=0,0,O21/E$8)</f>
        <v>33.695813992850539</v>
      </c>
      <c r="AO21" s="108">
        <f t="shared" ref="AO21:AO25" si="65">IF(F$8=0,0,P21/F$8)</f>
        <v>33.884689750237804</v>
      </c>
    </row>
    <row r="22" spans="1:44">
      <c r="A22" s="278" t="s">
        <v>217</v>
      </c>
      <c r="B22" s="289"/>
      <c r="C22" s="289"/>
      <c r="D22" s="289"/>
      <c r="E22" s="289"/>
      <c r="F22" s="289"/>
      <c r="G22" s="351">
        <v>156167</v>
      </c>
      <c r="H22" s="351">
        <v>169001</v>
      </c>
      <c r="I22" s="351">
        <v>183060</v>
      </c>
      <c r="J22" s="351">
        <v>206035</v>
      </c>
      <c r="K22" s="112">
        <f t="shared" si="45"/>
        <v>714263</v>
      </c>
      <c r="L22" s="105">
        <f>'Schedule 3A_Income Statement'!CO52</f>
        <v>12349069.712619793</v>
      </c>
      <c r="M22" s="105">
        <f>'Schedule 3A_Income Statement'!CP52</f>
        <v>13248037.775020905</v>
      </c>
      <c r="N22" s="105">
        <f>'Schedule 3A_Income Statement'!CQ52</f>
        <v>14727093.299787844</v>
      </c>
      <c r="O22" s="105">
        <f>'Schedule 3A_Income Statement'!CR52</f>
        <v>17195083.101834171</v>
      </c>
      <c r="P22" s="105">
        <f t="shared" si="46"/>
        <v>57519283.889262713</v>
      </c>
      <c r="Q22" s="287"/>
      <c r="R22" s="287"/>
      <c r="S22" s="287"/>
      <c r="T22" s="287"/>
      <c r="U22" s="287"/>
      <c r="V22" s="114">
        <f t="shared" si="47"/>
        <v>0</v>
      </c>
      <c r="W22" s="114">
        <f t="shared" si="48"/>
        <v>0</v>
      </c>
      <c r="X22" s="114">
        <f t="shared" si="49"/>
        <v>0</v>
      </c>
      <c r="Y22" s="114">
        <f t="shared" si="50"/>
        <v>0</v>
      </c>
      <c r="Z22" s="114">
        <f t="shared" si="51"/>
        <v>0</v>
      </c>
      <c r="AA22" s="113">
        <f t="shared" si="10"/>
        <v>52388.611568917528</v>
      </c>
      <c r="AB22" s="113">
        <f t="shared" si="52"/>
        <v>54196.518419580083</v>
      </c>
      <c r="AC22" s="113">
        <f t="shared" si="53"/>
        <v>56084.633153052804</v>
      </c>
      <c r="AD22" s="113">
        <f t="shared" si="54"/>
        <v>60444.159247161369</v>
      </c>
      <c r="AE22" s="113">
        <f t="shared" si="55"/>
        <v>55924.511420245559</v>
      </c>
      <c r="AF22" s="106">
        <f t="shared" si="56"/>
        <v>79.076051359248709</v>
      </c>
      <c r="AG22" s="106">
        <f t="shared" si="57"/>
        <v>78.390292217329517</v>
      </c>
      <c r="AH22" s="106">
        <f t="shared" si="58"/>
        <v>80.449542771702411</v>
      </c>
      <c r="AI22" s="106">
        <f t="shared" si="59"/>
        <v>83.457097589410395</v>
      </c>
      <c r="AJ22" s="107">
        <f t="shared" si="60"/>
        <v>80.529558284921265</v>
      </c>
      <c r="AK22" s="106">
        <f t="shared" si="61"/>
        <v>345.22371158862114</v>
      </c>
      <c r="AL22" s="106">
        <f t="shared" si="62"/>
        <v>354.04007633939699</v>
      </c>
      <c r="AM22" s="106">
        <f t="shared" si="63"/>
        <v>375.99859114014669</v>
      </c>
      <c r="AN22" s="106">
        <f t="shared" si="64"/>
        <v>420.37450808335075</v>
      </c>
      <c r="AO22" s="108">
        <f t="shared" si="65"/>
        <v>375.29801683103415</v>
      </c>
    </row>
    <row r="23" spans="1:44">
      <c r="A23" s="278" t="s">
        <v>218</v>
      </c>
      <c r="B23" s="289"/>
      <c r="C23" s="289"/>
      <c r="D23" s="289"/>
      <c r="E23" s="289"/>
      <c r="F23" s="289"/>
      <c r="G23" s="351">
        <v>296353</v>
      </c>
      <c r="H23" s="351">
        <v>304013</v>
      </c>
      <c r="I23" s="351">
        <v>330868</v>
      </c>
      <c r="J23" s="351">
        <v>348704</v>
      </c>
      <c r="K23" s="112">
        <f t="shared" si="45"/>
        <v>1279938</v>
      </c>
      <c r="L23" s="105">
        <f>'Schedule 3A_Income Statement'!CO53</f>
        <v>15712896.118532097</v>
      </c>
      <c r="M23" s="105">
        <f>'Schedule 3A_Income Statement'!CP53</f>
        <v>16801988.640010417</v>
      </c>
      <c r="N23" s="105">
        <f>'Schedule 3A_Income Statement'!CQ53</f>
        <v>18683577.64027914</v>
      </c>
      <c r="O23" s="105">
        <f>'Schedule 3A_Income Statement'!CR53</f>
        <v>20345561.627355553</v>
      </c>
      <c r="P23" s="105">
        <f t="shared" si="46"/>
        <v>71544024.026177198</v>
      </c>
      <c r="Q23" s="287"/>
      <c r="R23" s="287"/>
      <c r="S23" s="287"/>
      <c r="T23" s="287"/>
      <c r="U23" s="287"/>
      <c r="V23" s="114">
        <f t="shared" si="47"/>
        <v>0</v>
      </c>
      <c r="W23" s="114">
        <f t="shared" si="48"/>
        <v>0</v>
      </c>
      <c r="X23" s="114">
        <f t="shared" si="49"/>
        <v>0</v>
      </c>
      <c r="Y23" s="114">
        <f t="shared" si="50"/>
        <v>0</v>
      </c>
      <c r="Z23" s="114">
        <f t="shared" si="51"/>
        <v>0</v>
      </c>
      <c r="AA23" s="113">
        <f t="shared" si="10"/>
        <v>99416.151967338912</v>
      </c>
      <c r="AB23" s="113">
        <f t="shared" si="52"/>
        <v>97493.187343813333</v>
      </c>
      <c r="AC23" s="113">
        <f t="shared" si="53"/>
        <v>101369.00689437494</v>
      </c>
      <c r="AD23" s="113">
        <f t="shared" si="54"/>
        <v>102298.73616677825</v>
      </c>
      <c r="AE23" s="113">
        <f t="shared" si="55"/>
        <v>100215.05705630315</v>
      </c>
      <c r="AF23" s="106">
        <f t="shared" si="56"/>
        <v>53.020877529608597</v>
      </c>
      <c r="AG23" s="106">
        <f t="shared" si="57"/>
        <v>55.267336067899784</v>
      </c>
      <c r="AH23" s="106">
        <f t="shared" si="58"/>
        <v>56.468373007601642</v>
      </c>
      <c r="AI23" s="106">
        <f t="shared" si="59"/>
        <v>58.3462238097514</v>
      </c>
      <c r="AJ23" s="107">
        <f t="shared" si="60"/>
        <v>55.896476256019589</v>
      </c>
      <c r="AK23" s="106">
        <f t="shared" si="61"/>
        <v>439.26096816043611</v>
      </c>
      <c r="AL23" s="106">
        <f t="shared" si="62"/>
        <v>449.01572910510384</v>
      </c>
      <c r="AM23" s="106">
        <f t="shared" si="63"/>
        <v>477.01190772680883</v>
      </c>
      <c r="AN23" s="106">
        <f t="shared" si="64"/>
        <v>497.3954129867962</v>
      </c>
      <c r="AO23" s="108">
        <f t="shared" si="65"/>
        <v>466.80571310360813</v>
      </c>
    </row>
    <row r="24" spans="1:44">
      <c r="A24" s="278" t="s">
        <v>219</v>
      </c>
      <c r="B24" s="289"/>
      <c r="C24" s="289"/>
      <c r="D24" s="289"/>
      <c r="E24" s="289"/>
      <c r="F24" s="289"/>
      <c r="G24" s="351">
        <v>0</v>
      </c>
      <c r="H24" s="351">
        <v>0</v>
      </c>
      <c r="I24" s="351">
        <v>0</v>
      </c>
      <c r="J24" s="351">
        <v>0</v>
      </c>
      <c r="K24" s="112">
        <f t="shared" si="45"/>
        <v>0</v>
      </c>
      <c r="L24" s="105">
        <f>'Schedule 3A_Income Statement'!CO54</f>
        <v>0</v>
      </c>
      <c r="M24" s="105">
        <f>'Schedule 3A_Income Statement'!CP54</f>
        <v>0</v>
      </c>
      <c r="N24" s="105">
        <f>'Schedule 3A_Income Statement'!CQ54</f>
        <v>0</v>
      </c>
      <c r="O24" s="105">
        <f>'Schedule 3A_Income Statement'!CR54</f>
        <v>0</v>
      </c>
      <c r="P24" s="105">
        <f t="shared" si="46"/>
        <v>0</v>
      </c>
      <c r="Q24" s="287"/>
      <c r="R24" s="287"/>
      <c r="S24" s="287"/>
      <c r="T24" s="287"/>
      <c r="U24" s="287"/>
      <c r="V24" s="114">
        <f t="shared" si="47"/>
        <v>0</v>
      </c>
      <c r="W24" s="114">
        <f t="shared" si="48"/>
        <v>0</v>
      </c>
      <c r="X24" s="114">
        <f t="shared" si="49"/>
        <v>0</v>
      </c>
      <c r="Y24" s="114">
        <f t="shared" si="50"/>
        <v>0</v>
      </c>
      <c r="Z24" s="114">
        <f t="shared" si="51"/>
        <v>0</v>
      </c>
      <c r="AA24" s="113">
        <f t="shared" si="10"/>
        <v>0</v>
      </c>
      <c r="AB24" s="113">
        <f t="shared" si="52"/>
        <v>0</v>
      </c>
      <c r="AC24" s="113">
        <f t="shared" si="53"/>
        <v>0</v>
      </c>
      <c r="AD24" s="113">
        <f t="shared" si="54"/>
        <v>0</v>
      </c>
      <c r="AE24" s="113">
        <f t="shared" si="55"/>
        <v>0</v>
      </c>
      <c r="AF24" s="106">
        <f t="shared" si="56"/>
        <v>0</v>
      </c>
      <c r="AG24" s="106">
        <f t="shared" si="57"/>
        <v>0</v>
      </c>
      <c r="AH24" s="106">
        <f t="shared" si="58"/>
        <v>0</v>
      </c>
      <c r="AI24" s="106">
        <f t="shared" si="59"/>
        <v>0</v>
      </c>
      <c r="AJ24" s="107">
        <f t="shared" si="60"/>
        <v>0</v>
      </c>
      <c r="AK24" s="106">
        <f t="shared" si="61"/>
        <v>0</v>
      </c>
      <c r="AL24" s="106">
        <f t="shared" si="62"/>
        <v>0</v>
      </c>
      <c r="AM24" s="106">
        <f t="shared" si="63"/>
        <v>0</v>
      </c>
      <c r="AN24" s="106">
        <f t="shared" si="64"/>
        <v>0</v>
      </c>
      <c r="AO24" s="108">
        <f t="shared" si="65"/>
        <v>0</v>
      </c>
    </row>
    <row r="25" spans="1:44">
      <c r="A25" s="278" t="s">
        <v>220</v>
      </c>
      <c r="B25" s="289"/>
      <c r="C25" s="289"/>
      <c r="D25" s="289"/>
      <c r="E25" s="289"/>
      <c r="F25" s="289"/>
      <c r="G25" s="351">
        <v>814719.90000000014</v>
      </c>
      <c r="H25" s="351">
        <v>857714.69999999972</v>
      </c>
      <c r="I25" s="351">
        <v>878329.79999999993</v>
      </c>
      <c r="J25" s="351">
        <v>905204.30000000016</v>
      </c>
      <c r="K25" s="112">
        <f t="shared" si="45"/>
        <v>3455968.7</v>
      </c>
      <c r="L25" s="105">
        <f>'Schedule 3A_Income Statement'!CO55</f>
        <v>9186522.4245439451</v>
      </c>
      <c r="M25" s="105">
        <f>'Schedule 3A_Income Statement'!CP55</f>
        <v>9805433.7235966641</v>
      </c>
      <c r="N25" s="105">
        <f>'Schedule 3A_Income Statement'!CQ55</f>
        <v>10090701.978527693</v>
      </c>
      <c r="O25" s="105">
        <f>'Schedule 3A_Income Statement'!CR55</f>
        <v>10771285.711956641</v>
      </c>
      <c r="P25" s="105">
        <f t="shared" si="46"/>
        <v>39853943.838624947</v>
      </c>
      <c r="Q25" s="287"/>
      <c r="R25" s="287"/>
      <c r="S25" s="287"/>
      <c r="T25" s="287"/>
      <c r="U25" s="287"/>
      <c r="V25" s="114">
        <f t="shared" si="47"/>
        <v>0</v>
      </c>
      <c r="W25" s="114">
        <f t="shared" si="48"/>
        <v>0</v>
      </c>
      <c r="X25" s="114">
        <f t="shared" si="49"/>
        <v>0</v>
      </c>
      <c r="Y25" s="114">
        <f t="shared" si="50"/>
        <v>0</v>
      </c>
      <c r="Z25" s="114">
        <f t="shared" si="51"/>
        <v>0</v>
      </c>
      <c r="AA25" s="113">
        <f t="shared" si="10"/>
        <v>273310.266436362</v>
      </c>
      <c r="AB25" s="113">
        <f t="shared" si="52"/>
        <v>275058.43478615268</v>
      </c>
      <c r="AC25" s="113">
        <f t="shared" si="53"/>
        <v>269096.49634215137</v>
      </c>
      <c r="AD25" s="113">
        <f t="shared" si="54"/>
        <v>265558.34135178605</v>
      </c>
      <c r="AE25" s="113">
        <f t="shared" si="55"/>
        <v>270591.31024729158</v>
      </c>
      <c r="AF25" s="106">
        <f t="shared" si="56"/>
        <v>11.275681893303384</v>
      </c>
      <c r="AG25" s="106">
        <f t="shared" si="57"/>
        <v>11.43204578818186</v>
      </c>
      <c r="AH25" s="106">
        <f t="shared" si="58"/>
        <v>11.488511466339515</v>
      </c>
      <c r="AI25" s="106">
        <f t="shared" si="59"/>
        <v>11.899286947661029</v>
      </c>
      <c r="AJ25" s="107">
        <f t="shared" si="60"/>
        <v>11.531916894567056</v>
      </c>
      <c r="AK25" s="106">
        <f t="shared" si="61"/>
        <v>256.81330187586752</v>
      </c>
      <c r="AL25" s="106">
        <f t="shared" si="62"/>
        <v>262.04005174174426</v>
      </c>
      <c r="AM25" s="106">
        <f t="shared" si="63"/>
        <v>257.62651531488297</v>
      </c>
      <c r="AN25" s="106">
        <f t="shared" si="64"/>
        <v>263.3295754241517</v>
      </c>
      <c r="AO25" s="108">
        <f t="shared" si="65"/>
        <v>260.03637518031479</v>
      </c>
    </row>
    <row r="26" spans="1:44">
      <c r="A26" s="607" t="s">
        <v>206</v>
      </c>
      <c r="B26" s="289"/>
      <c r="C26" s="289"/>
      <c r="D26" s="289"/>
      <c r="E26" s="289"/>
      <c r="F26" s="289"/>
      <c r="G26" s="351"/>
      <c r="H26" s="351"/>
      <c r="I26" s="351"/>
      <c r="J26" s="351"/>
      <c r="K26" s="112">
        <f t="shared" si="1"/>
        <v>0</v>
      </c>
      <c r="L26" s="105">
        <f>'Schedule 3A_Income Statement'!CO43</f>
        <v>10473766</v>
      </c>
      <c r="M26" s="105">
        <f>'Schedule 3A_Income Statement'!CP43</f>
        <v>10335638</v>
      </c>
      <c r="N26" s="105">
        <f>'Schedule 3A_Income Statement'!CQ43</f>
        <v>11090064</v>
      </c>
      <c r="O26" s="105">
        <f>'Schedule 3A_Income Statement'!CR43</f>
        <v>10929840</v>
      </c>
      <c r="P26" s="105">
        <f t="shared" ref="P26:P27" si="66">SUM(L26:O26)</f>
        <v>42829308</v>
      </c>
      <c r="Q26" s="287"/>
      <c r="R26" s="287"/>
      <c r="S26" s="287"/>
      <c r="T26" s="287"/>
      <c r="U26" s="287"/>
      <c r="V26" s="611">
        <f t="shared" ref="V26" si="67">IF(B26=0,0,G26/B26)</f>
        <v>0</v>
      </c>
      <c r="W26" s="611">
        <f t="shared" ref="W26" si="68">IF(C26=0,0,H26/C26)</f>
        <v>0</v>
      </c>
      <c r="X26" s="611">
        <f t="shared" ref="X26" si="69">IF(D26=0,0,I26/D26)</f>
        <v>0</v>
      </c>
      <c r="Y26" s="611">
        <f t="shared" ref="Y26" si="70">IF(E26=0,0,J26/E26)</f>
        <v>0</v>
      </c>
      <c r="Z26" s="611">
        <f t="shared" ref="Z26" si="71">IF(F26=0,0,K26/F26)</f>
        <v>0</v>
      </c>
      <c r="AA26" s="112">
        <f t="shared" si="10"/>
        <v>0</v>
      </c>
      <c r="AB26" s="112">
        <f t="shared" ref="AB26" si="72">IF($C$8=0,0,(H26/$C$8)*12000)</f>
        <v>0</v>
      </c>
      <c r="AC26" s="112">
        <f t="shared" ref="AC26" si="73">IF($D$8=0,0,(I26/$D$8)*12000)</f>
        <v>0</v>
      </c>
      <c r="AD26" s="112">
        <f t="shared" ref="AD26" si="74">IF($E$8=0,0,(J26/$E$8)*12000)</f>
        <v>0</v>
      </c>
      <c r="AE26" s="112">
        <f t="shared" ref="AE26" si="75">IF($F$8=0,0,(K26/$F$8)*12000)</f>
        <v>0</v>
      </c>
      <c r="AF26" s="608">
        <f t="shared" ref="AF26" si="76">IF(G26=0,0,L26/G26)</f>
        <v>0</v>
      </c>
      <c r="AG26" s="608">
        <f t="shared" ref="AG26" si="77">IF(H26=0,0,M26/H26)</f>
        <v>0</v>
      </c>
      <c r="AH26" s="608">
        <f t="shared" ref="AH26" si="78">IF(I26=0,0,N26/I26)</f>
        <v>0</v>
      </c>
      <c r="AI26" s="608">
        <f t="shared" ref="AI26" si="79">IF(J26=0,0,O26/J26)</f>
        <v>0</v>
      </c>
      <c r="AJ26" s="609">
        <f t="shared" ref="AJ26" si="80">IF(K26=0,0,P26/K26)</f>
        <v>0</v>
      </c>
      <c r="AK26" s="608">
        <f t="shared" ref="AK26" si="81">IF(B$8=0,0,L26/B$8)</f>
        <v>292.79876597794618</v>
      </c>
      <c r="AL26" s="608">
        <f t="shared" ref="AL26" si="82">IF(C$8=0,0,M26/C$8)</f>
        <v>276.20921140758134</v>
      </c>
      <c r="AM26" s="608">
        <f t="shared" ref="AM26" si="83">IF(D$8=0,0,N26/D$8)</f>
        <v>283.14130662254513</v>
      </c>
      <c r="AN26" s="608">
        <f t="shared" ref="AN26" si="84">IF(E$8=0,0,O26/E$8)</f>
        <v>267.20581030164544</v>
      </c>
      <c r="AO26" s="610">
        <f t="shared" ref="AO26" si="85">IF(F$8=0,0,P26/F$8)</f>
        <v>279.44983434757398</v>
      </c>
    </row>
    <row r="27" spans="1:44">
      <c r="A27" s="607" t="s">
        <v>1406</v>
      </c>
      <c r="B27" s="289"/>
      <c r="C27" s="289"/>
      <c r="D27" s="289"/>
      <c r="E27" s="289"/>
      <c r="F27" s="289"/>
      <c r="G27" s="351">
        <v>144343</v>
      </c>
      <c r="H27" s="351">
        <v>152611</v>
      </c>
      <c r="I27" s="351">
        <v>158984</v>
      </c>
      <c r="J27" s="351">
        <v>164859</v>
      </c>
      <c r="K27" s="112">
        <f>SUM(G27:J27)</f>
        <v>620797</v>
      </c>
      <c r="L27" s="105">
        <f>'Schedule 3A_Income Statement'!CO45</f>
        <v>4020694.7414527256</v>
      </c>
      <c r="M27" s="105">
        <f>'Schedule 3A_Income Statement'!CP45</f>
        <v>5385927.0051004803</v>
      </c>
      <c r="N27" s="105">
        <f>'Schedule 3A_Income Statement'!CQ45</f>
        <v>6359517.2157804677</v>
      </c>
      <c r="O27" s="105">
        <f>'Schedule 3A_Income Statement'!CR45</f>
        <v>7730660.7680949317</v>
      </c>
      <c r="P27" s="105">
        <f t="shared" si="66"/>
        <v>23496799.730428603</v>
      </c>
      <c r="Q27" s="287"/>
      <c r="R27" s="287"/>
      <c r="S27" s="287"/>
      <c r="T27" s="287"/>
      <c r="U27" s="287"/>
      <c r="V27" s="114">
        <f t="shared" si="3"/>
        <v>0</v>
      </c>
      <c r="W27" s="114">
        <f t="shared" si="3"/>
        <v>0</v>
      </c>
      <c r="X27" s="114">
        <f t="shared" si="3"/>
        <v>0</v>
      </c>
      <c r="Y27" s="114">
        <f t="shared" si="3"/>
        <v>0</v>
      </c>
      <c r="Z27" s="114">
        <f t="shared" si="3"/>
        <v>0</v>
      </c>
      <c r="AA27" s="113">
        <f t="shared" si="10"/>
        <v>48422.069705458016</v>
      </c>
      <c r="AB27" s="113">
        <f t="shared" si="11"/>
        <v>48940.449302255824</v>
      </c>
      <c r="AC27" s="113">
        <f t="shared" si="12"/>
        <v>48708.3978870586</v>
      </c>
      <c r="AD27" s="113">
        <f t="shared" si="13"/>
        <v>48364.421818272509</v>
      </c>
      <c r="AE27" s="113">
        <f t="shared" si="14"/>
        <v>48606.422166840763</v>
      </c>
      <c r="AF27" s="106">
        <f t="shared" si="15"/>
        <v>27.85514185968648</v>
      </c>
      <c r="AG27" s="106">
        <f t="shared" si="16"/>
        <v>35.291866281594906</v>
      </c>
      <c r="AH27" s="106">
        <f t="shared" si="17"/>
        <v>40.000988878003241</v>
      </c>
      <c r="AI27" s="106">
        <f t="shared" si="18"/>
        <v>46.892561328741117</v>
      </c>
      <c r="AJ27" s="107">
        <f t="shared" si="19"/>
        <v>37.849409276186265</v>
      </c>
      <c r="AK27" s="106">
        <f t="shared" si="20"/>
        <v>112.40030173209669</v>
      </c>
      <c r="AL27" s="106">
        <f t="shared" si="21"/>
        <v>143.93331604469893</v>
      </c>
      <c r="AM27" s="106">
        <f t="shared" si="22"/>
        <v>162.36534017879896</v>
      </c>
      <c r="AN27" s="106">
        <f t="shared" si="23"/>
        <v>188.99430135353737</v>
      </c>
      <c r="AO27" s="108">
        <f t="shared" si="24"/>
        <v>153.31036383698736</v>
      </c>
    </row>
    <row r="28" spans="1:44">
      <c r="A28" s="607" t="s">
        <v>1407</v>
      </c>
      <c r="B28" s="289"/>
      <c r="C28" s="289"/>
      <c r="D28" s="289"/>
      <c r="E28" s="289"/>
      <c r="F28" s="289"/>
      <c r="G28" s="351">
        <v>4337</v>
      </c>
      <c r="H28" s="351">
        <v>4242</v>
      </c>
      <c r="I28" s="351">
        <v>7374</v>
      </c>
      <c r="J28" s="351">
        <v>7957</v>
      </c>
      <c r="K28" s="112">
        <f t="shared" ref="K28" si="86">SUM(G28:J28)</f>
        <v>23910</v>
      </c>
      <c r="L28" s="105">
        <f>'Schedule 3A_Income Statement'!CO47</f>
        <v>397782.52730450139</v>
      </c>
      <c r="M28" s="105">
        <f>'Schedule 3A_Income Statement'!CP47</f>
        <v>387475.70243414195</v>
      </c>
      <c r="N28" s="105">
        <f>'Schedule 3A_Income Statement'!CQ47</f>
        <v>745211.38447651966</v>
      </c>
      <c r="O28" s="105">
        <f>'Schedule 3A_Income Statement'!CR47</f>
        <v>838977.2741617047</v>
      </c>
      <c r="P28" s="105">
        <f>SUM(L28:O28)</f>
        <v>2369446.8883768679</v>
      </c>
      <c r="Q28" s="287"/>
      <c r="R28" s="287"/>
      <c r="S28" s="287"/>
      <c r="T28" s="287"/>
      <c r="U28" s="287"/>
      <c r="V28" s="114">
        <f t="shared" si="3"/>
        <v>0</v>
      </c>
      <c r="W28" s="114">
        <f t="shared" si="3"/>
        <v>0</v>
      </c>
      <c r="X28" s="114">
        <f t="shared" si="3"/>
        <v>0</v>
      </c>
      <c r="Y28" s="114">
        <f t="shared" si="3"/>
        <v>0</v>
      </c>
      <c r="Z28" s="114">
        <f t="shared" si="3"/>
        <v>0</v>
      </c>
      <c r="AA28" s="113">
        <f t="shared" si="10"/>
        <v>1454.9130634154164</v>
      </c>
      <c r="AB28" s="113">
        <f t="shared" si="11"/>
        <v>1360.3566318297449</v>
      </c>
      <c r="AC28" s="113">
        <f t="shared" si="12"/>
        <v>2259.194170603143</v>
      </c>
      <c r="AD28" s="113">
        <f t="shared" si="13"/>
        <v>2334.3323956107602</v>
      </c>
      <c r="AE28" s="113">
        <f t="shared" si="14"/>
        <v>1872.0766273180488</v>
      </c>
      <c r="AF28" s="106">
        <f t="shared" ref="AF28" si="87">IF(G28=0,0,L28/G28)</f>
        <v>91.718359996426415</v>
      </c>
      <c r="AG28" s="106">
        <f t="shared" ref="AG28" si="88">IF(H28=0,0,M28/H28)</f>
        <v>91.342692700174908</v>
      </c>
      <c r="AH28" s="106">
        <f t="shared" ref="AH28" si="89">IF(I28=0,0,N28/I28)</f>
        <v>101.05931441232975</v>
      </c>
      <c r="AI28" s="106">
        <f t="shared" ref="AI28" si="90">IF(J28=0,0,O28/J28)</f>
        <v>105.43889332181786</v>
      </c>
      <c r="AJ28" s="107">
        <f t="shared" ref="AJ28" si="91">IF(K28=0,0,P28/K28)</f>
        <v>99.098573332365859</v>
      </c>
      <c r="AK28" s="106">
        <f t="shared" si="20"/>
        <v>11.120186676153228</v>
      </c>
      <c r="AL28" s="106">
        <f t="shared" si="21"/>
        <v>10.354886481989112</v>
      </c>
      <c r="AM28" s="106">
        <f t="shared" si="22"/>
        <v>19.0260511671238</v>
      </c>
      <c r="AN28" s="106">
        <f t="shared" si="23"/>
        <v>20.510785369872206</v>
      </c>
      <c r="AO28" s="108">
        <f t="shared" si="24"/>
        <v>15.460010244673818</v>
      </c>
    </row>
    <row r="29" spans="1:44">
      <c r="A29" s="278" t="s">
        <v>222</v>
      </c>
      <c r="B29" s="289"/>
      <c r="C29" s="289"/>
      <c r="D29" s="289"/>
      <c r="E29" s="289"/>
      <c r="F29" s="289"/>
      <c r="G29" s="351">
        <v>1082714</v>
      </c>
      <c r="H29" s="351">
        <v>799767</v>
      </c>
      <c r="I29" s="351">
        <v>1188666</v>
      </c>
      <c r="J29" s="351">
        <v>1118506</v>
      </c>
      <c r="K29" s="112">
        <f t="shared" ref="K29:K30" si="92">SUM(G29:J29)</f>
        <v>4189653</v>
      </c>
      <c r="L29" s="105">
        <f>'Schedule 3A_Income Statement'!CO57</f>
        <v>1960408.0202859829</v>
      </c>
      <c r="M29" s="105">
        <f>'Schedule 3A_Income Statement'!CP57</f>
        <v>1429799.2581394094</v>
      </c>
      <c r="N29" s="105">
        <f>'Schedule 3A_Income Statement'!CQ57</f>
        <v>1769775.1036832524</v>
      </c>
      <c r="O29" s="105">
        <f>'Schedule 3A_Income Statement'!CR57</f>
        <v>1659869.813395523</v>
      </c>
      <c r="P29" s="105">
        <f t="shared" ref="P29:P30" si="93">SUM(L29:O29)</f>
        <v>6819852.195504168</v>
      </c>
      <c r="Q29" s="287"/>
      <c r="R29" s="287"/>
      <c r="S29" s="287"/>
      <c r="T29" s="287"/>
      <c r="U29" s="287"/>
      <c r="V29" s="114">
        <f t="shared" ref="V29:V30" si="94">IF(B29=0,0,G29/B29)</f>
        <v>0</v>
      </c>
      <c r="W29" s="114">
        <f t="shared" ref="W29:W30" si="95">IF(C29=0,0,H29/C29)</f>
        <v>0</v>
      </c>
      <c r="X29" s="114">
        <f t="shared" ref="X29:X30" si="96">IF(D29=0,0,I29/D29)</f>
        <v>0</v>
      </c>
      <c r="Y29" s="114">
        <f t="shared" ref="Y29:Y30" si="97">IF(E29=0,0,J29/E29)</f>
        <v>0</v>
      </c>
      <c r="Z29" s="114">
        <f t="shared" ref="Z29:Z30" si="98">IF(F29=0,0,K29/F29)</f>
        <v>0</v>
      </c>
      <c r="AA29" s="113">
        <f t="shared" si="10"/>
        <v>363212.99113275512</v>
      </c>
      <c r="AB29" s="113">
        <f t="shared" si="11"/>
        <v>256475.32823398858</v>
      </c>
      <c r="AC29" s="113">
        <f t="shared" si="12"/>
        <v>364175.11499785125</v>
      </c>
      <c r="AD29" s="113">
        <f t="shared" si="13"/>
        <v>328134.32078484463</v>
      </c>
      <c r="AE29" s="113">
        <f t="shared" si="14"/>
        <v>328036.44742254057</v>
      </c>
      <c r="AF29" s="106">
        <f t="shared" ref="AF29:AF30" si="99">IF(G29=0,0,L29/G29)</f>
        <v>1.8106425337494323</v>
      </c>
      <c r="AG29" s="106">
        <f t="shared" ref="AG29:AG30" si="100">IF(H29=0,0,M29/H29)</f>
        <v>1.7877697606170415</v>
      </c>
      <c r="AH29" s="106">
        <f t="shared" ref="AH29:AH30" si="101">IF(I29=0,0,N29/I29)</f>
        <v>1.4888750108804765</v>
      </c>
      <c r="AI29" s="106">
        <f t="shared" ref="AI29:AI30" si="102">IF(J29=0,0,O29/J29)</f>
        <v>1.4840061773432802</v>
      </c>
      <c r="AJ29" s="107">
        <f t="shared" ref="AJ29:AJ30" si="103">IF(K29=0,0,P29/K29)</f>
        <v>1.627784495638223</v>
      </c>
      <c r="AK29" s="106">
        <f t="shared" si="20"/>
        <v>54.80407421294349</v>
      </c>
      <c r="AL29" s="106">
        <f t="shared" si="21"/>
        <v>38.20990301342124</v>
      </c>
      <c r="AM29" s="106">
        <f t="shared" si="22"/>
        <v>45.184269025402052</v>
      </c>
      <c r="AN29" s="106">
        <f t="shared" si="23"/>
        <v>40.579446586920916</v>
      </c>
      <c r="AO29" s="108">
        <f t="shared" si="24"/>
        <v>44.497720259887885</v>
      </c>
    </row>
    <row r="30" spans="1:44">
      <c r="A30" s="278" t="s">
        <v>221</v>
      </c>
      <c r="B30" s="289"/>
      <c r="C30" s="289"/>
      <c r="D30" s="289"/>
      <c r="E30" s="289"/>
      <c r="F30" s="289"/>
      <c r="G30" s="351">
        <v>160923.9</v>
      </c>
      <c r="H30" s="351">
        <v>144879.6</v>
      </c>
      <c r="I30" s="351">
        <v>134554.4</v>
      </c>
      <c r="J30" s="351">
        <v>121896.2</v>
      </c>
      <c r="K30" s="112">
        <f t="shared" si="92"/>
        <v>562254.1</v>
      </c>
      <c r="L30" s="105">
        <f>'Schedule 3A_Income Statement'!CO56</f>
        <v>2446388.6964017008</v>
      </c>
      <c r="M30" s="105">
        <f>'Schedule 3A_Income Statement'!CP56</f>
        <v>2526096.7358507202</v>
      </c>
      <c r="N30" s="105">
        <f>'Schedule 3A_Income Statement'!CQ56</f>
        <v>2700324.0446066991</v>
      </c>
      <c r="O30" s="105">
        <f>'Schedule 3A_Income Statement'!CR56</f>
        <v>2872348.6259651254</v>
      </c>
      <c r="P30" s="105">
        <f t="shared" si="93"/>
        <v>10545158.102824247</v>
      </c>
      <c r="Q30" s="287"/>
      <c r="R30" s="287"/>
      <c r="S30" s="287"/>
      <c r="T30" s="287"/>
      <c r="U30" s="287"/>
      <c r="V30" s="114">
        <f t="shared" si="94"/>
        <v>0</v>
      </c>
      <c r="W30" s="114">
        <f t="shared" si="95"/>
        <v>0</v>
      </c>
      <c r="X30" s="114">
        <f t="shared" si="96"/>
        <v>0</v>
      </c>
      <c r="Y30" s="114">
        <f t="shared" si="97"/>
        <v>0</v>
      </c>
      <c r="Z30" s="114">
        <f t="shared" si="98"/>
        <v>0</v>
      </c>
      <c r="AA30" s="113">
        <f t="shared" si="10"/>
        <v>53984.386517352112</v>
      </c>
      <c r="AB30" s="113">
        <f t="shared" si="11"/>
        <v>46461.085496662119</v>
      </c>
      <c r="AC30" s="113">
        <f t="shared" si="12"/>
        <v>41223.829144155614</v>
      </c>
      <c r="AD30" s="113">
        <f t="shared" si="13"/>
        <v>35760.493723997533</v>
      </c>
      <c r="AE30" s="113">
        <f t="shared" si="14"/>
        <v>44022.700093004802</v>
      </c>
      <c r="AF30" s="106">
        <f t="shared" si="99"/>
        <v>15.202146458056889</v>
      </c>
      <c r="AG30" s="106">
        <f t="shared" si="100"/>
        <v>17.435834554007052</v>
      </c>
      <c r="AH30" s="106">
        <f t="shared" si="101"/>
        <v>20.06864171373585</v>
      </c>
      <c r="AI30" s="106">
        <f t="shared" si="102"/>
        <v>23.563889817444068</v>
      </c>
      <c r="AJ30" s="107">
        <f t="shared" si="103"/>
        <v>18.755146654909669</v>
      </c>
      <c r="AK30" s="106">
        <f t="shared" si="20"/>
        <v>68.389879190428204</v>
      </c>
      <c r="AL30" s="106">
        <f t="shared" si="21"/>
        <v>67.507316659948103</v>
      </c>
      <c r="AM30" s="106">
        <f t="shared" si="22"/>
        <v>68.942188096860093</v>
      </c>
      <c r="AN30" s="106">
        <f t="shared" si="23"/>
        <v>70.221361160806495</v>
      </c>
      <c r="AO30" s="108">
        <f t="shared" si="24"/>
        <v>68.804349699117552</v>
      </c>
    </row>
    <row r="31" spans="1:44" ht="13.9" thickBot="1">
      <c r="A31" s="279" t="s">
        <v>1408</v>
      </c>
      <c r="B31" s="290"/>
      <c r="C31" s="290"/>
      <c r="D31" s="290"/>
      <c r="E31" s="290"/>
      <c r="F31" s="290"/>
      <c r="G31" s="352">
        <v>44053</v>
      </c>
      <c r="H31" s="352">
        <v>47931</v>
      </c>
      <c r="I31" s="352">
        <v>50035</v>
      </c>
      <c r="J31" s="352">
        <v>49898</v>
      </c>
      <c r="K31" s="280">
        <f t="shared" ref="K31" si="104">SUM(G31:J31)</f>
        <v>191917</v>
      </c>
      <c r="L31" s="281">
        <f>+'Schedule 3A_Income Statement'!CO40+'Schedule 3A_Income Statement'!CO42+'Schedule 3A_Income Statement'!CO48+'Schedule 3A_Income Statement'!CO55+SUM('Schedule 3A_Income Statement'!CO58:CO61)</f>
        <v>18758183.775737561</v>
      </c>
      <c r="M31" s="281">
        <f>+'Schedule 3A_Income Statement'!CP40+'Schedule 3A_Income Statement'!CP42+'Schedule 3A_Income Statement'!CP48+'Schedule 3A_Income Statement'!CP55+SUM('Schedule 3A_Income Statement'!CP58:CP61)</f>
        <v>20076569.36568027</v>
      </c>
      <c r="N31" s="281">
        <f>+'Schedule 3A_Income Statement'!CQ40+'Schedule 3A_Income Statement'!CQ42+'Schedule 3A_Income Statement'!CQ48+'Schedule 3A_Income Statement'!CQ55+SUM('Schedule 3A_Income Statement'!CQ58:CQ61)</f>
        <v>20880910.467504494</v>
      </c>
      <c r="O31" s="281">
        <f>+'Schedule 3A_Income Statement'!CR40+'Schedule 3A_Income Statement'!CR42+'Schedule 3A_Income Statement'!CR48+'Schedule 3A_Income Statement'!CR55+SUM('Schedule 3A_Income Statement'!CR58:CR61)</f>
        <v>21863119.003950447</v>
      </c>
      <c r="P31" s="281">
        <f t="shared" ref="P31" si="105">SUM(L31:O31)</f>
        <v>81578782.612872779</v>
      </c>
      <c r="Q31" s="288"/>
      <c r="R31" s="288"/>
      <c r="S31" s="288"/>
      <c r="T31" s="288"/>
      <c r="U31" s="288"/>
      <c r="V31" s="283">
        <f t="shared" ref="V31" si="106">IF(B31=0,0,G31/B31)</f>
        <v>0</v>
      </c>
      <c r="W31" s="283">
        <f t="shared" ref="W31" si="107">IF(C31=0,0,H31/C31)</f>
        <v>0</v>
      </c>
      <c r="X31" s="283">
        <f t="shared" ref="X31" si="108">IF(D31=0,0,I31/D31)</f>
        <v>0</v>
      </c>
      <c r="Y31" s="283">
        <f t="shared" ref="Y31" si="109">IF(E31=0,0,J31/E31)</f>
        <v>0</v>
      </c>
      <c r="Z31" s="283">
        <f t="shared" ref="Z31" si="110">IF(F31=0,0,K31/F31)</f>
        <v>0</v>
      </c>
      <c r="AA31" s="282">
        <f t="shared" si="10"/>
        <v>14778.253443080317</v>
      </c>
      <c r="AB31" s="282">
        <f>IF($C$8=0,0,(H31/$C$8)*12000)</f>
        <v>15370.875464458157</v>
      </c>
      <c r="AC31" s="282">
        <f>IF($D$8=0,0,(I31/$D$8)*12000)</f>
        <v>15329.370806364017</v>
      </c>
      <c r="AD31" s="282">
        <f>IF($E$8=0,0,(J31/$E$8)*12000)</f>
        <v>14638.496654038674</v>
      </c>
      <c r="AE31" s="282">
        <f>IF($F$8=0,0,(K31/$F$8)*12000)</f>
        <v>15026.48808385604</v>
      </c>
      <c r="AF31" s="284">
        <f t="shared" si="15"/>
        <v>425.80945169994237</v>
      </c>
      <c r="AG31" s="284">
        <f t="shared" si="16"/>
        <v>418.86397875446517</v>
      </c>
      <c r="AH31" s="284">
        <f t="shared" si="17"/>
        <v>417.32608109332455</v>
      </c>
      <c r="AI31" s="284">
        <f t="shared" si="18"/>
        <v>438.15621876529013</v>
      </c>
      <c r="AJ31" s="285">
        <f t="shared" si="19"/>
        <v>425.07324839838464</v>
      </c>
      <c r="AK31" s="284">
        <f>IF(B$8=0,0,L31/B$8)</f>
        <v>524.39333297340124</v>
      </c>
      <c r="AL31" s="284">
        <f>IF(C$8=0,0,M31/C$8)</f>
        <v>536.52550449852754</v>
      </c>
      <c r="AM31" s="284">
        <f>IF(D$8=0,0,N31/D$8)</f>
        <v>533.11218702052599</v>
      </c>
      <c r="AN31" s="284">
        <f>IF(E$8=0,0,O31/E$8)</f>
        <v>534.49569519516137</v>
      </c>
      <c r="AO31" s="286">
        <f>IF(F$8=0,0,P31/F$8)</f>
        <v>532.27984181869215</v>
      </c>
      <c r="AR31" s="345"/>
    </row>
  </sheetData>
  <sheetProtection algorithmName="SHA-512" hashValue="stwkxwI2kwsG0+L57uSjyavH+ZptfMKYAhj2VJuAYiSTj4Uu90Oai9+pdZtg1KkpevXRYguQIUJlWnaLv9NVvg==" saltValue="jXWoTQXbTbR3vxuTwNwmOA==" spinCount="100000" sheet="1" formatColumns="0"/>
  <mergeCells count="1">
    <mergeCell ref="D1:E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45"/>
  <sheetViews>
    <sheetView topLeftCell="A2" zoomScale="70" zoomScaleNormal="70" workbookViewId="0">
      <selection activeCell="E45" sqref="E45"/>
    </sheetView>
  </sheetViews>
  <sheetFormatPr defaultColWidth="9.28515625" defaultRowHeight="13.15"/>
  <cols>
    <col min="1" max="1" width="67" style="136" customWidth="1"/>
    <col min="2" max="5" width="16.5703125" style="136" customWidth="1"/>
    <col min="6" max="6" width="10.5703125" style="136" customWidth="1"/>
    <col min="7" max="16384" width="9.28515625" style="136"/>
  </cols>
  <sheetData>
    <row r="1" spans="1:15" ht="20.25" customHeight="1">
      <c r="A1" s="17" t="s">
        <v>1409</v>
      </c>
      <c r="E1" s="715"/>
    </row>
    <row r="2" spans="1:15" s="179" customFormat="1" ht="20.25" customHeight="1">
      <c r="A2" s="15" t="s">
        <v>1303</v>
      </c>
      <c r="B2" s="397" t="str">
        <f>'Schedule 2_Balance Sheet'!C2</f>
        <v>Tufts Associated Health Plans, Inc. (TAHMO)</v>
      </c>
      <c r="C2" s="398"/>
      <c r="D2" s="398"/>
      <c r="E2" s="399"/>
      <c r="I2" s="180"/>
      <c r="M2" s="180"/>
      <c r="O2" s="180"/>
    </row>
    <row r="3" spans="1:15" s="179" customFormat="1" ht="20.25" customHeight="1">
      <c r="A3" s="15" t="s">
        <v>1285</v>
      </c>
      <c r="B3" s="520" t="str">
        <f>'Schedule 2_Balance Sheet'!C3</f>
        <v>01/01/2024 - 12/31/2024</v>
      </c>
      <c r="C3" s="521"/>
      <c r="D3" s="521"/>
      <c r="E3" s="522"/>
      <c r="I3" s="180"/>
      <c r="K3" s="180"/>
    </row>
    <row r="4" spans="1:15" s="179" customFormat="1" ht="20.25" customHeight="1">
      <c r="A4" s="15" t="s">
        <v>1306</v>
      </c>
      <c r="B4" s="401">
        <f>'Schedule 2_Balance Sheet'!C4</f>
        <v>45657</v>
      </c>
      <c r="C4" s="398"/>
      <c r="D4" s="398"/>
      <c r="E4" s="399"/>
      <c r="I4" s="180"/>
      <c r="M4" s="180"/>
      <c r="O4" s="180"/>
    </row>
    <row r="5" spans="1:15" s="179" customFormat="1" ht="20.25" customHeight="1">
      <c r="A5" s="15" t="s">
        <v>1307</v>
      </c>
      <c r="B5" s="397" t="str">
        <f>'Schedule 2_Balance Sheet'!C5</f>
        <v>Roshni Parikh</v>
      </c>
      <c r="C5" s="398"/>
      <c r="D5" s="398"/>
      <c r="E5" s="399"/>
      <c r="I5" s="180"/>
      <c r="M5" s="180"/>
      <c r="O5" s="180"/>
    </row>
    <row r="6" spans="1:15" s="179" customFormat="1" ht="20.25" customHeight="1">
      <c r="A6" s="15" t="s">
        <v>1288</v>
      </c>
      <c r="B6" s="401">
        <f>'Schedule 2_Balance Sheet'!C6</f>
        <v>45657</v>
      </c>
      <c r="C6" s="398"/>
      <c r="D6" s="398"/>
      <c r="E6" s="399"/>
      <c r="G6" s="181"/>
      <c r="I6" s="180"/>
      <c r="L6" s="181"/>
      <c r="M6" s="180"/>
      <c r="N6" s="181"/>
      <c r="O6" s="180"/>
    </row>
    <row r="7" spans="1:15">
      <c r="A7" s="14" t="s">
        <v>1309</v>
      </c>
    </row>
    <row r="8" spans="1:15" ht="13.9" thickBot="1">
      <c r="A8" s="26"/>
    </row>
    <row r="9" spans="1:15">
      <c r="A9" s="195" t="s">
        <v>1410</v>
      </c>
      <c r="B9" s="787"/>
      <c r="C9" s="948"/>
      <c r="D9" s="948"/>
      <c r="E9" s="788"/>
    </row>
    <row r="10" spans="1:15">
      <c r="B10" s="76" t="s">
        <v>1411</v>
      </c>
      <c r="C10" s="74" t="s">
        <v>1412</v>
      </c>
      <c r="D10" s="74" t="s">
        <v>1413</v>
      </c>
      <c r="E10" s="77" t="s">
        <v>1414</v>
      </c>
    </row>
    <row r="11" spans="1:15">
      <c r="B11" s="78" t="s">
        <v>1415</v>
      </c>
      <c r="C11" s="75" t="s">
        <v>1415</v>
      </c>
      <c r="D11" s="75" t="s">
        <v>1415</v>
      </c>
      <c r="E11" s="79" t="s">
        <v>1415</v>
      </c>
    </row>
    <row r="12" spans="1:15">
      <c r="A12" s="7" t="s">
        <v>1416</v>
      </c>
      <c r="B12" s="189"/>
      <c r="C12" s="190"/>
      <c r="D12" s="190"/>
      <c r="E12" s="191"/>
    </row>
    <row r="13" spans="1:15" ht="15.75" customHeight="1">
      <c r="A13" s="136" t="s">
        <v>58</v>
      </c>
      <c r="B13" s="56">
        <f>IF('Schedule 2_Balance Sheet'!C48=0,"",'Schedule 3A_Income Statement'!CO92/'Schedule 2_Balance Sheet'!C48)</f>
        <v>6.6640678942945231E-2</v>
      </c>
      <c r="C13" s="45">
        <f>IF('Schedule 2_Balance Sheet'!D48=0,"",'Schedule 3A_Income Statement'!CP92/'Schedule 2_Balance Sheet'!D48)</f>
        <v>-2.9308431733728546E-2</v>
      </c>
      <c r="D13" s="45">
        <f>IF('Schedule 2_Balance Sheet'!E48=0,"",'Schedule 3A_Income Statement'!CQ92/'Schedule 2_Balance Sheet'!E48)</f>
        <v>-1.3425820838144554E-2</v>
      </c>
      <c r="E13" s="55">
        <f>IF('Schedule 2_Balance Sheet'!F48=0,"",'Schedule 3A_Income Statement'!CR92/'Schedule 2_Balance Sheet'!F48)</f>
        <v>-5.7355508510976663E-2</v>
      </c>
    </row>
    <row r="14" spans="1:15" ht="15.75" customHeight="1">
      <c r="A14" s="136" t="s">
        <v>169</v>
      </c>
      <c r="B14" s="56">
        <f>IF('Schedule 3A_Income Statement'!CO32=0,"",'Schedule 3A_Income Statement'!CO92/'Schedule 3A_Income Statement'!CO32)</f>
        <v>5.5208217277830304E-2</v>
      </c>
      <c r="C14" s="45">
        <f>IF('Schedule 3A_Income Statement'!CP32=0,"",'Schedule 3A_Income Statement'!CP92/'Schedule 3A_Income Statement'!CP32)</f>
        <v>-2.7359095848457419E-2</v>
      </c>
      <c r="D14" s="45">
        <f>IF('Schedule 3A_Income Statement'!CQ32=0,"",'Schedule 3A_Income Statement'!CQ92/'Schedule 3A_Income Statement'!CQ32)</f>
        <v>-1.1051445919423359E-2</v>
      </c>
      <c r="E14" s="55">
        <f>IF('Schedule 3A_Income Statement'!CR32=0,"",'Schedule 3A_Income Statement'!CR92/'Schedule 3A_Income Statement'!CR32)</f>
        <v>-2.833996382305266E-2</v>
      </c>
    </row>
    <row r="15" spans="1:15" ht="15.75" customHeight="1">
      <c r="A15" s="136" t="s">
        <v>1417</v>
      </c>
      <c r="B15" s="56">
        <f>IF('Schedule 2_Balance Sheet'!C93=0,"",'Schedule 3A_Income Statement'!CO92/'Schedule 2_Balance Sheet'!C93)</f>
        <v>0.12153726013335672</v>
      </c>
      <c r="C15" s="45">
        <f>IF('Schedule 2_Balance Sheet'!D93=0,"",'Schedule 3A_Income Statement'!CP92/'Schedule 2_Balance Sheet'!D93)</f>
        <v>-5.8043178678186688E-2</v>
      </c>
      <c r="D15" s="45">
        <f>IF('Schedule 2_Balance Sheet'!E93=0,"",'Schedule 3A_Income Statement'!CQ92/'Schedule 2_Balance Sheet'!E93)</f>
        <v>-2.5389846951594026E-2</v>
      </c>
      <c r="E15" s="55">
        <f>IF('Schedule 2_Balance Sheet'!F93=0,"",'Schedule 3A_Income Statement'!CR92/'Schedule 2_Balance Sheet'!F93)</f>
        <v>-6.5763821357947186E-2</v>
      </c>
    </row>
    <row r="16" spans="1:15" ht="15.75" customHeight="1">
      <c r="B16" s="192"/>
      <c r="C16" s="193"/>
      <c r="D16" s="193"/>
      <c r="E16" s="194"/>
    </row>
    <row r="17" spans="1:9" ht="15.75" customHeight="1">
      <c r="A17" s="7" t="s">
        <v>1418</v>
      </c>
      <c r="B17" s="192"/>
      <c r="C17" s="193"/>
      <c r="D17" s="193"/>
      <c r="E17" s="194"/>
    </row>
    <row r="18" spans="1:9" ht="15.75" customHeight="1">
      <c r="A18" s="136" t="s">
        <v>1419</v>
      </c>
      <c r="B18" s="57">
        <f>IF('Schedule 2_Balance Sheet'!C67=0,"",'Schedule 2_Balance Sheet'!C22/'Schedule 2_Balance Sheet'!C67)</f>
        <v>2.2187310149078137</v>
      </c>
      <c r="C18" s="46">
        <f>IF('Schedule 2_Balance Sheet'!D67=0,"",'Schedule 2_Balance Sheet'!D22/'Schedule 2_Balance Sheet'!D67)</f>
        <v>2.0237757453282308</v>
      </c>
      <c r="D18" s="46">
        <f>IF('Schedule 2_Balance Sheet'!E67=0,"",'Schedule 2_Balance Sheet'!E22/'Schedule 2_Balance Sheet'!E67)</f>
        <v>2.1276339981660977</v>
      </c>
      <c r="E18" s="58">
        <f>IF('Schedule 2_Balance Sheet'!F67=0,"",'Schedule 2_Balance Sheet'!F22/'Schedule 2_Balance Sheet'!F67)</f>
        <v>7.9310275044454439</v>
      </c>
    </row>
    <row r="19" spans="1:9" ht="15.75" customHeight="1">
      <c r="A19" s="136" t="s">
        <v>1420</v>
      </c>
      <c r="B19" s="57">
        <f>IF('Schedule 2_Balance Sheet'!C67=0,"",'Schedule 2_Balance Sheet'!C11/'Schedule 2_Balance Sheet'!C67)</f>
        <v>1.4782139504313145</v>
      </c>
      <c r="C19" s="46">
        <f>IF('Schedule 2_Balance Sheet'!D67=0,"",'Schedule 2_Balance Sheet'!D11/'Schedule 2_Balance Sheet'!D67)</f>
        <v>1.7237487001535083</v>
      </c>
      <c r="D19" s="46">
        <f>IF('Schedule 2_Balance Sheet'!E67=0,"",'Schedule 2_Balance Sheet'!E11/'Schedule 2_Balance Sheet'!E67)</f>
        <v>1.7228392074610637</v>
      </c>
      <c r="E19" s="58">
        <f>IF('Schedule 2_Balance Sheet'!F67=0,"",'Schedule 2_Balance Sheet'!F11/'Schedule 2_Balance Sheet'!F67)</f>
        <v>5.4007654486960064</v>
      </c>
    </row>
    <row r="20" spans="1:9" ht="15.75" customHeight="1">
      <c r="A20" s="136" t="s">
        <v>1421</v>
      </c>
      <c r="B20" s="225">
        <f>IF(('Schedule 2_Balance Sheet'!C67-'Schedule 2_Balance Sheet'!C58-SUM('Schedule 2_Balance Sheet'!C62:C65))=0,"",'Schedule 2_Balance Sheet'!C11/('Schedule 2_Balance Sheet'!C67-'Schedule 2_Balance Sheet'!C58-SUM('Schedule 2_Balance Sheet'!C62:C65)))</f>
        <v>1.6051660429565089</v>
      </c>
      <c r="C20" s="46">
        <f>IF(('Schedule 2_Balance Sheet'!D67-'Schedule 2_Balance Sheet'!D58-SUM('Schedule 2_Balance Sheet'!D62:D65))=0,"",'Schedule 2_Balance Sheet'!D11/('Schedule 2_Balance Sheet'!D67-'Schedule 2_Balance Sheet'!D58-SUM('Schedule 2_Balance Sheet'!D62:D65)))</f>
        <v>1.9624515236716553</v>
      </c>
      <c r="D20" s="46">
        <f>IF(('Schedule 2_Balance Sheet'!E67-'Schedule 2_Balance Sheet'!E58-SUM('Schedule 2_Balance Sheet'!E62:E65))=0,"",'Schedule 2_Balance Sheet'!E11/('Schedule 2_Balance Sheet'!E67-'Schedule 2_Balance Sheet'!E58-SUM('Schedule 2_Balance Sheet'!E62:E65)))</f>
        <v>1.7556220905344337</v>
      </c>
      <c r="E20" s="58">
        <f>IF(('Schedule 2_Balance Sheet'!F67-'Schedule 2_Balance Sheet'!F58-SUM('Schedule 2_Balance Sheet'!F62:F65))=0,"",'Schedule 2_Balance Sheet'!F11/('Schedule 2_Balance Sheet'!F67-'Schedule 2_Balance Sheet'!F58-SUM('Schedule 2_Balance Sheet'!F62:F65)))</f>
        <v>7.4348423084553046</v>
      </c>
    </row>
    <row r="21" spans="1:9" ht="15.75" customHeight="1">
      <c r="A21" s="136" t="s">
        <v>1422</v>
      </c>
      <c r="B21" s="57">
        <f>IF('Schedule 3A_Income Statement'!CO66=0,"",'Schedule 2_Balance Sheet'!C58/('Schedule 3A_Income Statement'!CO66/90))</f>
        <v>1.3127907928879188</v>
      </c>
      <c r="C21" s="46">
        <f>IF('Schedule 3A_Income Statement'!CP66=0,"",'Schedule 2_Balance Sheet'!D58/('Schedule 3A_Income Statement'!CP66/90))</f>
        <v>4.0745514775054694</v>
      </c>
      <c r="D21" s="46">
        <f>IF('Schedule 3A_Income Statement'!CQ66=0,"",'Schedule 2_Balance Sheet'!E58/('Schedule 3A_Income Statement'!CQ66/90))</f>
        <v>0.61550622103234043</v>
      </c>
      <c r="E21" s="58">
        <f>IF('Schedule 3A_Income Statement'!CR66=0,"",'Schedule 2_Balance Sheet'!F58/('Schedule 3A_Income Statement'!CR66/90))</f>
        <v>3.5124808662306841E-3</v>
      </c>
      <c r="F21" s="20"/>
      <c r="G21" s="20"/>
      <c r="H21" s="20"/>
      <c r="I21" s="20"/>
    </row>
    <row r="22" spans="1:9" ht="15.75" customHeight="1">
      <c r="A22" s="136" t="s">
        <v>1423</v>
      </c>
      <c r="B22" s="47">
        <f>IF('Schedule 3A_Income Statement'!CO32=0,"",('Schedule 2_Balance Sheet'!C56+'Schedule 2_Balance Sheet'!C57)/'Schedule 3A_Income Statement'!CO32)</f>
        <v>0</v>
      </c>
      <c r="C22" s="48">
        <f>IF('Schedule 3A_Income Statement'!CP32=0,"",('Schedule 2_Balance Sheet'!D56+'Schedule 2_Balance Sheet'!D57)/'Schedule 3A_Income Statement'!CP32)</f>
        <v>0</v>
      </c>
      <c r="D22" s="48">
        <f>IF('Schedule 3A_Income Statement'!CQ32=0,"",('Schedule 2_Balance Sheet'!E56+'Schedule 2_Balance Sheet'!E57)/'Schedule 3A_Income Statement'!CQ32)</f>
        <v>0</v>
      </c>
      <c r="E22" s="49">
        <f>IF('Schedule 3A_Income Statement'!CR32=0,"",('Schedule 2_Balance Sheet'!F56+'Schedule 2_Balance Sheet'!F57)/'Schedule 3A_Income Statement'!CR32)</f>
        <v>0</v>
      </c>
    </row>
    <row r="23" spans="1:9" ht="15.75" customHeight="1">
      <c r="B23" s="192"/>
      <c r="C23" s="193"/>
      <c r="D23" s="193"/>
      <c r="E23" s="194"/>
    </row>
    <row r="24" spans="1:9" ht="15.75" customHeight="1">
      <c r="A24" s="7" t="s">
        <v>1424</v>
      </c>
      <c r="B24" s="192"/>
      <c r="C24" s="193"/>
      <c r="D24" s="193"/>
      <c r="E24" s="194"/>
    </row>
    <row r="25" spans="1:9" ht="15.75" customHeight="1">
      <c r="A25" s="136" t="s">
        <v>1425</v>
      </c>
      <c r="B25" s="21">
        <v>0</v>
      </c>
      <c r="C25" s="22">
        <v>0</v>
      </c>
      <c r="D25" s="22">
        <v>0</v>
      </c>
      <c r="E25" s="23">
        <v>0</v>
      </c>
    </row>
    <row r="26" spans="1:9" ht="15.75" customHeight="1">
      <c r="A26" s="136" t="s">
        <v>1426</v>
      </c>
      <c r="B26" s="50" t="s">
        <v>597</v>
      </c>
      <c r="C26" s="51" t="s">
        <v>597</v>
      </c>
      <c r="D26" s="51" t="s">
        <v>597</v>
      </c>
      <c r="E26" s="52" t="s">
        <v>597</v>
      </c>
    </row>
    <row r="27" spans="1:9" ht="15.75" customHeight="1">
      <c r="A27" s="136" t="s">
        <v>1427</v>
      </c>
      <c r="B27" s="59">
        <f>IF('Schedule 2_Balance Sheet'!C22=0,"",SUM('Schedule 2_Balance Sheet'!C13:C15)/'Schedule 2_Balance Sheet'!C22)</f>
        <v>0.13056384406609561</v>
      </c>
      <c r="C27" s="53">
        <f>IF('Schedule 2_Balance Sheet'!D22=0,"",SUM('Schedule 2_Balance Sheet'!D13:D15)/'Schedule 2_Balance Sheet'!D22)</f>
        <v>4.4821918520564774E-2</v>
      </c>
      <c r="D27" s="53">
        <f>IF('Schedule 2_Balance Sheet'!E22=0,"",SUM('Schedule 2_Balance Sheet'!E13:E15)/'Schedule 2_Balance Sheet'!E22)</f>
        <v>4.8001235375439447E-2</v>
      </c>
      <c r="E27" s="60">
        <f>IF('Schedule 2_Balance Sheet'!F22=0,"",SUM('Schedule 2_Balance Sheet'!F13:F15)/'Schedule 2_Balance Sheet'!F22)</f>
        <v>0.13039202668351452</v>
      </c>
    </row>
    <row r="28" spans="1:9" ht="15.75" customHeight="1">
      <c r="A28" s="136" t="s">
        <v>1428</v>
      </c>
      <c r="B28" s="59">
        <f>IF('Schedule 2_Balance Sheet'!C22=0,"",SUM('Schedule 2_Balance Sheet'!C11)/'Schedule 2_Balance Sheet'!C22)</f>
        <v>0.66624297424928403</v>
      </c>
      <c r="C28" s="53">
        <f>IF('Schedule 2_Balance Sheet'!D22=0,"",SUM('Schedule 2_Balance Sheet'!D11)/'Schedule 2_Balance Sheet'!D22)</f>
        <v>0.85174886799225769</v>
      </c>
      <c r="D28" s="53">
        <f>IF('Schedule 2_Balance Sheet'!E22=0,"",SUM('Schedule 2_Balance Sheet'!E11)/'Schedule 2_Balance Sheet'!E22)</f>
        <v>0.80974416132946536</v>
      </c>
      <c r="E28" s="60">
        <f>IF('Schedule 2_Balance Sheet'!F22=0,"",SUM('Schedule 2_Balance Sheet'!F11)/'Schedule 2_Balance Sheet'!F22)</f>
        <v>0.68096667747890272</v>
      </c>
    </row>
    <row r="29" spans="1:9" ht="15.75" customHeight="1">
      <c r="A29" s="136" t="s">
        <v>1429</v>
      </c>
      <c r="B29" s="275">
        <f>IF('Schedule 1_Enrollment'!L15=0,"",'Schedule 2_Balance Sheet'!C93/('Schedule 1_Enrollment'!L15/3))</f>
        <v>6269.4950583528662</v>
      </c>
      <c r="C29" s="182">
        <f>IF('Schedule 1_Enrollment'!L22=0,"",'Schedule 2_Balance Sheet'!D93/('Schedule 1_Enrollment'!L22/3))</f>
        <v>5991.2158875046116</v>
      </c>
      <c r="D29" s="182">
        <f>IF('Schedule 1_Enrollment'!L29=0,"",'Schedule 2_Balance Sheet'!E93/('Schedule 1_Enrollment'!L29/3))</f>
        <v>5700.988937471875</v>
      </c>
      <c r="E29" s="60">
        <f>IF('Schedule 1_Enrollment'!L36=0,"",'Schedule 2_Balance Sheet'!F93/('Schedule 1_Enrollment'!L36/3))</f>
        <v>5672.1723720079208</v>
      </c>
    </row>
    <row r="30" spans="1:9" ht="15.75" customHeight="1">
      <c r="B30" s="192"/>
      <c r="C30" s="193"/>
      <c r="D30" s="193"/>
      <c r="E30" s="194"/>
    </row>
    <row r="31" spans="1:9" ht="15.75" customHeight="1">
      <c r="A31" s="7" t="s">
        <v>1430</v>
      </c>
      <c r="B31" s="192"/>
      <c r="C31" s="193"/>
      <c r="D31" s="193"/>
      <c r="E31" s="194"/>
    </row>
    <row r="32" spans="1:9" ht="15.75" customHeight="1">
      <c r="A32" s="136" t="s">
        <v>1431</v>
      </c>
      <c r="B32" s="225">
        <f>IF('Schedule 3A_Income Statement'!CO23=0,"",'Schedule 2_Balance Sheet'!C13/('Schedule 3A_Income Statement'!CO23/90))</f>
        <v>9.8784055591424309</v>
      </c>
      <c r="C32" s="273">
        <f>IF('Schedule 3A_Income Statement'!CP23=0,"",'Schedule 2_Balance Sheet'!D13/('Schedule 3A_Income Statement'!CP23/90))</f>
        <v>3.8156438374175221</v>
      </c>
      <c r="D32" s="273">
        <f>IF('Schedule 3A_Income Statement'!CQ23=0,"",'Schedule 2_Balance Sheet'!E13/('Schedule 3A_Income Statement'!CQ23/90))</f>
        <v>3.6043182373875053</v>
      </c>
      <c r="E32" s="274">
        <f>IF('Schedule 3A_Income Statement'!CR23=0,"",'Schedule 2_Balance Sheet'!F13/('Schedule 3A_Income Statement'!CR23/90))</f>
        <v>5.9251722823370478</v>
      </c>
    </row>
    <row r="33" spans="1:5" ht="15.75" customHeight="1">
      <c r="B33" s="192"/>
      <c r="C33" s="193"/>
      <c r="D33" s="193"/>
      <c r="E33" s="194"/>
    </row>
    <row r="34" spans="1:5" ht="15.75" customHeight="1">
      <c r="A34" s="7" t="s">
        <v>1432</v>
      </c>
      <c r="B34" s="192"/>
      <c r="C34" s="193"/>
      <c r="D34" s="193"/>
      <c r="E34" s="194"/>
    </row>
    <row r="35" spans="1:5" ht="15.75" customHeight="1">
      <c r="A35" s="136" t="s">
        <v>1433</v>
      </c>
      <c r="B35" s="59">
        <f>IF('Schedule 3A_Income Statement'!CO32=0,"",'Schedule 3A_Income Statement'!CO92/'Schedule 3A_Income Statement'!CO32)</f>
        <v>5.5208217277830304E-2</v>
      </c>
      <c r="C35" s="53">
        <f>IF('Schedule 3A_Income Statement'!CP32=0,"",'Schedule 3A_Income Statement'!CP92/'Schedule 3A_Income Statement'!CP32)</f>
        <v>-2.7359095848457419E-2</v>
      </c>
      <c r="D35" s="53">
        <f>IF('Schedule 3A_Income Statement'!CQ32=0,"",'Schedule 3A_Income Statement'!CQ92/'Schedule 3A_Income Statement'!CQ32)</f>
        <v>-1.1051445919423359E-2</v>
      </c>
      <c r="E35" s="60">
        <f>IF('Schedule 3A_Income Statement'!CR32=0,"",'Schedule 3A_Income Statement'!CR92/'Schedule 3A_Income Statement'!CR32)</f>
        <v>-2.833996382305266E-2</v>
      </c>
    </row>
    <row r="36" spans="1:5" ht="15.75" customHeight="1">
      <c r="A36" s="136" t="s">
        <v>1434</v>
      </c>
      <c r="B36" s="59">
        <f>IF('Schedule 3A_Income Statement'!CO32= 0,"",('Schedule 3A_Income Statement'!CO32-'Schedule 3A_Income Statement'!CO66) /'Schedule 3A_Income Statement'!CO32)</f>
        <v>0.16627456745234295</v>
      </c>
      <c r="C36" s="53">
        <f>IF('Schedule 3A_Income Statement'!CP32= 0,"",('Schedule 3A_Income Statement'!CP32-'Schedule 3A_Income Statement'!CP66) /'Schedule 3A_Income Statement'!CP32)</f>
        <v>9.5270989718418506E-2</v>
      </c>
      <c r="D36" s="53">
        <f>IF('Schedule 3A_Income Statement'!CQ32= 0,"",('Schedule 3A_Income Statement'!CQ32-'Schedule 3A_Income Statement'!CQ66) /'Schedule 3A_Income Statement'!CQ32)</f>
        <v>0.11215870100524075</v>
      </c>
      <c r="E36" s="60">
        <f>IF('Schedule 3A_Income Statement'!CR32= 0,"",('Schedule 3A_Income Statement'!CR32-'Schedule 3A_Income Statement'!CR66) /'Schedule 3A_Income Statement'!CR32)</f>
        <v>9.3822616552757421E-2</v>
      </c>
    </row>
    <row r="37" spans="1:5" ht="15.75" customHeight="1">
      <c r="A37" s="136" t="s">
        <v>145</v>
      </c>
      <c r="B37" s="61">
        <f>'Schedule 2_Balance Sheet'!C93</f>
        <v>74755807.069999993</v>
      </c>
      <c r="C37" s="54">
        <f>'Schedule 2_Balance Sheet'!D93</f>
        <v>74729632.510000035</v>
      </c>
      <c r="D37" s="54">
        <f>'Schedule 2_Balance Sheet'!E93</f>
        <v>74432012.922013372</v>
      </c>
      <c r="E37" s="62">
        <f>'Schedule 2_Balance Sheet'!F93</f>
        <v>77338558.380000025</v>
      </c>
    </row>
    <row r="38" spans="1:5" ht="15.75" customHeight="1">
      <c r="A38" s="136" t="s">
        <v>274</v>
      </c>
      <c r="B38" s="59">
        <f>IF('Schedule 3A_Income Statement'!CO32-'Schedule 3A_Income Statement'!CO28-'Schedule 3A_Income Statement'!CO25=0,"",('Schedule 3A_Income Statement'!CO66+'Schedule 3A_Income Statement'!CO73-'Schedule 3A_Income Statement'!CO64)/('Schedule 3A_Income Statement'!CO32-'Schedule 3A_Income Statement'!CO28-'Schedule 3A_Income Statement'!CO25))</f>
        <v>0.86986714304262991</v>
      </c>
      <c r="C38" s="53">
        <f>IF('Schedule 3A_Income Statement'!CP32-'Schedule 3A_Income Statement'!CP28-'Schedule 3A_Income Statement'!CP25=0,"",('Schedule 3A_Income Statement'!CP66+'Schedule 3A_Income Statement'!CP73-'Schedule 3A_Income Statement'!CP64)/('Schedule 3A_Income Statement'!CP32-'Schedule 3A_Income Statement'!CP28-'Schedule 3A_Income Statement'!CP25))</f>
        <v>0.94426506735674776</v>
      </c>
      <c r="D38" s="53">
        <f>IF('Schedule 3A_Income Statement'!CQ32-'Schedule 3A_Income Statement'!CQ28-'Schedule 3A_Income Statement'!CQ25=0,"",('Schedule 3A_Income Statement'!CQ66+'Schedule 3A_Income Statement'!CQ73-'Schedule 3A_Income Statement'!CQ64)/('Schedule 3A_Income Statement'!CQ32-'Schedule 3A_Income Statement'!CQ28-'Schedule 3A_Income Statement'!CQ25))</f>
        <v>0.92503922770937175</v>
      </c>
      <c r="E38" s="60">
        <f>IF('Schedule 3A_Income Statement'!CR32-'Schedule 3A_Income Statement'!CR28-'Schedule 3A_Income Statement'!CR25=0,"",('Schedule 3A_Income Statement'!CR66+'Schedule 3A_Income Statement'!CR73-'Schedule 3A_Income Statement'!CR64)/('Schedule 3A_Income Statement'!CR32-'Schedule 3A_Income Statement'!CR28-'Schedule 3A_Income Statement'!CR25))</f>
        <v>0.9507040076964226</v>
      </c>
    </row>
    <row r="39" spans="1:5" ht="15.75" customHeight="1">
      <c r="A39" s="136" t="s">
        <v>1435</v>
      </c>
      <c r="B39" s="591">
        <f>IF('Schedule 1_Enrollment'!L15=0,"",'Schedule 3A_Income Statement'!CO66/'Schedule 1_Enrollment'!L15)</f>
        <v>3835.6597693981116</v>
      </c>
      <c r="C39" s="592">
        <f>IF('Schedule 1_Enrollment'!L22=0,"",'Schedule 3A_Income Statement'!CP66/'Schedule 1_Enrollment'!L22)</f>
        <v>3833.2017522866595</v>
      </c>
      <c r="D39" s="592">
        <f>IF('Schedule 1_Enrollment'!L29=0,"",'Schedule 3A_Income Statement'!CQ66/'Schedule 1_Enrollment'!L29)</f>
        <v>3876.1918727354409</v>
      </c>
      <c r="E39" s="593">
        <f>IF('Schedule 1_Enrollment'!L36=0,"",'Schedule 3A_Income Statement'!CR66/'Schedule 1_Enrollment'!L36)</f>
        <v>3975.8421506237019</v>
      </c>
    </row>
    <row r="40" spans="1:5" ht="15.75" customHeight="1" thickBot="1">
      <c r="A40" s="136" t="s">
        <v>278</v>
      </c>
      <c r="B40" s="63">
        <f>IF('Schedule 3A_Income Statement'!CO32-'Schedule 3A_Income Statement'!CO28=0,"",'Schedule 3A_Income Statement'!CO88/('Schedule 3A_Income Statement'!CO32-'Schedule 3A_Income Statement'!CO28))</f>
        <v>7.745302652484734E-2</v>
      </c>
      <c r="C40" s="64">
        <f>IF('Schedule 3A_Income Statement'!CP32-'Schedule 3A_Income Statement'!CP28=0,"",'Schedule 3A_Income Statement'!CP88/('Schedule 3A_Income Statement'!CP32-'Schedule 3A_Income Statement'!CP28))</f>
        <v>8.5909469418074411E-2</v>
      </c>
      <c r="D40" s="64">
        <f>IF('Schedule 3A_Income Statement'!CQ32-'Schedule 3A_Income Statement'!CQ28=0,"",'Schedule 3A_Income Statement'!CQ88/('Schedule 3A_Income Statement'!CQ32-'Schedule 3A_Income Statement'!CQ28))</f>
        <v>8.8569356383418674E-2</v>
      </c>
      <c r="E40" s="65">
        <f>IF('Schedule 3A_Income Statement'!CR32-'Schedule 3A_Income Statement'!CR28=0,"",'Schedule 3A_Income Statement'!CR88/('Schedule 3A_Income Statement'!CR32-'Schedule 3A_Income Statement'!CR28))</f>
        <v>8.8165351107012055E-2</v>
      </c>
    </row>
    <row r="41" spans="1:5">
      <c r="B41" s="24" t="s">
        <v>1436</v>
      </c>
      <c r="C41" s="24" t="s">
        <v>1436</v>
      </c>
      <c r="D41" s="24" t="s">
        <v>1436</v>
      </c>
      <c r="E41" s="24" t="s">
        <v>1436</v>
      </c>
    </row>
    <row r="42" spans="1:5">
      <c r="A42" s="7" t="s">
        <v>397</v>
      </c>
    </row>
    <row r="43" spans="1:5">
      <c r="A43" s="136" t="s">
        <v>1437</v>
      </c>
    </row>
    <row r="44" spans="1:5">
      <c r="A44" s="136" t="s">
        <v>1438</v>
      </c>
    </row>
    <row r="45" spans="1:5">
      <c r="A45" s="136" t="s">
        <v>1439</v>
      </c>
    </row>
  </sheetData>
  <sheetProtection algorithmName="SHA-512" hashValue="jPeWcZ4myaUoOO7O9Z1VSG+IGVHZXz3N0ksHTbzFfMGEfos6YufDbfpYHInPIb1saJs6FZGq+/qaNwQwj4hpMg==" saltValue="SCexjINLVoA+bljEb4q5Mw==" spinCount="100000" sheet="1" objects="1" scenarios="1" formatColumns="0"/>
  <mergeCells count="1">
    <mergeCell ref="B9:E9"/>
  </mergeCells>
  <phoneticPr fontId="0" type="noConversion"/>
  <pageMargins left="0.7" right="0.7" top="0.75" bottom="0.75" header="0.3" footer="0.3"/>
  <pageSetup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K64"/>
  <sheetViews>
    <sheetView topLeftCell="A24" zoomScale="90" zoomScaleNormal="90" workbookViewId="0">
      <selection activeCell="I51" sqref="I51"/>
    </sheetView>
  </sheetViews>
  <sheetFormatPr defaultColWidth="9.28515625" defaultRowHeight="13.15"/>
  <cols>
    <col min="1" max="1" width="50.28515625" style="136" customWidth="1"/>
    <col min="2" max="2" width="17.28515625" style="136" customWidth="1"/>
    <col min="3" max="3" width="20.28515625" style="136" customWidth="1"/>
    <col min="4" max="5" width="17.28515625" style="136" customWidth="1"/>
    <col min="6" max="9" width="14.5703125" style="136" customWidth="1"/>
    <col min="10" max="10" width="15" style="136" customWidth="1"/>
    <col min="11" max="11" width="11.28515625" style="136" bestFit="1" customWidth="1"/>
    <col min="12" max="16384" width="9.28515625" style="136"/>
  </cols>
  <sheetData>
    <row r="1" spans="1:10" ht="20.25" customHeight="1">
      <c r="A1" s="17" t="s">
        <v>1440</v>
      </c>
      <c r="B1" s="196"/>
      <c r="C1" s="196"/>
      <c r="E1" s="715"/>
      <c r="G1" s="197"/>
    </row>
    <row r="2" spans="1:10" ht="20.25" customHeight="1">
      <c r="A2" s="15" t="s">
        <v>1303</v>
      </c>
      <c r="B2" s="397" t="str">
        <f>'Schedule 2_Balance Sheet'!C2</f>
        <v>Tufts Associated Health Plans, Inc. (TAHMO)</v>
      </c>
      <c r="C2" s="398"/>
      <c r="D2" s="398"/>
      <c r="E2" s="398"/>
      <c r="F2" s="399"/>
      <c r="H2" s="18"/>
      <c r="I2" s="19"/>
    </row>
    <row r="3" spans="1:10" ht="20.25" customHeight="1">
      <c r="A3" s="15" t="s">
        <v>1285</v>
      </c>
      <c r="B3" s="520" t="str">
        <f>'Schedule 2_Balance Sheet'!C3</f>
        <v>01/01/2024 - 12/31/2024</v>
      </c>
      <c r="C3" s="521"/>
      <c r="D3" s="521"/>
      <c r="E3" s="521"/>
      <c r="F3" s="522"/>
      <c r="H3" s="18"/>
      <c r="I3" s="19"/>
    </row>
    <row r="4" spans="1:10" ht="20.25" customHeight="1">
      <c r="A4" s="15" t="s">
        <v>1306</v>
      </c>
      <c r="B4" s="401">
        <f>'Schedule 2_Balance Sheet'!C4</f>
        <v>45657</v>
      </c>
      <c r="C4" s="398"/>
      <c r="D4" s="398"/>
      <c r="E4" s="398"/>
      <c r="F4" s="399"/>
      <c r="H4" s="18"/>
      <c r="I4" s="19"/>
    </row>
    <row r="5" spans="1:10" ht="20.25" customHeight="1">
      <c r="A5" s="15" t="s">
        <v>1307</v>
      </c>
      <c r="B5" s="397" t="str">
        <f>'Schedule 2_Balance Sheet'!C5</f>
        <v>Roshni Parikh</v>
      </c>
      <c r="C5" s="398"/>
      <c r="D5" s="398"/>
      <c r="E5" s="398"/>
      <c r="F5" s="399"/>
    </row>
    <row r="6" spans="1:10" ht="20.25" customHeight="1">
      <c r="A6" s="15" t="s">
        <v>1288</v>
      </c>
      <c r="B6" s="401">
        <f>'Schedule 2_Balance Sheet'!C6</f>
        <v>45657</v>
      </c>
      <c r="C6" s="398"/>
      <c r="D6" s="398"/>
      <c r="E6" s="398"/>
      <c r="F6" s="399"/>
      <c r="H6" s="198"/>
    </row>
    <row r="7" spans="1:10">
      <c r="A7" s="230" t="s">
        <v>1309</v>
      </c>
      <c r="B7" s="196"/>
      <c r="C7" s="196"/>
      <c r="H7" s="198"/>
    </row>
    <row r="8" spans="1:10">
      <c r="A8" s="7" t="s">
        <v>1441</v>
      </c>
      <c r="B8" s="196"/>
      <c r="C8" s="196"/>
      <c r="H8" s="198"/>
    </row>
    <row r="9" spans="1:10">
      <c r="B9" s="810" t="s">
        <v>1442</v>
      </c>
      <c r="C9" s="811"/>
      <c r="D9" s="811"/>
      <c r="E9" s="812"/>
      <c r="F9" s="811" t="s">
        <v>1443</v>
      </c>
      <c r="G9" s="811"/>
      <c r="H9" s="811"/>
      <c r="I9" s="813"/>
    </row>
    <row r="10" spans="1:10">
      <c r="A10" s="26"/>
      <c r="B10" s="80" t="s">
        <v>1291</v>
      </c>
      <c r="C10" s="80" t="s">
        <v>1298</v>
      </c>
      <c r="D10" s="80" t="s">
        <v>1299</v>
      </c>
      <c r="E10" s="712" t="s">
        <v>1300</v>
      </c>
      <c r="F10" s="80" t="s">
        <v>1291</v>
      </c>
      <c r="G10" s="80" t="s">
        <v>1298</v>
      </c>
      <c r="H10" s="80" t="s">
        <v>1299</v>
      </c>
      <c r="I10" s="713" t="s">
        <v>1300</v>
      </c>
      <c r="J10" s="199"/>
    </row>
    <row r="11" spans="1:10" ht="16.5" customHeight="1">
      <c r="A11" s="136" t="s">
        <v>1444</v>
      </c>
      <c r="B11" s="54">
        <f>'Schedule 2_Balance Sheet'!C11</f>
        <v>90833825.569999993</v>
      </c>
      <c r="C11" s="54">
        <f>'Schedule 2_Balance Sheet'!D11</f>
        <v>126055854.11000001</v>
      </c>
      <c r="D11" s="54">
        <f>'Schedule 2_Balance Sheet'!E11</f>
        <v>113979520.31</v>
      </c>
      <c r="E11" s="54">
        <f>'Schedule 2_Balance Sheet'!F11</f>
        <v>60385663.060000002</v>
      </c>
      <c r="F11" s="367"/>
      <c r="G11" s="367"/>
      <c r="H11" s="367"/>
      <c r="I11" s="367"/>
    </row>
    <row r="12" spans="1:10" ht="16.5" customHeight="1">
      <c r="A12" s="135" t="s">
        <v>1445</v>
      </c>
      <c r="B12" s="54">
        <f>'Schedule 2_Balance Sheet'!C48-'Schedule 2_Balance Sheet'!C29+(IF(B11&lt;500000,IF('Schedule 2_Balance Sheet'!C29&gt;(0.1*800000),(0.1*800000),'Schedule 2_Balance Sheet'!C29),IF('Schedule 2_Balance Sheet'!C29&gt;(0.2*800000),(0.2*800000),'Schedule 2_Balance Sheet'!C29)))</f>
        <v>136337386.03</v>
      </c>
      <c r="C12" s="54">
        <f>'Schedule 2_Balance Sheet'!D48-'Schedule 2_Balance Sheet'!D29+(IF(C11&lt;500000,IF('Schedule 2_Balance Sheet'!D29&gt;(0.1*800000),(0.1*800000),'Schedule 2_Balance Sheet'!D29),IF('Schedule 2_Balance Sheet'!D29&gt;(0.2*800000),(0.2*800000),'Schedule 2_Balance Sheet'!D29)))</f>
        <v>147996503.25000003</v>
      </c>
      <c r="D12" s="54">
        <f>'Schedule 2_Balance Sheet'!E48-'Schedule 2_Balance Sheet'!E29+(IF(D11&lt;500000,IF('Schedule 2_Balance Sheet'!E29&gt;(0.1*800000),(0.1*800000),'Schedule 2_Balance Sheet'!E29),IF('Schedule 2_Balance Sheet'!E29&gt;(0.2*800000),(0.2*800000),'Schedule 2_Balance Sheet'!E29)))</f>
        <v>140759916.22201335</v>
      </c>
      <c r="E12" s="54">
        <f>'Schedule 2_Balance Sheet'!F48-'Schedule 2_Balance Sheet'!F29+(IF(E11&lt;500000,IF('Schedule 2_Balance Sheet'!F29&gt;(0.1*800000),(0.1*800000),'Schedule 2_Balance Sheet'!F29),IF('Schedule 2_Balance Sheet'!F29&gt;(0.2*800000),(0.2*800000),'Schedule 2_Balance Sheet'!F29)))</f>
        <v>88676384.700000003</v>
      </c>
      <c r="F12" s="367"/>
      <c r="G12" s="367"/>
      <c r="H12" s="367"/>
      <c r="I12" s="367"/>
    </row>
    <row r="13" spans="1:10" ht="16.5" customHeight="1">
      <c r="A13" s="135" t="s">
        <v>143</v>
      </c>
      <c r="B13" s="54">
        <f>'Schedule 2_Balance Sheet'!C78</f>
        <v>61581578.960000016</v>
      </c>
      <c r="C13" s="54">
        <f>'Schedule 2_Balance Sheet'!D78</f>
        <v>73266870.739999995</v>
      </c>
      <c r="D13" s="54">
        <f>'Schedule 2_Balance Sheet'!E78</f>
        <v>66327903.299999975</v>
      </c>
      <c r="E13" s="54">
        <f>'Schedule 2_Balance Sheet'!F78</f>
        <v>11337826.31999998</v>
      </c>
      <c r="F13" s="367"/>
      <c r="G13" s="367"/>
      <c r="H13" s="367"/>
      <c r="I13" s="367"/>
    </row>
    <row r="14" spans="1:10" ht="16.5" customHeight="1">
      <c r="A14" s="16" t="s">
        <v>145</v>
      </c>
      <c r="B14" s="66">
        <f>B12-B13</f>
        <v>74755807.069999993</v>
      </c>
      <c r="C14" s="66">
        <f>C12-C13</f>
        <v>74729632.510000035</v>
      </c>
      <c r="D14" s="66">
        <f>D12-D13</f>
        <v>74432012.922013372</v>
      </c>
      <c r="E14" s="66">
        <f>E12-E13</f>
        <v>77338558.380000025</v>
      </c>
      <c r="F14" s="367"/>
      <c r="G14" s="367"/>
      <c r="H14" s="367"/>
      <c r="I14" s="367"/>
    </row>
    <row r="15" spans="1:10" ht="16.5" customHeight="1" thickBot="1">
      <c r="A15" s="16" t="s">
        <v>1446</v>
      </c>
      <c r="B15" s="67">
        <v>800000</v>
      </c>
      <c r="C15" s="67">
        <f t="shared" ref="C15:I15" si="0">+B15</f>
        <v>800000</v>
      </c>
      <c r="D15" s="67">
        <f t="shared" si="0"/>
        <v>800000</v>
      </c>
      <c r="E15" s="67">
        <f t="shared" si="0"/>
        <v>800000</v>
      </c>
      <c r="F15" s="67">
        <f t="shared" si="0"/>
        <v>800000</v>
      </c>
      <c r="G15" s="67">
        <f t="shared" si="0"/>
        <v>800000</v>
      </c>
      <c r="H15" s="67">
        <f t="shared" si="0"/>
        <v>800000</v>
      </c>
      <c r="I15" s="67">
        <f t="shared" si="0"/>
        <v>800000</v>
      </c>
      <c r="J15" s="200"/>
    </row>
    <row r="16" spans="1:10" ht="16.5" customHeight="1" thickTop="1">
      <c r="A16" s="16" t="s">
        <v>1447</v>
      </c>
      <c r="B16" s="68">
        <f t="shared" ref="B16:I16" si="1">SUM(B14-B15)</f>
        <v>73955807.069999993</v>
      </c>
      <c r="C16" s="68">
        <f t="shared" si="1"/>
        <v>73929632.510000035</v>
      </c>
      <c r="D16" s="68">
        <f t="shared" si="1"/>
        <v>73632012.922013372</v>
      </c>
      <c r="E16" s="69">
        <f t="shared" si="1"/>
        <v>76538558.380000025</v>
      </c>
      <c r="F16" s="68">
        <f t="shared" si="1"/>
        <v>-800000</v>
      </c>
      <c r="G16" s="68">
        <f t="shared" si="1"/>
        <v>-800000</v>
      </c>
      <c r="H16" s="68">
        <f t="shared" si="1"/>
        <v>-800000</v>
      </c>
      <c r="I16" s="68">
        <f t="shared" si="1"/>
        <v>-800000</v>
      </c>
      <c r="J16" s="200"/>
    </row>
    <row r="17" spans="1:10">
      <c r="A17" s="16"/>
      <c r="B17" s="30"/>
      <c r="C17" s="30"/>
      <c r="D17" s="30"/>
      <c r="E17" s="30"/>
      <c r="F17" s="30"/>
      <c r="G17" s="30"/>
      <c r="H17" s="30"/>
      <c r="I17" s="30"/>
      <c r="J17" s="200"/>
    </row>
    <row r="18" spans="1:10" ht="15.75" customHeight="1">
      <c r="A18" s="16" t="s">
        <v>1448</v>
      </c>
      <c r="B18" s="73" t="str">
        <f>IF(B16&lt;0,"N","Y")</f>
        <v>Y</v>
      </c>
      <c r="C18" s="73" t="str">
        <f t="shared" ref="C18:I18" si="2">IF(C16&lt;0,"N","Y")</f>
        <v>Y</v>
      </c>
      <c r="D18" s="73" t="str">
        <f t="shared" si="2"/>
        <v>Y</v>
      </c>
      <c r="E18" s="73" t="str">
        <f t="shared" si="2"/>
        <v>Y</v>
      </c>
      <c r="F18" s="33" t="str">
        <f t="shared" si="2"/>
        <v>N</v>
      </c>
      <c r="G18" s="33" t="str">
        <f t="shared" si="2"/>
        <v>N</v>
      </c>
      <c r="H18" s="33" t="str">
        <f t="shared" si="2"/>
        <v>N</v>
      </c>
      <c r="I18" s="33" t="str">
        <f t="shared" si="2"/>
        <v>N</v>
      </c>
      <c r="J18" s="200"/>
    </row>
    <row r="19" spans="1:10" ht="15.75" customHeight="1">
      <c r="A19" s="16" t="s">
        <v>1449</v>
      </c>
      <c r="B19" s="73" t="str">
        <f t="shared" ref="B19:I19" si="3">IF(B11&lt;800000,"N","Y")</f>
        <v>Y</v>
      </c>
      <c r="C19" s="73" t="str">
        <f t="shared" si="3"/>
        <v>Y</v>
      </c>
      <c r="D19" s="73" t="str">
        <f t="shared" si="3"/>
        <v>Y</v>
      </c>
      <c r="E19" s="73" t="str">
        <f t="shared" si="3"/>
        <v>Y</v>
      </c>
      <c r="F19" s="33" t="str">
        <f t="shared" si="3"/>
        <v>N</v>
      </c>
      <c r="G19" s="33" t="str">
        <f t="shared" si="3"/>
        <v>N</v>
      </c>
      <c r="H19" s="33" t="str">
        <f t="shared" si="3"/>
        <v>N</v>
      </c>
      <c r="I19" s="33" t="str">
        <f t="shared" si="3"/>
        <v>N</v>
      </c>
      <c r="J19" s="200"/>
    </row>
    <row r="20" spans="1:10">
      <c r="A20" s="16"/>
      <c r="B20" s="196"/>
      <c r="C20" s="196"/>
      <c r="F20" s="201"/>
      <c r="G20" s="178"/>
      <c r="H20" s="200"/>
      <c r="I20" s="200"/>
      <c r="J20" s="200"/>
    </row>
    <row r="21" spans="1:10" ht="25.5" customHeight="1">
      <c r="A21" s="814" t="s">
        <v>1450</v>
      </c>
      <c r="B21" s="815"/>
      <c r="C21" s="815"/>
      <c r="D21" s="815"/>
      <c r="E21" s="815"/>
      <c r="F21" s="815"/>
      <c r="G21" s="815"/>
      <c r="H21" s="815"/>
      <c r="I21" s="816"/>
      <c r="J21" s="200"/>
    </row>
    <row r="22" spans="1:10">
      <c r="B22" s="196"/>
      <c r="C22" s="196"/>
      <c r="F22" s="201"/>
      <c r="G22" s="178"/>
      <c r="H22" s="200"/>
      <c r="I22" s="200"/>
      <c r="J22" s="200"/>
    </row>
    <row r="23" spans="1:10">
      <c r="A23" s="7" t="s">
        <v>1451</v>
      </c>
      <c r="B23" s="196"/>
      <c r="C23" s="196"/>
      <c r="F23" s="201"/>
      <c r="G23" s="178"/>
      <c r="H23" s="200"/>
      <c r="I23" s="200"/>
      <c r="J23" s="200"/>
    </row>
    <row r="24" spans="1:10">
      <c r="B24" s="810" t="s">
        <v>1452</v>
      </c>
      <c r="C24" s="811"/>
      <c r="D24" s="811"/>
      <c r="E24" s="812"/>
      <c r="F24" s="811" t="s">
        <v>1453</v>
      </c>
      <c r="G24" s="811"/>
      <c r="H24" s="811"/>
      <c r="I24" s="813"/>
      <c r="J24" s="200"/>
    </row>
    <row r="25" spans="1:10">
      <c r="B25" s="80" t="str">
        <f t="shared" ref="B25:I25" si="4">B10</f>
        <v>Q1</v>
      </c>
      <c r="C25" s="80" t="str">
        <f t="shared" si="4"/>
        <v>Q2</v>
      </c>
      <c r="D25" s="80" t="str">
        <f t="shared" si="4"/>
        <v>Q3</v>
      </c>
      <c r="E25" s="81" t="str">
        <f t="shared" si="4"/>
        <v>Q4</v>
      </c>
      <c r="F25" s="82" t="str">
        <f t="shared" si="4"/>
        <v>Q1</v>
      </c>
      <c r="G25" s="80" t="str">
        <f t="shared" si="4"/>
        <v>Q2</v>
      </c>
      <c r="H25" s="80" t="str">
        <f t="shared" si="4"/>
        <v>Q3</v>
      </c>
      <c r="I25" s="80" t="str">
        <f t="shared" si="4"/>
        <v>Q4</v>
      </c>
      <c r="J25" s="200"/>
    </row>
    <row r="26" spans="1:10" ht="16.5" customHeight="1">
      <c r="A26" s="136" t="s">
        <v>1310</v>
      </c>
      <c r="B26" s="182">
        <f>'Schedule 2_Balance Sheet'!C22</f>
        <v>136337386.03</v>
      </c>
      <c r="C26" s="182">
        <f>'Schedule 2_Balance Sheet'!D22</f>
        <v>147996503.25000003</v>
      </c>
      <c r="D26" s="182">
        <f>'Schedule 2_Balance Sheet'!E22</f>
        <v>140759916.22201335</v>
      </c>
      <c r="E26" s="182">
        <f>'Schedule 2_Balance Sheet'!F22</f>
        <v>88676384.700000003</v>
      </c>
      <c r="F26" s="367"/>
      <c r="G26" s="367"/>
      <c r="H26" s="367"/>
      <c r="I26" s="367"/>
    </row>
    <row r="27" spans="1:10" ht="16.5" customHeight="1">
      <c r="A27" s="136" t="s">
        <v>1321</v>
      </c>
      <c r="B27" s="182">
        <f>'Schedule 2_Balance Sheet'!C67</f>
        <v>61448361.750000007</v>
      </c>
      <c r="C27" s="182">
        <f>'Schedule 2_Balance Sheet'!D67</f>
        <v>73128904.519999996</v>
      </c>
      <c r="D27" s="182">
        <f>'Schedule 2_Balance Sheet'!E67</f>
        <v>66157955.899999999</v>
      </c>
      <c r="E27" s="182">
        <f>'Schedule 2_Balance Sheet'!F67</f>
        <v>11180945.299999999</v>
      </c>
      <c r="F27" s="367"/>
      <c r="G27" s="367"/>
      <c r="H27" s="367"/>
      <c r="I27" s="367"/>
    </row>
    <row r="28" spans="1:10" ht="16.5" customHeight="1">
      <c r="A28" s="136" t="s">
        <v>1419</v>
      </c>
      <c r="B28" s="46">
        <f>IF(B27=0,0,B26/B27)</f>
        <v>2.2187310149078137</v>
      </c>
      <c r="C28" s="46">
        <f>IF(C27=0,0,C26/C27)</f>
        <v>2.0237757453282308</v>
      </c>
      <c r="D28" s="46">
        <f>IF(D27=0,0,D26/D27)</f>
        <v>2.1276339981660977</v>
      </c>
      <c r="E28" s="46">
        <f>IF(E27=0,0,E26/E27)</f>
        <v>7.9310275044454439</v>
      </c>
      <c r="F28" s="625"/>
      <c r="G28" s="625"/>
      <c r="H28" s="625"/>
      <c r="I28" s="625"/>
    </row>
    <row r="29" spans="1:10" ht="16.5" customHeight="1">
      <c r="A29" s="136" t="s">
        <v>1454</v>
      </c>
      <c r="B29" s="46">
        <f>IF('Schedule 2_Balance Sheet'!C67=0,0,'Schedule 2_Balance Sheet'!C11/'Schedule 2_Balance Sheet'!C67)</f>
        <v>1.4782139504313145</v>
      </c>
      <c r="C29" s="46">
        <f>IF('Schedule 2_Balance Sheet'!D67=0,0,'Schedule 2_Balance Sheet'!D11/'Schedule 2_Balance Sheet'!D67)</f>
        <v>1.7237487001535083</v>
      </c>
      <c r="D29" s="46">
        <f>IF('Schedule 2_Balance Sheet'!E67=0,0,'Schedule 2_Balance Sheet'!E11/'Schedule 2_Balance Sheet'!E67)</f>
        <v>1.7228392074610637</v>
      </c>
      <c r="E29" s="46">
        <f>IF('Schedule 2_Balance Sheet'!F67=0,0,'Schedule 2_Balance Sheet'!F11/'Schedule 2_Balance Sheet'!F67)</f>
        <v>5.4007654486960064</v>
      </c>
      <c r="F29" s="625"/>
      <c r="G29" s="625"/>
      <c r="H29" s="625"/>
      <c r="I29" s="625"/>
    </row>
    <row r="30" spans="1:10" ht="16.5" customHeight="1">
      <c r="A30" s="14" t="s">
        <v>1455</v>
      </c>
      <c r="B30" s="70">
        <f>B26-B27</f>
        <v>74889024.280000001</v>
      </c>
      <c r="C30" s="70">
        <f>C26-C27</f>
        <v>74867598.730000034</v>
      </c>
      <c r="D30" s="70">
        <f>D26-D27</f>
        <v>74601960.322013348</v>
      </c>
      <c r="E30" s="71">
        <f>E26-E27</f>
        <v>77495439.400000006</v>
      </c>
      <c r="F30" s="625"/>
      <c r="G30" s="625"/>
      <c r="H30" s="625"/>
      <c r="I30" s="625"/>
    </row>
    <row r="31" spans="1:10" ht="16.5" customHeight="1" thickBot="1">
      <c r="A31" s="14" t="s">
        <v>1446</v>
      </c>
      <c r="B31" s="206" t="s">
        <v>1456</v>
      </c>
      <c r="C31" s="206" t="s">
        <v>1456</v>
      </c>
      <c r="D31" s="206" t="s">
        <v>1456</v>
      </c>
      <c r="E31" s="207" t="s">
        <v>1456</v>
      </c>
      <c r="F31" s="208" t="s">
        <v>1456</v>
      </c>
      <c r="G31" s="208" t="s">
        <v>1456</v>
      </c>
      <c r="H31" s="209" t="s">
        <v>1456</v>
      </c>
      <c r="I31" s="210" t="s">
        <v>1456</v>
      </c>
      <c r="J31" s="199"/>
    </row>
    <row r="32" spans="1:10" ht="16.5" customHeight="1" thickTop="1">
      <c r="A32" s="14" t="s">
        <v>1447</v>
      </c>
      <c r="B32" s="68">
        <f t="shared" ref="B32:I32" si="5">B30</f>
        <v>74889024.280000001</v>
      </c>
      <c r="C32" s="68">
        <f t="shared" si="5"/>
        <v>74867598.730000034</v>
      </c>
      <c r="D32" s="68">
        <f t="shared" si="5"/>
        <v>74601960.322013348</v>
      </c>
      <c r="E32" s="72">
        <f t="shared" si="5"/>
        <v>77495439.400000006</v>
      </c>
      <c r="F32" s="68">
        <f t="shared" si="5"/>
        <v>0</v>
      </c>
      <c r="G32" s="68">
        <f t="shared" si="5"/>
        <v>0</v>
      </c>
      <c r="H32" s="68">
        <f t="shared" si="5"/>
        <v>0</v>
      </c>
      <c r="I32" s="72">
        <f t="shared" si="5"/>
        <v>0</v>
      </c>
      <c r="J32" s="199"/>
    </row>
    <row r="33" spans="1:11">
      <c r="A33" s="14"/>
      <c r="B33" s="31"/>
      <c r="C33" s="31"/>
      <c r="D33" s="31"/>
      <c r="E33" s="32"/>
      <c r="F33" s="32"/>
      <c r="G33" s="32"/>
      <c r="H33" s="32"/>
      <c r="I33" s="32"/>
    </row>
    <row r="34" spans="1:11" ht="15.75" customHeight="1">
      <c r="A34" s="14" t="s">
        <v>1448</v>
      </c>
      <c r="B34" s="73" t="str">
        <f>IF(B32&lt;0,"N","Y")</f>
        <v>Y</v>
      </c>
      <c r="C34" s="73" t="str">
        <f t="shared" ref="C34:I34" si="6">IF(C32&lt;0,"N","Y")</f>
        <v>Y</v>
      </c>
      <c r="D34" s="73" t="str">
        <f t="shared" si="6"/>
        <v>Y</v>
      </c>
      <c r="E34" s="73" t="str">
        <f t="shared" si="6"/>
        <v>Y</v>
      </c>
      <c r="F34" s="33" t="str">
        <f t="shared" si="6"/>
        <v>Y</v>
      </c>
      <c r="G34" s="33" t="str">
        <f t="shared" si="6"/>
        <v>Y</v>
      </c>
      <c r="H34" s="33" t="str">
        <f t="shared" si="6"/>
        <v>Y</v>
      </c>
      <c r="I34" s="33" t="str">
        <f t="shared" si="6"/>
        <v>Y</v>
      </c>
    </row>
    <row r="35" spans="1:11">
      <c r="B35" s="196"/>
      <c r="C35" s="196"/>
      <c r="F35" s="178"/>
      <c r="G35" s="178"/>
      <c r="H35" s="178"/>
    </row>
    <row r="36" spans="1:11">
      <c r="A36" s="7" t="s">
        <v>1457</v>
      </c>
      <c r="B36" s="196"/>
      <c r="C36" s="196"/>
      <c r="F36" s="178"/>
      <c r="G36" s="178"/>
      <c r="H36" s="178"/>
    </row>
    <row r="37" spans="1:11">
      <c r="B37" s="807" t="s">
        <v>1458</v>
      </c>
      <c r="C37" s="808"/>
      <c r="D37" s="809" t="s">
        <v>1459</v>
      </c>
      <c r="E37" s="807"/>
      <c r="F37" s="807"/>
      <c r="G37" s="807"/>
      <c r="H37" s="807"/>
      <c r="I37" s="807"/>
      <c r="J37" s="807"/>
    </row>
    <row r="38" spans="1:11" ht="16.5" customHeight="1">
      <c r="B38" s="799" t="s">
        <v>1460</v>
      </c>
      <c r="C38" s="802" t="s">
        <v>1461</v>
      </c>
      <c r="D38" s="790" t="s">
        <v>1462</v>
      </c>
      <c r="E38" s="805" t="s">
        <v>1463</v>
      </c>
      <c r="F38" s="790" t="s">
        <v>145</v>
      </c>
      <c r="G38" s="792" t="s">
        <v>1464</v>
      </c>
      <c r="H38" s="790" t="s">
        <v>1465</v>
      </c>
      <c r="I38" s="792" t="s">
        <v>1466</v>
      </c>
      <c r="J38" s="794" t="s">
        <v>1467</v>
      </c>
    </row>
    <row r="39" spans="1:11" ht="29.25" customHeight="1">
      <c r="B39" s="800"/>
      <c r="C39" s="803"/>
      <c r="D39" s="790"/>
      <c r="E39" s="805"/>
      <c r="F39" s="790"/>
      <c r="G39" s="792"/>
      <c r="H39" s="790"/>
      <c r="I39" s="792"/>
      <c r="J39" s="794"/>
    </row>
    <row r="40" spans="1:11" ht="18.75" customHeight="1">
      <c r="B40" s="800"/>
      <c r="C40" s="803"/>
      <c r="D40" s="790"/>
      <c r="E40" s="805"/>
      <c r="F40" s="790"/>
      <c r="G40" s="792"/>
      <c r="H40" s="790"/>
      <c r="I40" s="792"/>
      <c r="J40" s="794"/>
    </row>
    <row r="41" spans="1:11" ht="15" customHeight="1">
      <c r="B41" s="801"/>
      <c r="C41" s="804"/>
      <c r="D41" s="791"/>
      <c r="E41" s="806"/>
      <c r="F41" s="791"/>
      <c r="G41" s="793"/>
      <c r="H41" s="791"/>
      <c r="I41" s="793"/>
      <c r="J41" s="795"/>
    </row>
    <row r="42" spans="1:11" ht="15.75" customHeight="1">
      <c r="A42" s="135" t="s">
        <v>1468</v>
      </c>
      <c r="B42" s="202">
        <f>+'Schedule 3A_Income Statement'!CO66</f>
        <v>137206189.19314605</v>
      </c>
      <c r="C42" s="202">
        <f>IF(B42/2&gt;'Schedule 3A_Income Statement'!CO23/2*0.88,'Schedule 3A_Income Statement'!CO23/2*0.88,B42/2)</f>
        <v>68603094.596573025</v>
      </c>
      <c r="D42" s="367"/>
      <c r="E42" s="368"/>
      <c r="F42" s="137">
        <f>'Schedule 2_Balance Sheet'!C93</f>
        <v>74755807.069999993</v>
      </c>
      <c r="G42" s="368"/>
      <c r="H42" s="203">
        <f>'Schedule 2_Balance Sheet'!C30</f>
        <v>0</v>
      </c>
      <c r="I42" s="368"/>
      <c r="J42" s="369" t="s">
        <v>1469</v>
      </c>
      <c r="K42" s="178"/>
    </row>
    <row r="43" spans="1:11" ht="15.75" customHeight="1">
      <c r="A43" s="135" t="s">
        <v>1470</v>
      </c>
      <c r="B43" s="202">
        <f>+'Schedule 3A_Income Statement'!CP66</f>
        <v>143436873.41454515</v>
      </c>
      <c r="C43" s="202">
        <f>IF(B43/2&gt;'Schedule 3A_Income Statement'!CP23/2*0.88,'Schedule 3A_Income Statement'!CP23/2*0.88,B43/2)</f>
        <v>68844500.354044959</v>
      </c>
      <c r="D43" s="367"/>
      <c r="E43" s="368"/>
      <c r="F43" s="137">
        <f>'Schedule 2_Balance Sheet'!D93</f>
        <v>74729632.510000035</v>
      </c>
      <c r="G43" s="368"/>
      <c r="H43" s="203">
        <f>'Schedule 2_Balance Sheet'!D30</f>
        <v>0</v>
      </c>
      <c r="I43" s="368"/>
      <c r="J43" s="369" t="s">
        <v>1469</v>
      </c>
      <c r="K43" s="178"/>
    </row>
    <row r="44" spans="1:11" ht="15.75" customHeight="1">
      <c r="A44" s="135" t="s">
        <v>1471</v>
      </c>
      <c r="B44" s="202">
        <f>+'Schedule 3A_Income Statement'!CQ66</f>
        <v>151822482.05918619</v>
      </c>
      <c r="C44" s="202">
        <f>IF(B44/2&gt;'Schedule 3A_Income Statement'!CQ23/2*0.88,'Schedule 3A_Income Statement'!CQ23/2*0.88,B44/2)</f>
        <v>74234103.991310224</v>
      </c>
      <c r="D44" s="367"/>
      <c r="E44" s="368"/>
      <c r="F44" s="137">
        <f>'Schedule 2_Balance Sheet'!E93</f>
        <v>74432012.922013372</v>
      </c>
      <c r="G44" s="368"/>
      <c r="H44" s="203">
        <f>'Schedule 2_Balance Sheet'!E30</f>
        <v>0</v>
      </c>
      <c r="I44" s="368"/>
      <c r="J44" s="369" t="s">
        <v>1469</v>
      </c>
      <c r="K44" s="178"/>
    </row>
    <row r="45" spans="1:11" ht="15.75" customHeight="1">
      <c r="A45" s="135" t="s">
        <v>1472</v>
      </c>
      <c r="B45" s="202">
        <f>'Schedule 3A_Income Statement'!CR66</f>
        <v>162628643.90005881</v>
      </c>
      <c r="C45" s="202">
        <f>IF(B45/2&gt;'Schedule 3A_Income Statement'!CR23/2*0.88,'Schedule 3A_Income Statement'!CR23/2*0.88,B45/2)</f>
        <v>77277527.398983702</v>
      </c>
      <c r="D45" s="367"/>
      <c r="E45" s="368"/>
      <c r="F45" s="137">
        <f>'Schedule 2_Balance Sheet'!F93</f>
        <v>77338558.380000025</v>
      </c>
      <c r="G45" s="368"/>
      <c r="H45" s="203">
        <f>'Schedule 2_Balance Sheet'!F30</f>
        <v>0</v>
      </c>
      <c r="I45" s="368"/>
      <c r="J45" s="369" t="s">
        <v>1469</v>
      </c>
      <c r="K45" s="178"/>
    </row>
    <row r="46" spans="1:11">
      <c r="B46" s="196"/>
      <c r="C46" s="25"/>
      <c r="D46" s="26"/>
      <c r="E46" s="27"/>
    </row>
    <row r="47" spans="1:11">
      <c r="A47" s="796" t="s">
        <v>1473</v>
      </c>
      <c r="B47" s="796"/>
      <c r="C47" s="796"/>
    </row>
    <row r="48" spans="1:11">
      <c r="A48" s="135"/>
      <c r="B48" s="196"/>
      <c r="C48" s="196"/>
    </row>
    <row r="49" spans="1:10" ht="15.75" customHeight="1">
      <c r="B49" s="80" t="s">
        <v>1474</v>
      </c>
      <c r="C49" s="80" t="s">
        <v>1475</v>
      </c>
      <c r="F49" s="797" t="s">
        <v>1476</v>
      </c>
      <c r="G49" s="798"/>
      <c r="H49" s="949"/>
    </row>
    <row r="50" spans="1:10" ht="15.75" customHeight="1">
      <c r="A50" s="135" t="s">
        <v>145</v>
      </c>
      <c r="B50" s="370" t="s">
        <v>1469</v>
      </c>
      <c r="C50" s="371">
        <f>F45</f>
        <v>77338558.380000025</v>
      </c>
      <c r="F50" s="144" t="s">
        <v>17</v>
      </c>
      <c r="G50" s="950" t="s">
        <v>1477</v>
      </c>
      <c r="H50" s="949"/>
    </row>
    <row r="51" spans="1:10" ht="15.75" customHeight="1">
      <c r="A51" s="135" t="s">
        <v>1478</v>
      </c>
      <c r="B51" s="370"/>
      <c r="C51" s="371"/>
      <c r="F51" s="140" t="s">
        <v>18</v>
      </c>
      <c r="G51" s="951" t="s">
        <v>1479</v>
      </c>
      <c r="H51" s="952"/>
    </row>
    <row r="52" spans="1:10" ht="15.75" customHeight="1">
      <c r="A52" s="135" t="s">
        <v>1480</v>
      </c>
      <c r="B52" s="370"/>
      <c r="C52" s="371"/>
      <c r="F52" s="140" t="s">
        <v>19</v>
      </c>
      <c r="G52" s="951" t="s">
        <v>1481</v>
      </c>
      <c r="H52" s="952"/>
    </row>
    <row r="53" spans="1:10" ht="15.75" customHeight="1">
      <c r="A53" s="16" t="s">
        <v>1482</v>
      </c>
      <c r="B53" s="372"/>
      <c r="C53" s="617">
        <f>SUM(C50:C52)</f>
        <v>77338558.380000025</v>
      </c>
      <c r="F53" s="140" t="s">
        <v>20</v>
      </c>
      <c r="G53" s="950" t="s">
        <v>1483</v>
      </c>
      <c r="H53" s="949"/>
    </row>
    <row r="54" spans="1:10">
      <c r="A54" s="16"/>
      <c r="B54" s="28"/>
      <c r="C54" s="29"/>
    </row>
    <row r="55" spans="1:10">
      <c r="B55" s="196"/>
      <c r="C55" s="196"/>
    </row>
    <row r="56" spans="1:10">
      <c r="A56" s="204"/>
      <c r="B56" s="7" t="s">
        <v>1484</v>
      </c>
      <c r="C56" s="205"/>
    </row>
    <row r="57" spans="1:10" ht="13.35" customHeight="1">
      <c r="B57" s="135" t="s">
        <v>1485</v>
      </c>
      <c r="C57" s="205"/>
      <c r="G57" s="626"/>
      <c r="H57" s="626"/>
      <c r="I57" s="626"/>
      <c r="J57" s="626"/>
    </row>
    <row r="58" spans="1:10">
      <c r="A58" s="204"/>
      <c r="B58" s="204"/>
      <c r="C58" s="205"/>
      <c r="F58" s="626"/>
      <c r="G58" s="626"/>
      <c r="H58" s="626"/>
      <c r="I58" s="626"/>
      <c r="J58" s="626"/>
    </row>
    <row r="59" spans="1:10">
      <c r="A59" s="789"/>
      <c r="B59" s="789"/>
      <c r="C59" s="789"/>
    </row>
    <row r="60" spans="1:10">
      <c r="A60" s="204"/>
      <c r="B60" s="204"/>
      <c r="C60" s="205"/>
    </row>
    <row r="61" spans="1:10">
      <c r="A61" s="204"/>
      <c r="B61" s="204"/>
      <c r="C61" s="205"/>
    </row>
    <row r="62" spans="1:10">
      <c r="A62" s="44"/>
      <c r="B62" s="205"/>
      <c r="C62" s="205"/>
    </row>
    <row r="63" spans="1:10">
      <c r="A63" s="205"/>
      <c r="B63" s="205"/>
      <c r="C63" s="205"/>
    </row>
    <row r="64" spans="1:10">
      <c r="B64" s="196"/>
      <c r="C64" s="196"/>
    </row>
  </sheetData>
  <sheetProtection algorithmName="SHA-512" hashValue="WTtPw2ulrdx5UETv3/9THSS6qfL6S+L8FzMZOQ1wsF7NitCJHiFUVcu1UcOkbXUtA2gM4Xhr0uF1qeR3xgZC0Q==" saltValue="H753CidpNgCi4iw/thme4g==" spinCount="100000" sheet="1" formatColumns="0"/>
  <mergeCells count="23">
    <mergeCell ref="B37:C37"/>
    <mergeCell ref="D37:J37"/>
    <mergeCell ref="B9:E9"/>
    <mergeCell ref="F9:I9"/>
    <mergeCell ref="B24:E24"/>
    <mergeCell ref="F24:I24"/>
    <mergeCell ref="A21:I21"/>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s>
  <phoneticPr fontId="0" type="noConversion"/>
  <conditionalFormatting sqref="B18:I19 B34:I34">
    <cfRule type="cellIs" dxfId="1" priority="1" stopIfTrue="1" operator="equal">
      <formula>"N"</formula>
    </cfRule>
  </conditionalFormatting>
  <pageMargins left="0.7" right="0.7" top="0.75" bottom="0.75" header="0.3" footer="0.3"/>
  <pageSetup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I9" sqref="I9"/>
    </sheetView>
  </sheetViews>
  <sheetFormatPr defaultRowHeight="13.15"/>
  <cols>
    <col min="1" max="1" width="4.28515625" customWidth="1"/>
    <col min="2" max="2" width="17.85546875" customWidth="1"/>
    <col min="3" max="9" width="15.5703125" customWidth="1"/>
  </cols>
  <sheetData>
    <row r="3" spans="2:9" ht="13.9" thickBot="1"/>
    <row r="4" spans="2:9" s="89" customFormat="1" ht="13.9">
      <c r="B4" s="862" t="s">
        <v>14</v>
      </c>
      <c r="C4" s="863"/>
      <c r="D4" s="863"/>
      <c r="E4" s="863"/>
      <c r="F4" s="863"/>
      <c r="G4" s="863"/>
      <c r="H4" s="863"/>
      <c r="I4" s="864"/>
    </row>
    <row r="5" spans="2:9" s="89" customFormat="1" ht="14.45" thickBot="1">
      <c r="B5" s="172" t="s">
        <v>15</v>
      </c>
      <c r="C5" s="865"/>
      <c r="D5" s="865"/>
      <c r="E5" s="865"/>
      <c r="F5" s="865"/>
      <c r="G5" s="865"/>
      <c r="H5" s="865"/>
      <c r="I5" s="866"/>
    </row>
    <row r="6" spans="2:9" s="90" customFormat="1" ht="10.5" customHeight="1">
      <c r="B6" s="92"/>
      <c r="C6" s="93"/>
      <c r="D6" s="93"/>
      <c r="E6" s="93"/>
      <c r="F6" s="636"/>
      <c r="G6" s="636"/>
      <c r="H6" s="636"/>
      <c r="I6" s="94"/>
    </row>
    <row r="7" spans="2:9" s="89" customFormat="1" ht="13.9">
      <c r="B7" s="132" t="s">
        <v>16</v>
      </c>
      <c r="C7" s="867" t="s">
        <v>17</v>
      </c>
      <c r="D7" s="867" t="s">
        <v>18</v>
      </c>
      <c r="E7" s="867" t="s">
        <v>19</v>
      </c>
      <c r="F7" s="867" t="s">
        <v>20</v>
      </c>
      <c r="G7" s="868" t="s">
        <v>21</v>
      </c>
      <c r="H7" s="869" t="s">
        <v>22</v>
      </c>
      <c r="I7" s="870" t="s">
        <v>23</v>
      </c>
    </row>
    <row r="8" spans="2:9" s="91" customFormat="1" ht="13.9">
      <c r="B8" s="133" t="s">
        <v>24</v>
      </c>
      <c r="C8" s="675" t="s">
        <v>25</v>
      </c>
      <c r="D8" s="675" t="s">
        <v>26</v>
      </c>
      <c r="E8" s="675" t="s">
        <v>27</v>
      </c>
      <c r="F8" s="675" t="s">
        <v>28</v>
      </c>
      <c r="G8" s="676" t="s">
        <v>29</v>
      </c>
      <c r="H8" s="677" t="s">
        <v>29</v>
      </c>
      <c r="I8" s="678" t="s">
        <v>29</v>
      </c>
    </row>
    <row r="9" spans="2:9" s="90" customFormat="1" ht="59.65" customHeight="1" thickBot="1">
      <c r="B9" s="134" t="s">
        <v>30</v>
      </c>
      <c r="C9" s="871" t="s">
        <v>31</v>
      </c>
      <c r="D9" s="871" t="s">
        <v>31</v>
      </c>
      <c r="E9" s="871" t="s">
        <v>31</v>
      </c>
      <c r="F9" s="871" t="s">
        <v>31</v>
      </c>
      <c r="G9" s="872" t="s">
        <v>32</v>
      </c>
      <c r="H9" s="873" t="s">
        <v>33</v>
      </c>
      <c r="I9" s="874" t="s">
        <v>34</v>
      </c>
    </row>
    <row r="11" spans="2:9">
      <c r="B11" s="716" t="s">
        <v>35</v>
      </c>
      <c r="C11" s="716"/>
      <c r="D11" s="716"/>
      <c r="E11" s="716"/>
      <c r="F11" s="716"/>
      <c r="G11" s="716"/>
      <c r="H11" s="716"/>
      <c r="I11" s="716"/>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sheetPr>
  <dimension ref="A1:J100"/>
  <sheetViews>
    <sheetView zoomScale="60" zoomScaleNormal="60" workbookViewId="0">
      <selection activeCell="P36" sqref="P36"/>
    </sheetView>
  </sheetViews>
  <sheetFormatPr defaultColWidth="9.28515625" defaultRowHeight="13.15"/>
  <cols>
    <col min="1" max="2" width="6.5703125" style="432" customWidth="1"/>
    <col min="3" max="3" width="33.28515625" style="432" customWidth="1"/>
    <col min="4" max="4" width="24.5703125" style="432" customWidth="1"/>
    <col min="5" max="5" width="37" style="432" customWidth="1"/>
    <col min="6" max="7" width="16.28515625" style="432" customWidth="1"/>
    <col min="8" max="9" width="17.28515625" style="432" customWidth="1"/>
    <col min="10" max="10" width="19.28515625" style="432" customWidth="1"/>
    <col min="11" max="16384" width="9.28515625" style="432"/>
  </cols>
  <sheetData>
    <row r="1" spans="1:10" ht="15.6">
      <c r="A1" s="427" t="s">
        <v>1486</v>
      </c>
      <c r="B1" s="428"/>
      <c r="C1" s="429"/>
      <c r="D1" s="430"/>
      <c r="E1" s="429"/>
      <c r="F1" s="431"/>
      <c r="G1" s="431"/>
      <c r="H1" s="431"/>
      <c r="I1" s="431"/>
      <c r="J1" s="431"/>
    </row>
    <row r="2" spans="1:10" ht="15.6">
      <c r="A2" s="181"/>
      <c r="B2" s="438" t="s">
        <v>1303</v>
      </c>
      <c r="C2" s="431"/>
      <c r="D2" s="397" t="str">
        <f>'Schedule 2_Balance Sheet'!C2</f>
        <v>Tufts Associated Health Plans, Inc. (TAHMO)</v>
      </c>
      <c r="E2" s="398"/>
      <c r="F2" s="398"/>
      <c r="G2" s="399"/>
      <c r="H2" s="431"/>
      <c r="I2" s="431"/>
      <c r="J2" s="431"/>
    </row>
    <row r="3" spans="1:10" ht="15.6">
      <c r="A3" s="181"/>
      <c r="B3" s="438" t="s">
        <v>1285</v>
      </c>
      <c r="C3" s="431"/>
      <c r="D3" s="520" t="str">
        <f>'Schedule 2_Balance Sheet'!C3</f>
        <v>01/01/2024 - 12/31/2024</v>
      </c>
      <c r="E3" s="521"/>
      <c r="F3" s="521"/>
      <c r="G3" s="522"/>
      <c r="H3" s="431"/>
      <c r="I3" s="431"/>
      <c r="J3" s="431"/>
    </row>
    <row r="4" spans="1:10" ht="15.6">
      <c r="A4" s="181"/>
      <c r="B4" s="438" t="s">
        <v>1306</v>
      </c>
      <c r="C4" s="431"/>
      <c r="D4" s="401">
        <f>'Schedule 2_Balance Sheet'!C4</f>
        <v>45657</v>
      </c>
      <c r="E4" s="398"/>
      <c r="F4" s="398"/>
      <c r="G4" s="399"/>
      <c r="H4" s="431"/>
      <c r="I4" s="431"/>
      <c r="J4" s="431"/>
    </row>
    <row r="5" spans="1:10" ht="15.6">
      <c r="A5" s="181"/>
      <c r="B5" s="438" t="s">
        <v>1307</v>
      </c>
      <c r="C5" s="431"/>
      <c r="D5" s="397" t="str">
        <f>'Schedule 2_Balance Sheet'!C5</f>
        <v>Roshni Parikh</v>
      </c>
      <c r="E5" s="398"/>
      <c r="F5" s="398"/>
      <c r="G5" s="399"/>
      <c r="H5" s="431"/>
      <c r="I5" s="431"/>
      <c r="J5" s="431"/>
    </row>
    <row r="6" spans="1:10" ht="15.6">
      <c r="A6" s="181"/>
      <c r="B6" s="438" t="s">
        <v>1288</v>
      </c>
      <c r="C6" s="431"/>
      <c r="D6" s="401">
        <f>'Schedule 2_Balance Sheet'!C6</f>
        <v>45657</v>
      </c>
      <c r="E6" s="398"/>
      <c r="F6" s="398"/>
      <c r="G6" s="399"/>
      <c r="H6" s="431"/>
      <c r="I6" s="431"/>
      <c r="J6" s="431"/>
    </row>
    <row r="7" spans="1:10" ht="15.6">
      <c r="A7" s="433"/>
      <c r="B7" s="179" t="s">
        <v>1289</v>
      </c>
      <c r="C7" s="431"/>
      <c r="D7" s="431"/>
      <c r="E7" s="431"/>
      <c r="F7" s="431"/>
      <c r="G7" s="431"/>
      <c r="H7" s="431"/>
      <c r="I7" s="431"/>
      <c r="J7" s="431"/>
    </row>
    <row r="8" spans="1:10" ht="27" thickBot="1">
      <c r="A8" s="620" t="s">
        <v>1326</v>
      </c>
      <c r="B8" s="620" t="s">
        <v>1487</v>
      </c>
      <c r="C8" s="620" t="s">
        <v>1488</v>
      </c>
      <c r="D8" s="620" t="s">
        <v>1489</v>
      </c>
      <c r="E8" s="620" t="s">
        <v>1490</v>
      </c>
      <c r="F8" s="620" t="s">
        <v>404</v>
      </c>
      <c r="G8" s="620" t="s">
        <v>1491</v>
      </c>
      <c r="H8" s="620" t="s">
        <v>411</v>
      </c>
      <c r="I8" s="620" t="s">
        <v>1292</v>
      </c>
      <c r="J8" s="620" t="s">
        <v>1492</v>
      </c>
    </row>
    <row r="9" spans="1:10">
      <c r="A9" s="434">
        <v>1</v>
      </c>
      <c r="B9" s="953"/>
      <c r="C9" s="954"/>
      <c r="D9" s="954"/>
      <c r="E9" s="441"/>
      <c r="F9" s="448"/>
      <c r="G9" s="448"/>
      <c r="H9" s="448"/>
      <c r="I9" s="448"/>
      <c r="J9" s="955">
        <f t="shared" ref="J9:J72" si="0">SUM(F9:I9)</f>
        <v>0</v>
      </c>
    </row>
    <row r="10" spans="1:10">
      <c r="A10" s="435">
        <v>2</v>
      </c>
      <c r="B10" s="442"/>
      <c r="C10" s="443"/>
      <c r="D10" s="443"/>
      <c r="E10" s="444"/>
      <c r="F10" s="449"/>
      <c r="G10" s="449"/>
      <c r="H10" s="449"/>
      <c r="I10" s="449"/>
      <c r="J10" s="439">
        <f t="shared" si="0"/>
        <v>0</v>
      </c>
    </row>
    <row r="11" spans="1:10">
      <c r="A11" s="435">
        <v>3</v>
      </c>
      <c r="B11" s="442"/>
      <c r="C11" s="443"/>
      <c r="D11" s="443"/>
      <c r="E11" s="444"/>
      <c r="F11" s="449"/>
      <c r="G11" s="449"/>
      <c r="H11" s="449"/>
      <c r="I11" s="449"/>
      <c r="J11" s="439">
        <f t="shared" si="0"/>
        <v>0</v>
      </c>
    </row>
    <row r="12" spans="1:10">
      <c r="A12" s="435">
        <v>4</v>
      </c>
      <c r="B12" s="442"/>
      <c r="C12" s="443"/>
      <c r="D12" s="443"/>
      <c r="E12" s="444"/>
      <c r="F12" s="449"/>
      <c r="G12" s="449"/>
      <c r="H12" s="449"/>
      <c r="I12" s="449"/>
      <c r="J12" s="439">
        <f t="shared" si="0"/>
        <v>0</v>
      </c>
    </row>
    <row r="13" spans="1:10">
      <c r="A13" s="435">
        <v>5</v>
      </c>
      <c r="B13" s="442"/>
      <c r="C13" s="443"/>
      <c r="D13" s="443"/>
      <c r="E13" s="444"/>
      <c r="F13" s="449"/>
      <c r="G13" s="449"/>
      <c r="H13" s="449"/>
      <c r="I13" s="449"/>
      <c r="J13" s="439">
        <f t="shared" si="0"/>
        <v>0</v>
      </c>
    </row>
    <row r="14" spans="1:10">
      <c r="A14" s="435">
        <v>6</v>
      </c>
      <c r="B14" s="442"/>
      <c r="C14" s="443"/>
      <c r="D14" s="443"/>
      <c r="E14" s="444"/>
      <c r="F14" s="449"/>
      <c r="G14" s="449"/>
      <c r="H14" s="449"/>
      <c r="I14" s="449"/>
      <c r="J14" s="439">
        <f t="shared" si="0"/>
        <v>0</v>
      </c>
    </row>
    <row r="15" spans="1:10">
      <c r="A15" s="435">
        <v>7</v>
      </c>
      <c r="B15" s="442"/>
      <c r="C15" s="443"/>
      <c r="D15" s="443"/>
      <c r="E15" s="444"/>
      <c r="F15" s="449"/>
      <c r="G15" s="449"/>
      <c r="H15" s="449"/>
      <c r="I15" s="449"/>
      <c r="J15" s="439">
        <f t="shared" si="0"/>
        <v>0</v>
      </c>
    </row>
    <row r="16" spans="1:10">
      <c r="A16" s="435">
        <v>8</v>
      </c>
      <c r="B16" s="442"/>
      <c r="C16" s="443"/>
      <c r="D16" s="443"/>
      <c r="E16" s="444"/>
      <c r="F16" s="449"/>
      <c r="G16" s="449"/>
      <c r="H16" s="449"/>
      <c r="I16" s="449"/>
      <c r="J16" s="439">
        <f t="shared" si="0"/>
        <v>0</v>
      </c>
    </row>
    <row r="17" spans="1:10">
      <c r="A17" s="435">
        <v>9</v>
      </c>
      <c r="B17" s="442"/>
      <c r="C17" s="443"/>
      <c r="D17" s="443"/>
      <c r="E17" s="444"/>
      <c r="F17" s="449"/>
      <c r="G17" s="449"/>
      <c r="H17" s="449"/>
      <c r="I17" s="449"/>
      <c r="J17" s="439">
        <f t="shared" si="0"/>
        <v>0</v>
      </c>
    </row>
    <row r="18" spans="1:10">
      <c r="A18" s="435">
        <v>10</v>
      </c>
      <c r="B18" s="442"/>
      <c r="C18" s="443"/>
      <c r="D18" s="443"/>
      <c r="E18" s="444"/>
      <c r="F18" s="449"/>
      <c r="G18" s="449"/>
      <c r="H18" s="449"/>
      <c r="I18" s="449"/>
      <c r="J18" s="439">
        <f t="shared" si="0"/>
        <v>0</v>
      </c>
    </row>
    <row r="19" spans="1:10">
      <c r="A19" s="435">
        <v>11</v>
      </c>
      <c r="B19" s="442"/>
      <c r="C19" s="443"/>
      <c r="D19" s="443"/>
      <c r="E19" s="444"/>
      <c r="F19" s="449"/>
      <c r="G19" s="449"/>
      <c r="H19" s="449"/>
      <c r="I19" s="449"/>
      <c r="J19" s="439">
        <f t="shared" si="0"/>
        <v>0</v>
      </c>
    </row>
    <row r="20" spans="1:10">
      <c r="A20" s="435">
        <v>12</v>
      </c>
      <c r="B20" s="442"/>
      <c r="C20" s="443"/>
      <c r="D20" s="443"/>
      <c r="E20" s="444"/>
      <c r="F20" s="449"/>
      <c r="G20" s="449"/>
      <c r="H20" s="449"/>
      <c r="I20" s="449"/>
      <c r="J20" s="439">
        <f t="shared" si="0"/>
        <v>0</v>
      </c>
    </row>
    <row r="21" spans="1:10">
      <c r="A21" s="435">
        <v>13</v>
      </c>
      <c r="B21" s="442"/>
      <c r="C21" s="443"/>
      <c r="D21" s="443"/>
      <c r="E21" s="444"/>
      <c r="F21" s="449"/>
      <c r="G21" s="449"/>
      <c r="H21" s="449"/>
      <c r="I21" s="449"/>
      <c r="J21" s="439">
        <f t="shared" si="0"/>
        <v>0</v>
      </c>
    </row>
    <row r="22" spans="1:10">
      <c r="A22" s="435">
        <v>14</v>
      </c>
      <c r="B22" s="442"/>
      <c r="C22" s="443"/>
      <c r="D22" s="443"/>
      <c r="E22" s="444"/>
      <c r="F22" s="449"/>
      <c r="G22" s="449"/>
      <c r="H22" s="449"/>
      <c r="I22" s="449"/>
      <c r="J22" s="439">
        <f t="shared" si="0"/>
        <v>0</v>
      </c>
    </row>
    <row r="23" spans="1:10">
      <c r="A23" s="435">
        <v>15</v>
      </c>
      <c r="B23" s="442"/>
      <c r="C23" s="443"/>
      <c r="D23" s="443"/>
      <c r="E23" s="444"/>
      <c r="F23" s="449"/>
      <c r="G23" s="449"/>
      <c r="H23" s="449"/>
      <c r="I23" s="449"/>
      <c r="J23" s="439">
        <f t="shared" si="0"/>
        <v>0</v>
      </c>
    </row>
    <row r="24" spans="1:10">
      <c r="A24" s="435">
        <v>16</v>
      </c>
      <c r="B24" s="442"/>
      <c r="C24" s="443"/>
      <c r="D24" s="443"/>
      <c r="E24" s="444"/>
      <c r="F24" s="449"/>
      <c r="G24" s="449"/>
      <c r="H24" s="449"/>
      <c r="I24" s="449"/>
      <c r="J24" s="439">
        <f t="shared" si="0"/>
        <v>0</v>
      </c>
    </row>
    <row r="25" spans="1:10">
      <c r="A25" s="435">
        <v>17</v>
      </c>
      <c r="B25" s="442"/>
      <c r="C25" s="443"/>
      <c r="D25" s="443"/>
      <c r="E25" s="444"/>
      <c r="F25" s="449"/>
      <c r="G25" s="449"/>
      <c r="H25" s="449"/>
      <c r="I25" s="449"/>
      <c r="J25" s="439">
        <f t="shared" si="0"/>
        <v>0</v>
      </c>
    </row>
    <row r="26" spans="1:10">
      <c r="A26" s="435">
        <v>18</v>
      </c>
      <c r="B26" s="442"/>
      <c r="C26" s="443"/>
      <c r="D26" s="443"/>
      <c r="E26" s="444"/>
      <c r="F26" s="449"/>
      <c r="G26" s="449"/>
      <c r="H26" s="449"/>
      <c r="I26" s="449"/>
      <c r="J26" s="439">
        <f t="shared" si="0"/>
        <v>0</v>
      </c>
    </row>
    <row r="27" spans="1:10">
      <c r="A27" s="435">
        <v>19</v>
      </c>
      <c r="B27" s="442"/>
      <c r="C27" s="443"/>
      <c r="D27" s="443"/>
      <c r="E27" s="444"/>
      <c r="F27" s="449"/>
      <c r="G27" s="449"/>
      <c r="H27" s="449"/>
      <c r="I27" s="449"/>
      <c r="J27" s="439">
        <f t="shared" si="0"/>
        <v>0</v>
      </c>
    </row>
    <row r="28" spans="1:10">
      <c r="A28" s="435">
        <v>20</v>
      </c>
      <c r="B28" s="442"/>
      <c r="C28" s="443"/>
      <c r="D28" s="443"/>
      <c r="E28" s="444"/>
      <c r="F28" s="449"/>
      <c r="G28" s="449"/>
      <c r="H28" s="449"/>
      <c r="I28" s="449"/>
      <c r="J28" s="439">
        <f t="shared" si="0"/>
        <v>0</v>
      </c>
    </row>
    <row r="29" spans="1:10">
      <c r="A29" s="435">
        <v>21</v>
      </c>
      <c r="B29" s="442"/>
      <c r="C29" s="443"/>
      <c r="D29" s="443"/>
      <c r="E29" s="444"/>
      <c r="F29" s="449"/>
      <c r="G29" s="449"/>
      <c r="H29" s="449"/>
      <c r="I29" s="449"/>
      <c r="J29" s="439">
        <f t="shared" si="0"/>
        <v>0</v>
      </c>
    </row>
    <row r="30" spans="1:10">
      <c r="A30" s="435">
        <v>22</v>
      </c>
      <c r="B30" s="442"/>
      <c r="C30" s="443"/>
      <c r="D30" s="443"/>
      <c r="E30" s="444"/>
      <c r="F30" s="449"/>
      <c r="G30" s="449"/>
      <c r="H30" s="449"/>
      <c r="I30" s="449"/>
      <c r="J30" s="439">
        <f t="shared" si="0"/>
        <v>0</v>
      </c>
    </row>
    <row r="31" spans="1:10">
      <c r="A31" s="435">
        <v>23</v>
      </c>
      <c r="B31" s="442"/>
      <c r="C31" s="443"/>
      <c r="D31" s="443"/>
      <c r="E31" s="444"/>
      <c r="F31" s="449"/>
      <c r="G31" s="449"/>
      <c r="H31" s="449"/>
      <c r="I31" s="449"/>
      <c r="J31" s="439">
        <f t="shared" si="0"/>
        <v>0</v>
      </c>
    </row>
    <row r="32" spans="1:10">
      <c r="A32" s="435">
        <v>24</v>
      </c>
      <c r="B32" s="442"/>
      <c r="C32" s="443"/>
      <c r="D32" s="443"/>
      <c r="E32" s="444"/>
      <c r="F32" s="449"/>
      <c r="G32" s="449"/>
      <c r="H32" s="449"/>
      <c r="I32" s="449"/>
      <c r="J32" s="439">
        <f t="shared" si="0"/>
        <v>0</v>
      </c>
    </row>
    <row r="33" spans="1:10">
      <c r="A33" s="435">
        <v>25</v>
      </c>
      <c r="B33" s="442"/>
      <c r="C33" s="443"/>
      <c r="D33" s="443"/>
      <c r="E33" s="444"/>
      <c r="F33" s="449"/>
      <c r="G33" s="449"/>
      <c r="H33" s="449"/>
      <c r="I33" s="449"/>
      <c r="J33" s="439">
        <f t="shared" si="0"/>
        <v>0</v>
      </c>
    </row>
    <row r="34" spans="1:10">
      <c r="A34" s="435">
        <v>26</v>
      </c>
      <c r="B34" s="442"/>
      <c r="C34" s="443"/>
      <c r="D34" s="443"/>
      <c r="E34" s="444"/>
      <c r="F34" s="449"/>
      <c r="G34" s="449"/>
      <c r="H34" s="449"/>
      <c r="I34" s="449"/>
      <c r="J34" s="439">
        <f t="shared" si="0"/>
        <v>0</v>
      </c>
    </row>
    <row r="35" spans="1:10">
      <c r="A35" s="435">
        <v>27</v>
      </c>
      <c r="B35" s="442"/>
      <c r="C35" s="443"/>
      <c r="D35" s="443"/>
      <c r="E35" s="444"/>
      <c r="F35" s="449"/>
      <c r="G35" s="449"/>
      <c r="H35" s="449"/>
      <c r="I35" s="449"/>
      <c r="J35" s="439">
        <f t="shared" si="0"/>
        <v>0</v>
      </c>
    </row>
    <row r="36" spans="1:10">
      <c r="A36" s="435">
        <v>28</v>
      </c>
      <c r="B36" s="442"/>
      <c r="C36" s="443"/>
      <c r="D36" s="443"/>
      <c r="E36" s="444"/>
      <c r="F36" s="449"/>
      <c r="G36" s="449"/>
      <c r="H36" s="449"/>
      <c r="I36" s="449"/>
      <c r="J36" s="439">
        <f t="shared" si="0"/>
        <v>0</v>
      </c>
    </row>
    <row r="37" spans="1:10">
      <c r="A37" s="435">
        <v>29</v>
      </c>
      <c r="B37" s="442"/>
      <c r="C37" s="443"/>
      <c r="D37" s="443"/>
      <c r="E37" s="444"/>
      <c r="F37" s="449"/>
      <c r="G37" s="449"/>
      <c r="H37" s="449"/>
      <c r="I37" s="449"/>
      <c r="J37" s="439">
        <f t="shared" si="0"/>
        <v>0</v>
      </c>
    </row>
    <row r="38" spans="1:10">
      <c r="A38" s="435">
        <v>30</v>
      </c>
      <c r="B38" s="442"/>
      <c r="C38" s="443"/>
      <c r="D38" s="443"/>
      <c r="E38" s="444"/>
      <c r="F38" s="449"/>
      <c r="G38" s="449"/>
      <c r="H38" s="449"/>
      <c r="I38" s="449"/>
      <c r="J38" s="439">
        <f t="shared" si="0"/>
        <v>0</v>
      </c>
    </row>
    <row r="39" spans="1:10">
      <c r="A39" s="435">
        <v>31</v>
      </c>
      <c r="B39" s="442"/>
      <c r="C39" s="443"/>
      <c r="D39" s="443"/>
      <c r="E39" s="444"/>
      <c r="F39" s="449"/>
      <c r="G39" s="449"/>
      <c r="H39" s="449"/>
      <c r="I39" s="449"/>
      <c r="J39" s="439">
        <f t="shared" si="0"/>
        <v>0</v>
      </c>
    </row>
    <row r="40" spans="1:10">
      <c r="A40" s="435">
        <v>32</v>
      </c>
      <c r="B40" s="442"/>
      <c r="C40" s="443"/>
      <c r="D40" s="443"/>
      <c r="E40" s="444"/>
      <c r="F40" s="449"/>
      <c r="G40" s="449"/>
      <c r="H40" s="449"/>
      <c r="I40" s="449"/>
      <c r="J40" s="439">
        <f t="shared" si="0"/>
        <v>0</v>
      </c>
    </row>
    <row r="41" spans="1:10">
      <c r="A41" s="435">
        <v>33</v>
      </c>
      <c r="B41" s="442"/>
      <c r="C41" s="443"/>
      <c r="D41" s="443"/>
      <c r="E41" s="444"/>
      <c r="F41" s="449"/>
      <c r="G41" s="449"/>
      <c r="H41" s="449"/>
      <c r="I41" s="449"/>
      <c r="J41" s="439">
        <f t="shared" si="0"/>
        <v>0</v>
      </c>
    </row>
    <row r="42" spans="1:10">
      <c r="A42" s="435">
        <v>34</v>
      </c>
      <c r="B42" s="442"/>
      <c r="C42" s="443"/>
      <c r="D42" s="443"/>
      <c r="E42" s="444"/>
      <c r="F42" s="449"/>
      <c r="G42" s="449"/>
      <c r="H42" s="449"/>
      <c r="I42" s="449"/>
      <c r="J42" s="439">
        <f t="shared" si="0"/>
        <v>0</v>
      </c>
    </row>
    <row r="43" spans="1:10">
      <c r="A43" s="435">
        <v>35</v>
      </c>
      <c r="B43" s="442"/>
      <c r="C43" s="443"/>
      <c r="D43" s="443"/>
      <c r="E43" s="444"/>
      <c r="F43" s="449"/>
      <c r="G43" s="449"/>
      <c r="H43" s="449"/>
      <c r="I43" s="449"/>
      <c r="J43" s="439">
        <f t="shared" si="0"/>
        <v>0</v>
      </c>
    </row>
    <row r="44" spans="1:10">
      <c r="A44" s="435">
        <v>36</v>
      </c>
      <c r="B44" s="442"/>
      <c r="C44" s="443"/>
      <c r="D44" s="443"/>
      <c r="E44" s="444"/>
      <c r="F44" s="449"/>
      <c r="G44" s="449"/>
      <c r="H44" s="449"/>
      <c r="I44" s="449"/>
      <c r="J44" s="439">
        <f t="shared" si="0"/>
        <v>0</v>
      </c>
    </row>
    <row r="45" spans="1:10">
      <c r="A45" s="435">
        <v>37</v>
      </c>
      <c r="B45" s="442"/>
      <c r="C45" s="443"/>
      <c r="D45" s="443"/>
      <c r="E45" s="444"/>
      <c r="F45" s="449"/>
      <c r="G45" s="449"/>
      <c r="H45" s="449"/>
      <c r="I45" s="449"/>
      <c r="J45" s="439">
        <f t="shared" si="0"/>
        <v>0</v>
      </c>
    </row>
    <row r="46" spans="1:10">
      <c r="A46" s="435">
        <v>38</v>
      </c>
      <c r="B46" s="442"/>
      <c r="C46" s="443"/>
      <c r="D46" s="443"/>
      <c r="E46" s="444"/>
      <c r="F46" s="449"/>
      <c r="G46" s="449"/>
      <c r="H46" s="449"/>
      <c r="I46" s="449"/>
      <c r="J46" s="439">
        <f t="shared" si="0"/>
        <v>0</v>
      </c>
    </row>
    <row r="47" spans="1:10">
      <c r="A47" s="435">
        <v>39</v>
      </c>
      <c r="B47" s="442"/>
      <c r="C47" s="443"/>
      <c r="D47" s="443"/>
      <c r="E47" s="444"/>
      <c r="F47" s="449"/>
      <c r="G47" s="449"/>
      <c r="H47" s="449"/>
      <c r="I47" s="449"/>
      <c r="J47" s="439">
        <f t="shared" si="0"/>
        <v>0</v>
      </c>
    </row>
    <row r="48" spans="1:10">
      <c r="A48" s="435">
        <v>40</v>
      </c>
      <c r="B48" s="442"/>
      <c r="C48" s="443"/>
      <c r="D48" s="443"/>
      <c r="E48" s="444"/>
      <c r="F48" s="449"/>
      <c r="G48" s="449"/>
      <c r="H48" s="449"/>
      <c r="I48" s="449"/>
      <c r="J48" s="439">
        <f t="shared" si="0"/>
        <v>0</v>
      </c>
    </row>
    <row r="49" spans="1:10">
      <c r="A49" s="435">
        <v>41</v>
      </c>
      <c r="B49" s="442"/>
      <c r="C49" s="443"/>
      <c r="D49" s="443"/>
      <c r="E49" s="444"/>
      <c r="F49" s="449"/>
      <c r="G49" s="449"/>
      <c r="H49" s="449"/>
      <c r="I49" s="449"/>
      <c r="J49" s="439">
        <f t="shared" si="0"/>
        <v>0</v>
      </c>
    </row>
    <row r="50" spans="1:10">
      <c r="A50" s="435">
        <v>42</v>
      </c>
      <c r="B50" s="442"/>
      <c r="C50" s="443"/>
      <c r="D50" s="443"/>
      <c r="E50" s="444"/>
      <c r="F50" s="449"/>
      <c r="G50" s="449"/>
      <c r="H50" s="449"/>
      <c r="I50" s="449"/>
      <c r="J50" s="439">
        <f t="shared" si="0"/>
        <v>0</v>
      </c>
    </row>
    <row r="51" spans="1:10">
      <c r="A51" s="435">
        <v>43</v>
      </c>
      <c r="B51" s="442"/>
      <c r="C51" s="443"/>
      <c r="D51" s="443"/>
      <c r="E51" s="444"/>
      <c r="F51" s="449"/>
      <c r="G51" s="449"/>
      <c r="H51" s="449"/>
      <c r="I51" s="449"/>
      <c r="J51" s="439">
        <f t="shared" si="0"/>
        <v>0</v>
      </c>
    </row>
    <row r="52" spans="1:10">
      <c r="A52" s="435">
        <v>44</v>
      </c>
      <c r="B52" s="442"/>
      <c r="C52" s="443"/>
      <c r="D52" s="443"/>
      <c r="E52" s="444"/>
      <c r="F52" s="449"/>
      <c r="G52" s="449"/>
      <c r="H52" s="449"/>
      <c r="I52" s="449"/>
      <c r="J52" s="439">
        <f t="shared" si="0"/>
        <v>0</v>
      </c>
    </row>
    <row r="53" spans="1:10">
      <c r="A53" s="435">
        <v>45</v>
      </c>
      <c r="B53" s="442"/>
      <c r="C53" s="443"/>
      <c r="D53" s="443"/>
      <c r="E53" s="444"/>
      <c r="F53" s="449"/>
      <c r="G53" s="449"/>
      <c r="H53" s="449"/>
      <c r="I53" s="449"/>
      <c r="J53" s="439">
        <f t="shared" si="0"/>
        <v>0</v>
      </c>
    </row>
    <row r="54" spans="1:10">
      <c r="A54" s="435">
        <v>46</v>
      </c>
      <c r="B54" s="442"/>
      <c r="C54" s="443"/>
      <c r="D54" s="443"/>
      <c r="E54" s="444"/>
      <c r="F54" s="449"/>
      <c r="G54" s="449"/>
      <c r="H54" s="449"/>
      <c r="I54" s="449"/>
      <c r="J54" s="439">
        <f t="shared" si="0"/>
        <v>0</v>
      </c>
    </row>
    <row r="55" spans="1:10">
      <c r="A55" s="435">
        <v>47</v>
      </c>
      <c r="B55" s="442"/>
      <c r="C55" s="443"/>
      <c r="D55" s="443"/>
      <c r="E55" s="444"/>
      <c r="F55" s="449"/>
      <c r="G55" s="449"/>
      <c r="H55" s="449"/>
      <c r="I55" s="449"/>
      <c r="J55" s="439">
        <f t="shared" si="0"/>
        <v>0</v>
      </c>
    </row>
    <row r="56" spans="1:10">
      <c r="A56" s="435">
        <v>48</v>
      </c>
      <c r="B56" s="442"/>
      <c r="C56" s="443"/>
      <c r="D56" s="443"/>
      <c r="E56" s="444"/>
      <c r="F56" s="449"/>
      <c r="G56" s="449"/>
      <c r="H56" s="449"/>
      <c r="I56" s="449"/>
      <c r="J56" s="439">
        <f t="shared" si="0"/>
        <v>0</v>
      </c>
    </row>
    <row r="57" spans="1:10">
      <c r="A57" s="435">
        <v>49</v>
      </c>
      <c r="B57" s="442"/>
      <c r="C57" s="443"/>
      <c r="D57" s="443"/>
      <c r="E57" s="444"/>
      <c r="F57" s="449"/>
      <c r="G57" s="449"/>
      <c r="H57" s="449"/>
      <c r="I57" s="449"/>
      <c r="J57" s="439">
        <f t="shared" si="0"/>
        <v>0</v>
      </c>
    </row>
    <row r="58" spans="1:10">
      <c r="A58" s="435">
        <v>50</v>
      </c>
      <c r="B58" s="442"/>
      <c r="C58" s="443"/>
      <c r="D58" s="443"/>
      <c r="E58" s="444"/>
      <c r="F58" s="449"/>
      <c r="G58" s="449"/>
      <c r="H58" s="449"/>
      <c r="I58" s="449"/>
      <c r="J58" s="439">
        <f t="shared" si="0"/>
        <v>0</v>
      </c>
    </row>
    <row r="59" spans="1:10">
      <c r="A59" s="435">
        <v>51</v>
      </c>
      <c r="B59" s="442"/>
      <c r="C59" s="443"/>
      <c r="D59" s="443"/>
      <c r="E59" s="444"/>
      <c r="F59" s="449"/>
      <c r="G59" s="449"/>
      <c r="H59" s="449"/>
      <c r="I59" s="449"/>
      <c r="J59" s="439">
        <f t="shared" si="0"/>
        <v>0</v>
      </c>
    </row>
    <row r="60" spans="1:10">
      <c r="A60" s="435">
        <v>52</v>
      </c>
      <c r="B60" s="442"/>
      <c r="C60" s="443"/>
      <c r="D60" s="443"/>
      <c r="E60" s="444"/>
      <c r="F60" s="449"/>
      <c r="G60" s="449"/>
      <c r="H60" s="449"/>
      <c r="I60" s="449"/>
      <c r="J60" s="439">
        <f t="shared" si="0"/>
        <v>0</v>
      </c>
    </row>
    <row r="61" spans="1:10">
      <c r="A61" s="435">
        <v>53</v>
      </c>
      <c r="B61" s="442"/>
      <c r="C61" s="443"/>
      <c r="D61" s="443"/>
      <c r="E61" s="444"/>
      <c r="F61" s="449"/>
      <c r="G61" s="449"/>
      <c r="H61" s="449"/>
      <c r="I61" s="449"/>
      <c r="J61" s="439">
        <f t="shared" si="0"/>
        <v>0</v>
      </c>
    </row>
    <row r="62" spans="1:10">
      <c r="A62" s="435">
        <v>54</v>
      </c>
      <c r="B62" s="442"/>
      <c r="C62" s="443"/>
      <c r="D62" s="443"/>
      <c r="E62" s="444"/>
      <c r="F62" s="449"/>
      <c r="G62" s="449"/>
      <c r="H62" s="449"/>
      <c r="I62" s="449"/>
      <c r="J62" s="439">
        <f t="shared" si="0"/>
        <v>0</v>
      </c>
    </row>
    <row r="63" spans="1:10">
      <c r="A63" s="435">
        <v>55</v>
      </c>
      <c r="B63" s="442"/>
      <c r="C63" s="443"/>
      <c r="D63" s="443"/>
      <c r="E63" s="444"/>
      <c r="F63" s="449"/>
      <c r="G63" s="449"/>
      <c r="H63" s="449"/>
      <c r="I63" s="449"/>
      <c r="J63" s="439">
        <f t="shared" si="0"/>
        <v>0</v>
      </c>
    </row>
    <row r="64" spans="1:10">
      <c r="A64" s="435">
        <v>56</v>
      </c>
      <c r="B64" s="442"/>
      <c r="C64" s="443"/>
      <c r="D64" s="443"/>
      <c r="E64" s="444"/>
      <c r="F64" s="449"/>
      <c r="G64" s="449"/>
      <c r="H64" s="449"/>
      <c r="I64" s="449"/>
      <c r="J64" s="439">
        <f t="shared" si="0"/>
        <v>0</v>
      </c>
    </row>
    <row r="65" spans="1:10">
      <c r="A65" s="435">
        <v>57</v>
      </c>
      <c r="B65" s="442"/>
      <c r="C65" s="443"/>
      <c r="D65" s="443"/>
      <c r="E65" s="444"/>
      <c r="F65" s="449"/>
      <c r="G65" s="449"/>
      <c r="H65" s="449"/>
      <c r="I65" s="449"/>
      <c r="J65" s="439">
        <f t="shared" si="0"/>
        <v>0</v>
      </c>
    </row>
    <row r="66" spans="1:10">
      <c r="A66" s="435">
        <v>58</v>
      </c>
      <c r="B66" s="442"/>
      <c r="C66" s="443"/>
      <c r="D66" s="443"/>
      <c r="E66" s="444"/>
      <c r="F66" s="449"/>
      <c r="G66" s="449"/>
      <c r="H66" s="449"/>
      <c r="I66" s="449"/>
      <c r="J66" s="439">
        <f t="shared" si="0"/>
        <v>0</v>
      </c>
    </row>
    <row r="67" spans="1:10">
      <c r="A67" s="435">
        <v>59</v>
      </c>
      <c r="B67" s="442"/>
      <c r="C67" s="443"/>
      <c r="D67" s="443"/>
      <c r="E67" s="444"/>
      <c r="F67" s="449"/>
      <c r="G67" s="449"/>
      <c r="H67" s="449"/>
      <c r="I67" s="449"/>
      <c r="J67" s="439">
        <f t="shared" si="0"/>
        <v>0</v>
      </c>
    </row>
    <row r="68" spans="1:10">
      <c r="A68" s="435">
        <v>60</v>
      </c>
      <c r="B68" s="442"/>
      <c r="C68" s="443"/>
      <c r="D68" s="443"/>
      <c r="E68" s="444"/>
      <c r="F68" s="449"/>
      <c r="G68" s="449"/>
      <c r="H68" s="449"/>
      <c r="I68" s="449"/>
      <c r="J68" s="439">
        <f t="shared" si="0"/>
        <v>0</v>
      </c>
    </row>
    <row r="69" spans="1:10">
      <c r="A69" s="435">
        <v>61</v>
      </c>
      <c r="B69" s="442"/>
      <c r="C69" s="443"/>
      <c r="D69" s="443"/>
      <c r="E69" s="444"/>
      <c r="F69" s="449"/>
      <c r="G69" s="449"/>
      <c r="H69" s="449"/>
      <c r="I69" s="449"/>
      <c r="J69" s="439">
        <f t="shared" si="0"/>
        <v>0</v>
      </c>
    </row>
    <row r="70" spans="1:10">
      <c r="A70" s="435">
        <v>62</v>
      </c>
      <c r="B70" s="442"/>
      <c r="C70" s="443"/>
      <c r="D70" s="443"/>
      <c r="E70" s="444"/>
      <c r="F70" s="449"/>
      <c r="G70" s="449"/>
      <c r="H70" s="449"/>
      <c r="I70" s="449"/>
      <c r="J70" s="439">
        <f t="shared" si="0"/>
        <v>0</v>
      </c>
    </row>
    <row r="71" spans="1:10">
      <c r="A71" s="435">
        <v>63</v>
      </c>
      <c r="B71" s="442"/>
      <c r="C71" s="443"/>
      <c r="D71" s="443"/>
      <c r="E71" s="444"/>
      <c r="F71" s="449"/>
      <c r="G71" s="449"/>
      <c r="H71" s="449"/>
      <c r="I71" s="449"/>
      <c r="J71" s="439">
        <f t="shared" si="0"/>
        <v>0</v>
      </c>
    </row>
    <row r="72" spans="1:10">
      <c r="A72" s="435">
        <v>64</v>
      </c>
      <c r="B72" s="442"/>
      <c r="C72" s="443"/>
      <c r="D72" s="443"/>
      <c r="E72" s="444"/>
      <c r="F72" s="449"/>
      <c r="G72" s="449"/>
      <c r="H72" s="449"/>
      <c r="I72" s="449"/>
      <c r="J72" s="439">
        <f t="shared" si="0"/>
        <v>0</v>
      </c>
    </row>
    <row r="73" spans="1:10">
      <c r="A73" s="435">
        <v>65</v>
      </c>
      <c r="B73" s="442"/>
      <c r="C73" s="443"/>
      <c r="D73" s="443"/>
      <c r="E73" s="444"/>
      <c r="F73" s="449"/>
      <c r="G73" s="449"/>
      <c r="H73" s="449"/>
      <c r="I73" s="449"/>
      <c r="J73" s="439">
        <f t="shared" ref="J73:J98" si="1">SUM(F73:I73)</f>
        <v>0</v>
      </c>
    </row>
    <row r="74" spans="1:10">
      <c r="A74" s="435">
        <v>66</v>
      </c>
      <c r="B74" s="442"/>
      <c r="C74" s="443"/>
      <c r="D74" s="443"/>
      <c r="E74" s="444"/>
      <c r="F74" s="449"/>
      <c r="G74" s="449"/>
      <c r="H74" s="449"/>
      <c r="I74" s="449"/>
      <c r="J74" s="439">
        <f t="shared" si="1"/>
        <v>0</v>
      </c>
    </row>
    <row r="75" spans="1:10">
      <c r="A75" s="435">
        <v>67</v>
      </c>
      <c r="B75" s="442"/>
      <c r="C75" s="443"/>
      <c r="D75" s="443"/>
      <c r="E75" s="444"/>
      <c r="F75" s="449"/>
      <c r="G75" s="449"/>
      <c r="H75" s="449"/>
      <c r="I75" s="449"/>
      <c r="J75" s="439">
        <f t="shared" si="1"/>
        <v>0</v>
      </c>
    </row>
    <row r="76" spans="1:10">
      <c r="A76" s="435">
        <v>68</v>
      </c>
      <c r="B76" s="442"/>
      <c r="C76" s="443"/>
      <c r="D76" s="443"/>
      <c r="E76" s="444"/>
      <c r="F76" s="449"/>
      <c r="G76" s="449"/>
      <c r="H76" s="449"/>
      <c r="I76" s="449"/>
      <c r="J76" s="439">
        <f t="shared" si="1"/>
        <v>0</v>
      </c>
    </row>
    <row r="77" spans="1:10">
      <c r="A77" s="435">
        <v>69</v>
      </c>
      <c r="B77" s="442"/>
      <c r="C77" s="443"/>
      <c r="D77" s="443"/>
      <c r="E77" s="444"/>
      <c r="F77" s="449"/>
      <c r="G77" s="449"/>
      <c r="H77" s="449"/>
      <c r="I77" s="449"/>
      <c r="J77" s="439">
        <f t="shared" si="1"/>
        <v>0</v>
      </c>
    </row>
    <row r="78" spans="1:10">
      <c r="A78" s="435">
        <v>70</v>
      </c>
      <c r="B78" s="442"/>
      <c r="C78" s="443"/>
      <c r="D78" s="443"/>
      <c r="E78" s="444"/>
      <c r="F78" s="449"/>
      <c r="G78" s="449"/>
      <c r="H78" s="449"/>
      <c r="I78" s="449"/>
      <c r="J78" s="439">
        <f t="shared" si="1"/>
        <v>0</v>
      </c>
    </row>
    <row r="79" spans="1:10">
      <c r="A79" s="435">
        <v>71</v>
      </c>
      <c r="B79" s="442"/>
      <c r="C79" s="443"/>
      <c r="D79" s="443"/>
      <c r="E79" s="444"/>
      <c r="F79" s="449"/>
      <c r="G79" s="449"/>
      <c r="H79" s="449"/>
      <c r="I79" s="449"/>
      <c r="J79" s="439">
        <f t="shared" si="1"/>
        <v>0</v>
      </c>
    </row>
    <row r="80" spans="1:10">
      <c r="A80" s="435">
        <v>72</v>
      </c>
      <c r="B80" s="442"/>
      <c r="C80" s="443"/>
      <c r="D80" s="443"/>
      <c r="E80" s="444"/>
      <c r="F80" s="449"/>
      <c r="G80" s="449"/>
      <c r="H80" s="449"/>
      <c r="I80" s="449"/>
      <c r="J80" s="439">
        <f t="shared" si="1"/>
        <v>0</v>
      </c>
    </row>
    <row r="81" spans="1:10">
      <c r="A81" s="435">
        <v>73</v>
      </c>
      <c r="B81" s="442"/>
      <c r="C81" s="443"/>
      <c r="D81" s="443"/>
      <c r="E81" s="444"/>
      <c r="F81" s="449"/>
      <c r="G81" s="449"/>
      <c r="H81" s="449"/>
      <c r="I81" s="449"/>
      <c r="J81" s="439">
        <f t="shared" si="1"/>
        <v>0</v>
      </c>
    </row>
    <row r="82" spans="1:10">
      <c r="A82" s="435">
        <v>74</v>
      </c>
      <c r="B82" s="442"/>
      <c r="C82" s="443"/>
      <c r="D82" s="443"/>
      <c r="E82" s="444"/>
      <c r="F82" s="449"/>
      <c r="G82" s="449"/>
      <c r="H82" s="449"/>
      <c r="I82" s="449"/>
      <c r="J82" s="439">
        <f t="shared" si="1"/>
        <v>0</v>
      </c>
    </row>
    <row r="83" spans="1:10">
      <c r="A83" s="435">
        <v>75</v>
      </c>
      <c r="B83" s="442"/>
      <c r="C83" s="443"/>
      <c r="D83" s="443"/>
      <c r="E83" s="444"/>
      <c r="F83" s="449"/>
      <c r="G83" s="449"/>
      <c r="H83" s="449"/>
      <c r="I83" s="449"/>
      <c r="J83" s="439">
        <f t="shared" si="1"/>
        <v>0</v>
      </c>
    </row>
    <row r="84" spans="1:10">
      <c r="A84" s="435">
        <v>76</v>
      </c>
      <c r="B84" s="442"/>
      <c r="C84" s="443"/>
      <c r="D84" s="443"/>
      <c r="E84" s="444"/>
      <c r="F84" s="449"/>
      <c r="G84" s="449"/>
      <c r="H84" s="449"/>
      <c r="I84" s="449"/>
      <c r="J84" s="439">
        <f t="shared" si="1"/>
        <v>0</v>
      </c>
    </row>
    <row r="85" spans="1:10">
      <c r="A85" s="435">
        <v>77</v>
      </c>
      <c r="B85" s="442"/>
      <c r="C85" s="443"/>
      <c r="D85" s="443"/>
      <c r="E85" s="444"/>
      <c r="F85" s="449"/>
      <c r="G85" s="449"/>
      <c r="H85" s="449"/>
      <c r="I85" s="449"/>
      <c r="J85" s="439">
        <f t="shared" si="1"/>
        <v>0</v>
      </c>
    </row>
    <row r="86" spans="1:10">
      <c r="A86" s="435">
        <v>78</v>
      </c>
      <c r="B86" s="442"/>
      <c r="C86" s="443"/>
      <c r="D86" s="443"/>
      <c r="E86" s="444"/>
      <c r="F86" s="449"/>
      <c r="G86" s="449"/>
      <c r="H86" s="449"/>
      <c r="I86" s="449"/>
      <c r="J86" s="439">
        <f t="shared" si="1"/>
        <v>0</v>
      </c>
    </row>
    <row r="87" spans="1:10">
      <c r="A87" s="435">
        <v>79</v>
      </c>
      <c r="B87" s="442"/>
      <c r="C87" s="443"/>
      <c r="D87" s="443"/>
      <c r="E87" s="444"/>
      <c r="F87" s="449"/>
      <c r="G87" s="449"/>
      <c r="H87" s="449"/>
      <c r="I87" s="449"/>
      <c r="J87" s="439">
        <f t="shared" si="1"/>
        <v>0</v>
      </c>
    </row>
    <row r="88" spans="1:10">
      <c r="A88" s="435">
        <v>80</v>
      </c>
      <c r="B88" s="442"/>
      <c r="C88" s="443"/>
      <c r="D88" s="443"/>
      <c r="E88" s="444"/>
      <c r="F88" s="449"/>
      <c r="G88" s="449"/>
      <c r="H88" s="449"/>
      <c r="I88" s="449"/>
      <c r="J88" s="439">
        <f t="shared" si="1"/>
        <v>0</v>
      </c>
    </row>
    <row r="89" spans="1:10">
      <c r="A89" s="435">
        <v>81</v>
      </c>
      <c r="B89" s="442"/>
      <c r="C89" s="443"/>
      <c r="D89" s="443"/>
      <c r="E89" s="444"/>
      <c r="F89" s="449"/>
      <c r="G89" s="449"/>
      <c r="H89" s="449"/>
      <c r="I89" s="449"/>
      <c r="J89" s="439">
        <f t="shared" si="1"/>
        <v>0</v>
      </c>
    </row>
    <row r="90" spans="1:10">
      <c r="A90" s="435">
        <v>82</v>
      </c>
      <c r="B90" s="442"/>
      <c r="C90" s="443"/>
      <c r="D90" s="443"/>
      <c r="E90" s="444"/>
      <c r="F90" s="449"/>
      <c r="G90" s="449"/>
      <c r="H90" s="449"/>
      <c r="I90" s="449"/>
      <c r="J90" s="439">
        <f t="shared" si="1"/>
        <v>0</v>
      </c>
    </row>
    <row r="91" spans="1:10">
      <c r="A91" s="435">
        <v>83</v>
      </c>
      <c r="B91" s="442"/>
      <c r="C91" s="443"/>
      <c r="D91" s="443"/>
      <c r="E91" s="444"/>
      <c r="F91" s="449"/>
      <c r="G91" s="449"/>
      <c r="H91" s="449"/>
      <c r="I91" s="449"/>
      <c r="J91" s="439">
        <f t="shared" si="1"/>
        <v>0</v>
      </c>
    </row>
    <row r="92" spans="1:10">
      <c r="A92" s="435">
        <v>84</v>
      </c>
      <c r="B92" s="442"/>
      <c r="C92" s="443"/>
      <c r="D92" s="443"/>
      <c r="E92" s="444"/>
      <c r="F92" s="449"/>
      <c r="G92" s="449"/>
      <c r="H92" s="449"/>
      <c r="I92" s="449"/>
      <c r="J92" s="439">
        <f t="shared" si="1"/>
        <v>0</v>
      </c>
    </row>
    <row r="93" spans="1:10">
      <c r="A93" s="435">
        <v>85</v>
      </c>
      <c r="B93" s="442"/>
      <c r="C93" s="443"/>
      <c r="D93" s="443"/>
      <c r="E93" s="444"/>
      <c r="F93" s="449"/>
      <c r="G93" s="449"/>
      <c r="H93" s="449"/>
      <c r="I93" s="449"/>
      <c r="J93" s="439">
        <f t="shared" si="1"/>
        <v>0</v>
      </c>
    </row>
    <row r="94" spans="1:10">
      <c r="A94" s="435">
        <v>86</v>
      </c>
      <c r="B94" s="442"/>
      <c r="C94" s="443"/>
      <c r="D94" s="443"/>
      <c r="E94" s="444"/>
      <c r="F94" s="449"/>
      <c r="G94" s="449"/>
      <c r="H94" s="449"/>
      <c r="I94" s="449"/>
      <c r="J94" s="439">
        <f t="shared" si="1"/>
        <v>0</v>
      </c>
    </row>
    <row r="95" spans="1:10">
      <c r="A95" s="435">
        <v>87</v>
      </c>
      <c r="B95" s="442"/>
      <c r="C95" s="443"/>
      <c r="D95" s="443"/>
      <c r="E95" s="444"/>
      <c r="F95" s="449"/>
      <c r="G95" s="449"/>
      <c r="H95" s="449"/>
      <c r="I95" s="449"/>
      <c r="J95" s="439">
        <f t="shared" si="1"/>
        <v>0</v>
      </c>
    </row>
    <row r="96" spans="1:10">
      <c r="A96" s="435">
        <v>88</v>
      </c>
      <c r="B96" s="442"/>
      <c r="C96" s="443"/>
      <c r="D96" s="443"/>
      <c r="E96" s="444"/>
      <c r="F96" s="449"/>
      <c r="G96" s="449"/>
      <c r="H96" s="449"/>
      <c r="I96" s="449"/>
      <c r="J96" s="439">
        <f t="shared" si="1"/>
        <v>0</v>
      </c>
    </row>
    <row r="97" spans="1:10">
      <c r="A97" s="435">
        <v>89</v>
      </c>
      <c r="B97" s="442"/>
      <c r="C97" s="443"/>
      <c r="D97" s="443"/>
      <c r="E97" s="444"/>
      <c r="F97" s="449"/>
      <c r="G97" s="449"/>
      <c r="H97" s="449"/>
      <c r="I97" s="449"/>
      <c r="J97" s="439">
        <f t="shared" si="1"/>
        <v>0</v>
      </c>
    </row>
    <row r="98" spans="1:10" ht="13.9" thickBot="1">
      <c r="A98" s="436">
        <v>90</v>
      </c>
      <c r="B98" s="445"/>
      <c r="C98" s="446"/>
      <c r="D98" s="446"/>
      <c r="E98" s="447"/>
      <c r="F98" s="450"/>
      <c r="G98" s="450"/>
      <c r="H98" s="450"/>
      <c r="I98" s="450"/>
      <c r="J98" s="440">
        <f t="shared" si="1"/>
        <v>0</v>
      </c>
    </row>
    <row r="99" spans="1:10" ht="7.5" customHeight="1" thickBot="1">
      <c r="A99" s="431"/>
      <c r="B99" s="431"/>
      <c r="C99" s="431"/>
      <c r="D99" s="431"/>
      <c r="E99" s="431"/>
      <c r="F99" s="437"/>
      <c r="G99" s="437"/>
      <c r="H99" s="437"/>
      <c r="I99" s="437"/>
      <c r="J99" s="431"/>
    </row>
    <row r="100" spans="1:10" ht="13.9" thickBot="1">
      <c r="A100" s="431"/>
      <c r="B100" s="431"/>
      <c r="C100" s="431"/>
      <c r="D100" s="431"/>
      <c r="E100" s="452" t="s">
        <v>1493</v>
      </c>
      <c r="F100" s="451">
        <f>SUM(F9:F98)</f>
        <v>0</v>
      </c>
      <c r="G100" s="451">
        <f>SUM(G9:G98)</f>
        <v>0</v>
      </c>
      <c r="H100" s="451">
        <f>SUM(H9:H98)</f>
        <v>0</v>
      </c>
      <c r="I100" s="451">
        <f>SUM(I9:I98)</f>
        <v>0</v>
      </c>
      <c r="J100" s="451">
        <f>SUM(J9:J98)</f>
        <v>0</v>
      </c>
    </row>
  </sheetData>
  <sheetProtection algorithmName="SHA-512" hashValue="jIw+mfH5GRsCnvw2bMdhkLEs1jCNTCsFjbZGxS3H4k4wHwpdvk3V8Sqt0mXEGq+mg3H9hl4jeDay8sRVG8fQ8w==" saltValue="TTiSblxyOcYI3oSPOBJyYw==" spinCount="100000" sheet="1" formatColumns="0" formatRows="0" insertRows="0"/>
  <protectedRanges>
    <protectedRange sqref="C9:C99" name="Range4"/>
    <protectedRange sqref="F9:I99" name="Range1"/>
  </protectedRanges>
  <dataValidations count="1">
    <dataValidation type="list" allowBlank="1" showInputMessage="1" showErrorMessage="1" sqref="D99:E99" xr:uid="{00000000-0002-0000-13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1000000}">
          <x14:formula1>
            <xm:f>'Schedule 1_Enrollment'!$C$12:$C$14</xm:f>
          </x14:formula1>
          <xm:sqref>D9:D98</xm:sqref>
        </x14:dataValidation>
        <x14:dataValidation type="list" allowBlank="1" showInputMessage="1" showErrorMessage="1" xr:uid="{00000000-0002-0000-1300-000002000000}">
          <x14:formula1>
            <xm:f>'Schedule 3A_Income Statement'!$A$35:$A$61</xm:f>
          </x14:formula1>
          <xm:sqref>E9:E98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DJ47"/>
  <sheetViews>
    <sheetView topLeftCell="L1" zoomScale="60" zoomScaleNormal="60" workbookViewId="0">
      <selection activeCell="AE46" sqref="AE46"/>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28515625" style="456" bestFit="1" customWidth="1"/>
    <col min="34" max="34" width="16.5703125" style="456" customWidth="1"/>
    <col min="35" max="16384" width="8" style="456"/>
  </cols>
  <sheetData>
    <row r="1" spans="1:114" s="458" customFormat="1" ht="15.6">
      <c r="A1" s="427" t="s">
        <v>1494</v>
      </c>
      <c r="B1" s="453"/>
      <c r="C1" s="454"/>
      <c r="D1" s="430"/>
      <c r="E1" s="454"/>
      <c r="F1" s="454"/>
      <c r="G1" s="455"/>
      <c r="H1" s="455"/>
      <c r="I1" s="455"/>
      <c r="J1" s="455"/>
      <c r="K1" s="455"/>
      <c r="L1" s="455"/>
      <c r="M1" s="455"/>
      <c r="N1" s="455"/>
      <c r="O1" s="455"/>
      <c r="P1" s="455"/>
      <c r="Q1" s="455"/>
      <c r="R1" s="455"/>
      <c r="S1" s="455"/>
      <c r="T1" s="455"/>
      <c r="U1" s="455"/>
      <c r="V1" s="455"/>
      <c r="W1" s="455"/>
      <c r="X1" s="455"/>
      <c r="Y1" s="455"/>
      <c r="Z1" s="455"/>
      <c r="AA1" s="455"/>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s="458" customFormat="1">
      <c r="A2" s="181" t="s">
        <v>1303</v>
      </c>
      <c r="B2" s="181"/>
      <c r="C2" s="397" t="str">
        <f>'Schedule 2_Balance Sheet'!C2</f>
        <v>Tufts Associated Health Plans, Inc. (TAHMO)</v>
      </c>
      <c r="D2" s="398"/>
      <c r="E2" s="398"/>
      <c r="F2" s="399"/>
      <c r="G2" s="455"/>
      <c r="H2" s="455"/>
      <c r="I2" s="455"/>
      <c r="J2" s="455"/>
      <c r="K2" s="455"/>
      <c r="L2" s="455"/>
      <c r="M2" s="455"/>
      <c r="N2" s="455"/>
      <c r="O2" s="455"/>
      <c r="P2" s="455"/>
      <c r="Q2" s="455"/>
      <c r="R2" s="455"/>
      <c r="S2" s="455"/>
      <c r="T2" s="455"/>
      <c r="U2" s="455"/>
      <c r="V2" s="455"/>
      <c r="W2" s="455"/>
      <c r="X2" s="455"/>
      <c r="Y2" s="455"/>
      <c r="Z2" s="455"/>
      <c r="AA2" s="455"/>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s="458" customFormat="1">
      <c r="A3" s="181" t="s">
        <v>1285</v>
      </c>
      <c r="B3" s="181"/>
      <c r="C3" s="520" t="str">
        <f>'Schedule 2_Balance Sheet'!C3</f>
        <v>01/01/2024 - 12/31/2024</v>
      </c>
      <c r="D3" s="521"/>
      <c r="E3" s="521"/>
      <c r="F3" s="522"/>
      <c r="G3" s="455"/>
      <c r="H3" s="455"/>
      <c r="I3" s="455"/>
      <c r="J3" s="455"/>
      <c r="K3" s="455"/>
      <c r="L3" s="455"/>
      <c r="M3" s="455"/>
      <c r="N3" s="455"/>
      <c r="O3" s="455"/>
      <c r="P3" s="455"/>
      <c r="Q3" s="455"/>
      <c r="R3" s="455"/>
      <c r="S3" s="455"/>
      <c r="T3" s="455"/>
      <c r="U3" s="455"/>
      <c r="V3" s="455"/>
      <c r="W3" s="455"/>
      <c r="X3" s="455"/>
      <c r="Y3" s="455"/>
      <c r="Z3" s="455"/>
      <c r="AA3" s="455"/>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s="458" customFormat="1">
      <c r="A4" s="181" t="s">
        <v>1306</v>
      </c>
      <c r="B4" s="181"/>
      <c r="C4" s="401">
        <f>'Schedule 2_Balance Sheet'!C4</f>
        <v>45657</v>
      </c>
      <c r="D4" s="398"/>
      <c r="E4" s="398"/>
      <c r="F4" s="399"/>
      <c r="G4" s="455"/>
      <c r="H4" s="455"/>
      <c r="I4" s="455"/>
      <c r="J4" s="455"/>
      <c r="K4" s="455"/>
      <c r="L4" s="455"/>
      <c r="M4" s="455"/>
      <c r="N4" s="455"/>
      <c r="O4" s="455"/>
      <c r="P4" s="455"/>
      <c r="Q4" s="455"/>
      <c r="R4" s="455"/>
      <c r="S4" s="455"/>
      <c r="T4" s="455"/>
      <c r="U4" s="455"/>
      <c r="V4" s="455"/>
      <c r="W4" s="455"/>
      <c r="X4" s="455"/>
      <c r="Y4" s="455"/>
      <c r="Z4" s="455"/>
      <c r="AA4" s="455"/>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s="458" customFormat="1">
      <c r="A5" s="181" t="s">
        <v>1307</v>
      </c>
      <c r="B5" s="181"/>
      <c r="C5" s="397" t="str">
        <f>'Schedule 2_Balance Sheet'!C5</f>
        <v>Roshni Parikh</v>
      </c>
      <c r="D5" s="398"/>
      <c r="E5" s="398"/>
      <c r="F5" s="399"/>
      <c r="G5" s="455"/>
      <c r="H5" s="455"/>
      <c r="I5" s="455"/>
      <c r="J5" s="455"/>
      <c r="K5" s="455"/>
      <c r="L5" s="455"/>
      <c r="M5" s="455"/>
      <c r="N5" s="455"/>
      <c r="O5" s="455"/>
      <c r="P5" s="455"/>
      <c r="Q5" s="455"/>
      <c r="R5" s="455"/>
      <c r="S5" s="455"/>
      <c r="T5" s="455"/>
      <c r="U5" s="455"/>
      <c r="V5" s="455"/>
      <c r="W5" s="455"/>
      <c r="X5" s="455"/>
      <c r="Y5" s="455"/>
      <c r="Z5" s="455"/>
      <c r="AA5" s="455"/>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s="458" customFormat="1">
      <c r="A6" s="181" t="s">
        <v>1288</v>
      </c>
      <c r="B6" s="181"/>
      <c r="C6" s="401">
        <f>'Schedule 2_Balance Sheet'!C6</f>
        <v>45657</v>
      </c>
      <c r="D6" s="398"/>
      <c r="E6" s="398"/>
      <c r="F6" s="399"/>
      <c r="G6" s="455"/>
      <c r="H6" s="455"/>
      <c r="I6" s="455"/>
      <c r="J6" s="455"/>
      <c r="K6" s="455"/>
      <c r="L6" s="455"/>
      <c r="M6" s="455"/>
      <c r="N6" s="455"/>
      <c r="O6" s="455"/>
      <c r="P6" s="455"/>
      <c r="Q6" s="455"/>
      <c r="R6" s="455"/>
      <c r="S6" s="455"/>
      <c r="T6" s="455"/>
      <c r="U6" s="455"/>
      <c r="V6" s="455"/>
      <c r="W6" s="455"/>
      <c r="X6" s="455"/>
      <c r="Y6" s="455"/>
      <c r="Z6" s="455"/>
      <c r="AA6" s="455"/>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s="458" customFormat="1" ht="13.9" thickBot="1">
      <c r="A7" s="179" t="s">
        <v>1495</v>
      </c>
      <c r="B7" s="343"/>
      <c r="C7" s="343"/>
      <c r="D7" s="343"/>
      <c r="E7" s="343"/>
      <c r="F7" s="343"/>
      <c r="G7" s="343"/>
      <c r="H7" s="343"/>
      <c r="I7" s="455"/>
      <c r="J7" s="455"/>
      <c r="K7" s="455"/>
      <c r="L7" s="455"/>
      <c r="M7" s="455"/>
      <c r="N7" s="455"/>
      <c r="O7" s="455"/>
      <c r="P7" s="455"/>
      <c r="Q7" s="455"/>
      <c r="R7" s="455"/>
      <c r="S7" s="455"/>
      <c r="T7" s="455"/>
      <c r="U7" s="455"/>
      <c r="V7" s="455"/>
      <c r="W7" s="455"/>
      <c r="X7" s="455"/>
      <c r="Y7" s="455"/>
      <c r="Z7" s="455"/>
      <c r="AA7" s="455"/>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934263.31000000099</v>
      </c>
      <c r="E10" s="959">
        <v>438431.81999999902</v>
      </c>
      <c r="F10" s="959">
        <v>167712.71</v>
      </c>
      <c r="G10" s="959">
        <v>15210.33</v>
      </c>
      <c r="H10" s="959">
        <v>12511.13</v>
      </c>
      <c r="I10" s="959">
        <v>13928.26</v>
      </c>
      <c r="J10" s="959">
        <v>15453.47</v>
      </c>
      <c r="K10" s="959">
        <v>7505.01</v>
      </c>
      <c r="L10" s="959">
        <v>3435.26</v>
      </c>
      <c r="M10" s="959">
        <v>2788.95</v>
      </c>
      <c r="N10" s="959">
        <v>2237.0300000000002</v>
      </c>
      <c r="O10" s="959">
        <v>574.99</v>
      </c>
      <c r="P10" s="959">
        <v>397.59</v>
      </c>
      <c r="Q10" s="959">
        <v>781.21</v>
      </c>
      <c r="R10" s="959">
        <v>994.74</v>
      </c>
      <c r="S10" s="959">
        <v>1529.27</v>
      </c>
      <c r="T10" s="959">
        <v>1995.9</v>
      </c>
      <c r="U10" s="959">
        <v>1272.5999999999999</v>
      </c>
      <c r="V10" s="959">
        <v>-171.12</v>
      </c>
      <c r="W10" s="959">
        <v>1506.5</v>
      </c>
      <c r="X10" s="959">
        <v>347.39</v>
      </c>
      <c r="Y10" s="959">
        <v>0</v>
      </c>
      <c r="Z10" s="959">
        <v>0</v>
      </c>
      <c r="AA10" s="959">
        <v>193.52</v>
      </c>
      <c r="AB10" s="959">
        <v>0</v>
      </c>
      <c r="AC10" s="959">
        <v>0</v>
      </c>
      <c r="AD10" s="959"/>
      <c r="AE10" s="959"/>
      <c r="AF10" s="513"/>
      <c r="AG10" s="512">
        <v>1622809.6799999997</v>
      </c>
      <c r="AH10" s="481">
        <f t="shared" ref="AH10:AH38" si="0">SUM(C10:AG10)</f>
        <v>3245709.5499999993</v>
      </c>
    </row>
    <row r="11" spans="1:114" s="460" customFormat="1">
      <c r="A11" s="482">
        <v>2</v>
      </c>
      <c r="B11" s="483">
        <f>'Schedule 2_Balance Sheet'!C4</f>
        <v>45657</v>
      </c>
      <c r="C11" s="498"/>
      <c r="D11" s="524">
        <v>1649881.52</v>
      </c>
      <c r="E11" s="524">
        <v>829147.01999999804</v>
      </c>
      <c r="F11" s="524">
        <v>577707.42000000004</v>
      </c>
      <c r="G11" s="524">
        <v>104874.25</v>
      </c>
      <c r="H11" s="524">
        <v>21971.63</v>
      </c>
      <c r="I11" s="524">
        <v>11829.65</v>
      </c>
      <c r="J11" s="524">
        <v>10533.02</v>
      </c>
      <c r="K11" s="524">
        <v>13776.26</v>
      </c>
      <c r="L11" s="524">
        <v>8515.25</v>
      </c>
      <c r="M11" s="524">
        <v>1554.27</v>
      </c>
      <c r="N11" s="524">
        <v>742.03</v>
      </c>
      <c r="O11" s="524">
        <v>766.48</v>
      </c>
      <c r="P11" s="524">
        <v>841.28</v>
      </c>
      <c r="Q11" s="524">
        <v>1369.9</v>
      </c>
      <c r="R11" s="524">
        <v>253.24</v>
      </c>
      <c r="S11" s="524">
        <v>118.93</v>
      </c>
      <c r="T11" s="524">
        <v>179.74</v>
      </c>
      <c r="U11" s="524">
        <v>33.14</v>
      </c>
      <c r="V11" s="524">
        <v>79.37</v>
      </c>
      <c r="W11" s="524">
        <v>168.21</v>
      </c>
      <c r="X11" s="524">
        <v>0</v>
      </c>
      <c r="Y11" s="524">
        <v>-105.1</v>
      </c>
      <c r="Z11" s="524">
        <v>0</v>
      </c>
      <c r="AA11" s="524">
        <v>253.91</v>
      </c>
      <c r="AB11" s="524">
        <v>0</v>
      </c>
      <c r="AC11" s="524">
        <v>0</v>
      </c>
      <c r="AD11" s="524"/>
      <c r="AE11" s="524"/>
      <c r="AF11" s="514"/>
      <c r="AG11" s="510">
        <v>1622809.6799999997</v>
      </c>
      <c r="AH11" s="481">
        <f t="shared" si="0"/>
        <v>4857301.0999999978</v>
      </c>
    </row>
    <row r="12" spans="1:114" s="460" customFormat="1">
      <c r="A12" s="482">
        <v>3</v>
      </c>
      <c r="B12" s="483">
        <f>EOMONTH(B11,-1)</f>
        <v>45626</v>
      </c>
      <c r="C12" s="498"/>
      <c r="D12" s="498">
        <v>0</v>
      </c>
      <c r="E12" s="471">
        <v>1827458.8499999901</v>
      </c>
      <c r="F12" s="471">
        <v>1394861.79999998</v>
      </c>
      <c r="G12" s="471">
        <v>570967.46000000404</v>
      </c>
      <c r="H12" s="471">
        <v>195734.55</v>
      </c>
      <c r="I12" s="471">
        <v>33886.199999999997</v>
      </c>
      <c r="J12" s="471">
        <v>18581.169999999998</v>
      </c>
      <c r="K12" s="471">
        <v>12654.71</v>
      </c>
      <c r="L12" s="471">
        <v>16614.22</v>
      </c>
      <c r="M12" s="471">
        <v>5455.95</v>
      </c>
      <c r="N12" s="471">
        <v>3504.1</v>
      </c>
      <c r="O12" s="471">
        <v>6708.15</v>
      </c>
      <c r="P12" s="471">
        <v>4490.0600000000004</v>
      </c>
      <c r="Q12" s="471">
        <v>1106.98</v>
      </c>
      <c r="R12" s="471">
        <v>110.32</v>
      </c>
      <c r="S12" s="471">
        <v>472.23</v>
      </c>
      <c r="T12" s="471">
        <v>725.42</v>
      </c>
      <c r="U12" s="471">
        <v>501.88</v>
      </c>
      <c r="V12" s="471">
        <v>-215.65</v>
      </c>
      <c r="W12" s="471">
        <v>220.39</v>
      </c>
      <c r="X12" s="471">
        <v>82.92</v>
      </c>
      <c r="Y12" s="471">
        <v>0</v>
      </c>
      <c r="Z12" s="471">
        <v>0</v>
      </c>
      <c r="AA12" s="471">
        <v>0</v>
      </c>
      <c r="AB12" s="471">
        <v>0</v>
      </c>
      <c r="AC12" s="471">
        <v>0</v>
      </c>
      <c r="AD12" s="471"/>
      <c r="AE12" s="471"/>
      <c r="AF12" s="506"/>
      <c r="AG12" s="510">
        <v>1622809.6799999997</v>
      </c>
      <c r="AH12" s="481">
        <f t="shared" si="0"/>
        <v>5716731.3899999745</v>
      </c>
    </row>
    <row r="13" spans="1:114" s="459" customFormat="1" ht="15" customHeight="1">
      <c r="A13" s="482">
        <v>4</v>
      </c>
      <c r="B13" s="483">
        <f t="shared" ref="B13:B39" si="1">EOMONTH(B12,-1)</f>
        <v>45596</v>
      </c>
      <c r="C13" s="498"/>
      <c r="D13" s="496">
        <v>0</v>
      </c>
      <c r="E13" s="498">
        <v>0</v>
      </c>
      <c r="F13" s="471">
        <v>1455843.73999999</v>
      </c>
      <c r="G13" s="471">
        <v>993916.65999999002</v>
      </c>
      <c r="H13" s="471">
        <v>396409.8</v>
      </c>
      <c r="I13" s="471">
        <v>66395.45</v>
      </c>
      <c r="J13" s="471">
        <v>23464</v>
      </c>
      <c r="K13" s="471">
        <v>20088.23</v>
      </c>
      <c r="L13" s="471">
        <v>22398.45</v>
      </c>
      <c r="M13" s="471">
        <v>10842.66</v>
      </c>
      <c r="N13" s="471">
        <v>7506.79</v>
      </c>
      <c r="O13" s="471">
        <v>2828.21</v>
      </c>
      <c r="P13" s="471">
        <v>2245.66</v>
      </c>
      <c r="Q13" s="471">
        <v>3239.26</v>
      </c>
      <c r="R13" s="471">
        <v>1209.6199999999999</v>
      </c>
      <c r="S13" s="472">
        <v>303.52999999999997</v>
      </c>
      <c r="T13" s="472">
        <v>1099.42</v>
      </c>
      <c r="U13" s="472">
        <v>250.49</v>
      </c>
      <c r="V13" s="471">
        <v>21.7</v>
      </c>
      <c r="W13" s="471">
        <v>141.80000000000001</v>
      </c>
      <c r="X13" s="472">
        <v>0</v>
      </c>
      <c r="Y13" s="472">
        <v>646.96</v>
      </c>
      <c r="Z13" s="471">
        <v>91.71</v>
      </c>
      <c r="AA13" s="471">
        <v>-2.71</v>
      </c>
      <c r="AB13" s="471">
        <v>0</v>
      </c>
      <c r="AC13" s="471">
        <v>0</v>
      </c>
      <c r="AD13" s="471"/>
      <c r="AE13" s="471"/>
      <c r="AF13" s="506"/>
      <c r="AG13" s="508">
        <v>1622809.6799999997</v>
      </c>
      <c r="AH13" s="481">
        <f t="shared" si="0"/>
        <v>4631751.1099999798</v>
      </c>
    </row>
    <row r="14" spans="1:114" s="459" customFormat="1" ht="15" customHeight="1">
      <c r="A14" s="482">
        <v>5</v>
      </c>
      <c r="B14" s="483">
        <f t="shared" si="1"/>
        <v>45565</v>
      </c>
      <c r="C14" s="498"/>
      <c r="D14" s="496">
        <v>0</v>
      </c>
      <c r="E14" s="496">
        <v>0</v>
      </c>
      <c r="F14" s="498">
        <v>0</v>
      </c>
      <c r="G14" s="471">
        <v>1564384.62</v>
      </c>
      <c r="H14" s="471">
        <v>857020.19999999402</v>
      </c>
      <c r="I14" s="471">
        <v>483503.55000000098</v>
      </c>
      <c r="J14" s="471">
        <v>54204.459999999897</v>
      </c>
      <c r="K14" s="471">
        <v>22820.54</v>
      </c>
      <c r="L14" s="471">
        <v>26660.639999999999</v>
      </c>
      <c r="M14" s="471">
        <v>36792.47</v>
      </c>
      <c r="N14" s="471">
        <v>23110.2</v>
      </c>
      <c r="O14" s="471">
        <v>4255.7299999999996</v>
      </c>
      <c r="P14" s="471">
        <v>2182.5700000000002</v>
      </c>
      <c r="Q14" s="471">
        <v>1288.24</v>
      </c>
      <c r="R14" s="471">
        <v>1104.8900000000001</v>
      </c>
      <c r="S14" s="472">
        <v>894.5</v>
      </c>
      <c r="T14" s="472">
        <v>408.71</v>
      </c>
      <c r="U14" s="472">
        <v>-31.03</v>
      </c>
      <c r="V14" s="471">
        <v>183.76</v>
      </c>
      <c r="W14" s="471">
        <v>305.97000000000003</v>
      </c>
      <c r="X14" s="472">
        <v>681.3</v>
      </c>
      <c r="Y14" s="472">
        <v>-2209.86</v>
      </c>
      <c r="Z14" s="471">
        <v>196.38</v>
      </c>
      <c r="AA14" s="471">
        <v>315.02</v>
      </c>
      <c r="AB14" s="471">
        <v>0</v>
      </c>
      <c r="AC14" s="471">
        <v>0</v>
      </c>
      <c r="AD14" s="471"/>
      <c r="AE14" s="471"/>
      <c r="AF14" s="506"/>
      <c r="AG14" s="509">
        <v>1622809.6799999997</v>
      </c>
      <c r="AH14" s="481">
        <f t="shared" si="0"/>
        <v>4700882.5399999954</v>
      </c>
    </row>
    <row r="15" spans="1:114" s="459" customFormat="1" ht="15" customHeight="1">
      <c r="A15" s="482">
        <v>6</v>
      </c>
      <c r="B15" s="483">
        <f t="shared" si="1"/>
        <v>45535</v>
      </c>
      <c r="C15" s="498"/>
      <c r="D15" s="496">
        <v>0</v>
      </c>
      <c r="E15" s="496">
        <v>0</v>
      </c>
      <c r="F15" s="496">
        <v>0</v>
      </c>
      <c r="G15" s="498">
        <v>0</v>
      </c>
      <c r="H15" s="471">
        <v>1756035.44</v>
      </c>
      <c r="I15" s="471">
        <v>1339569.5999999901</v>
      </c>
      <c r="J15" s="471">
        <v>407825.140000001</v>
      </c>
      <c r="K15" s="471">
        <v>164413.73000000001</v>
      </c>
      <c r="L15" s="471">
        <v>48991.120000000097</v>
      </c>
      <c r="M15" s="471">
        <v>27683.74</v>
      </c>
      <c r="N15" s="471">
        <v>17980.39</v>
      </c>
      <c r="O15" s="471">
        <v>3990.3</v>
      </c>
      <c r="P15" s="471">
        <v>2018.04</v>
      </c>
      <c r="Q15" s="471">
        <v>2533.37</v>
      </c>
      <c r="R15" s="471">
        <v>4219</v>
      </c>
      <c r="S15" s="472">
        <v>925.81</v>
      </c>
      <c r="T15" s="472">
        <v>102.26</v>
      </c>
      <c r="U15" s="472">
        <v>-83.39</v>
      </c>
      <c r="V15" s="471">
        <v>1524.31</v>
      </c>
      <c r="W15" s="471">
        <v>432.27</v>
      </c>
      <c r="X15" s="472">
        <v>219.34</v>
      </c>
      <c r="Y15" s="472">
        <v>-161.63</v>
      </c>
      <c r="Z15" s="471">
        <v>0</v>
      </c>
      <c r="AA15" s="471">
        <v>129.79</v>
      </c>
      <c r="AB15" s="471">
        <v>-96.6</v>
      </c>
      <c r="AC15" s="471">
        <v>0</v>
      </c>
      <c r="AD15" s="471"/>
      <c r="AE15" s="471"/>
      <c r="AF15" s="506"/>
      <c r="AG15" s="509">
        <v>1622809.6799999997</v>
      </c>
      <c r="AH15" s="481">
        <f t="shared" si="0"/>
        <v>5401061.7099999906</v>
      </c>
    </row>
    <row r="16" spans="1:114" s="459" customFormat="1" ht="15" customHeight="1">
      <c r="A16" s="482">
        <v>7</v>
      </c>
      <c r="B16" s="483">
        <f t="shared" si="1"/>
        <v>45504</v>
      </c>
      <c r="C16" s="498"/>
      <c r="D16" s="496">
        <v>0</v>
      </c>
      <c r="E16" s="496">
        <v>0</v>
      </c>
      <c r="F16" s="499">
        <v>0</v>
      </c>
      <c r="G16" s="496">
        <v>0</v>
      </c>
      <c r="H16" s="498">
        <v>0</v>
      </c>
      <c r="I16" s="471">
        <v>1285612.6100000001</v>
      </c>
      <c r="J16" s="471">
        <v>862001.87999999197</v>
      </c>
      <c r="K16" s="471">
        <v>253255.4</v>
      </c>
      <c r="L16" s="471">
        <v>48516.57</v>
      </c>
      <c r="M16" s="471">
        <v>24699.02</v>
      </c>
      <c r="N16" s="471">
        <v>2906.81</v>
      </c>
      <c r="O16" s="471">
        <v>584.09</v>
      </c>
      <c r="P16" s="471">
        <v>4005.07</v>
      </c>
      <c r="Q16" s="471">
        <v>3024.67</v>
      </c>
      <c r="R16" s="471">
        <v>288.3</v>
      </c>
      <c r="S16" s="472">
        <v>722.24</v>
      </c>
      <c r="T16" s="472">
        <v>342.06</v>
      </c>
      <c r="U16" s="472">
        <v>-220.84</v>
      </c>
      <c r="V16" s="471">
        <v>4.63</v>
      </c>
      <c r="W16" s="471">
        <v>1524.88</v>
      </c>
      <c r="X16" s="472">
        <v>400.57</v>
      </c>
      <c r="Y16" s="472">
        <v>-238.89</v>
      </c>
      <c r="Z16" s="471">
        <v>-298.33</v>
      </c>
      <c r="AA16" s="471">
        <v>98.59</v>
      </c>
      <c r="AB16" s="471">
        <v>99.86</v>
      </c>
      <c r="AC16" s="471">
        <v>-189.18</v>
      </c>
      <c r="AD16" s="471"/>
      <c r="AE16" s="471"/>
      <c r="AF16" s="506"/>
      <c r="AG16" s="509">
        <v>1622809.6799999997</v>
      </c>
      <c r="AH16" s="481">
        <f t="shared" si="0"/>
        <v>4109949.6899999902</v>
      </c>
    </row>
    <row r="17" spans="1:37" s="459" customFormat="1" ht="15" customHeight="1">
      <c r="A17" s="482">
        <v>8</v>
      </c>
      <c r="B17" s="483">
        <f t="shared" si="1"/>
        <v>45473</v>
      </c>
      <c r="C17" s="498"/>
      <c r="D17" s="496">
        <v>0</v>
      </c>
      <c r="E17" s="496">
        <v>0</v>
      </c>
      <c r="F17" s="496">
        <v>0</v>
      </c>
      <c r="G17" s="496">
        <v>0</v>
      </c>
      <c r="H17" s="496">
        <v>0</v>
      </c>
      <c r="I17" s="498">
        <v>0</v>
      </c>
      <c r="J17" s="471">
        <v>1574704.6099999901</v>
      </c>
      <c r="K17" s="471">
        <v>912343.87999999896</v>
      </c>
      <c r="L17" s="471">
        <v>97521.229999998905</v>
      </c>
      <c r="M17" s="471">
        <v>38001.08</v>
      </c>
      <c r="N17" s="471">
        <v>22603.34</v>
      </c>
      <c r="O17" s="471">
        <v>14953</v>
      </c>
      <c r="P17" s="471">
        <v>5675.21</v>
      </c>
      <c r="Q17" s="471">
        <v>3471.04</v>
      </c>
      <c r="R17" s="471">
        <v>4150.9799999999996</v>
      </c>
      <c r="S17" s="472">
        <v>2245.19</v>
      </c>
      <c r="T17" s="472">
        <v>1858.73</v>
      </c>
      <c r="U17" s="472">
        <v>1728.77</v>
      </c>
      <c r="V17" s="471">
        <v>499.55</v>
      </c>
      <c r="W17" s="471">
        <v>239.82</v>
      </c>
      <c r="X17" s="472">
        <v>92.32</v>
      </c>
      <c r="Y17" s="472">
        <v>189.95</v>
      </c>
      <c r="Z17" s="471">
        <v>130.13999999999999</v>
      </c>
      <c r="AA17" s="471">
        <v>266.17</v>
      </c>
      <c r="AB17" s="471">
        <v>373.08</v>
      </c>
      <c r="AC17" s="471">
        <v>-12.35</v>
      </c>
      <c r="AD17" s="471"/>
      <c r="AE17" s="471"/>
      <c r="AF17" s="506"/>
      <c r="AG17" s="509">
        <v>1622809.6799999997</v>
      </c>
      <c r="AH17" s="481">
        <f t="shared" si="0"/>
        <v>4303845.4199999869</v>
      </c>
    </row>
    <row r="18" spans="1:37" s="459" customFormat="1" ht="15" customHeight="1">
      <c r="A18" s="482">
        <v>9</v>
      </c>
      <c r="B18" s="483">
        <f t="shared" si="1"/>
        <v>45443</v>
      </c>
      <c r="C18" s="498"/>
      <c r="D18" s="496">
        <v>0</v>
      </c>
      <c r="E18" s="496">
        <v>0</v>
      </c>
      <c r="F18" s="496">
        <v>0</v>
      </c>
      <c r="G18" s="496">
        <v>0</v>
      </c>
      <c r="H18" s="496">
        <v>0</v>
      </c>
      <c r="I18" s="496">
        <v>0</v>
      </c>
      <c r="J18" s="498">
        <v>0</v>
      </c>
      <c r="K18" s="471">
        <v>1816644.22000001</v>
      </c>
      <c r="L18" s="471">
        <v>1384218.1699999799</v>
      </c>
      <c r="M18" s="471">
        <v>264144.54000000103</v>
      </c>
      <c r="N18" s="471">
        <v>48518.21</v>
      </c>
      <c r="O18" s="471">
        <v>21018.29</v>
      </c>
      <c r="P18" s="471">
        <v>10571.07</v>
      </c>
      <c r="Q18" s="471">
        <v>8137.18</v>
      </c>
      <c r="R18" s="471">
        <v>6651.54</v>
      </c>
      <c r="S18" s="472">
        <v>3647.75</v>
      </c>
      <c r="T18" s="472">
        <v>4743.74</v>
      </c>
      <c r="U18" s="472">
        <v>948.88</v>
      </c>
      <c r="V18" s="471">
        <v>2021.32</v>
      </c>
      <c r="W18" s="471">
        <v>1076.72</v>
      </c>
      <c r="X18" s="472">
        <v>2357.87</v>
      </c>
      <c r="Y18" s="472">
        <v>515.77</v>
      </c>
      <c r="Z18" s="471">
        <v>708.03</v>
      </c>
      <c r="AA18" s="471">
        <v>548</v>
      </c>
      <c r="AB18" s="471">
        <v>1265.52</v>
      </c>
      <c r="AC18" s="471">
        <v>-334.01</v>
      </c>
      <c r="AD18" s="471"/>
      <c r="AE18" s="471"/>
      <c r="AF18" s="506"/>
      <c r="AG18" s="509">
        <v>1622809.6799999997</v>
      </c>
      <c r="AH18" s="481">
        <f t="shared" si="0"/>
        <v>5200212.4899999909</v>
      </c>
      <c r="AK18" s="516"/>
    </row>
    <row r="19" spans="1:37" s="459" customFormat="1" ht="15" customHeight="1">
      <c r="A19" s="482">
        <v>10</v>
      </c>
      <c r="B19" s="483">
        <f t="shared" si="1"/>
        <v>45412</v>
      </c>
      <c r="C19" s="498"/>
      <c r="D19" s="496">
        <v>0</v>
      </c>
      <c r="E19" s="496">
        <v>0</v>
      </c>
      <c r="F19" s="496">
        <v>0</v>
      </c>
      <c r="G19" s="496">
        <v>0</v>
      </c>
      <c r="H19" s="496">
        <v>0</v>
      </c>
      <c r="I19" s="496">
        <v>0</v>
      </c>
      <c r="J19" s="496">
        <v>0</v>
      </c>
      <c r="K19" s="498">
        <v>0</v>
      </c>
      <c r="L19" s="471">
        <v>1369991.70000001</v>
      </c>
      <c r="M19" s="471">
        <v>1016926.22000001</v>
      </c>
      <c r="N19" s="471">
        <v>181688.33</v>
      </c>
      <c r="O19" s="471">
        <v>38169.86</v>
      </c>
      <c r="P19" s="471">
        <v>10162.040000000001</v>
      </c>
      <c r="Q19" s="471">
        <v>8793.57</v>
      </c>
      <c r="R19" s="471">
        <v>15938.88</v>
      </c>
      <c r="S19" s="472">
        <v>7567.66</v>
      </c>
      <c r="T19" s="472">
        <v>6671.86</v>
      </c>
      <c r="U19" s="472">
        <v>3686.23</v>
      </c>
      <c r="V19" s="471">
        <v>3116.19</v>
      </c>
      <c r="W19" s="471">
        <v>5596.56</v>
      </c>
      <c r="X19" s="472">
        <v>1310.28</v>
      </c>
      <c r="Y19" s="472">
        <v>120.68</v>
      </c>
      <c r="Z19" s="471">
        <v>459.19</v>
      </c>
      <c r="AA19" s="471">
        <v>2994.91</v>
      </c>
      <c r="AB19" s="471">
        <v>-588.25</v>
      </c>
      <c r="AC19" s="471">
        <v>402.17</v>
      </c>
      <c r="AD19" s="471"/>
      <c r="AE19" s="471"/>
      <c r="AF19" s="506"/>
      <c r="AG19" s="509">
        <v>1622809.6799999997</v>
      </c>
      <c r="AH19" s="481">
        <f t="shared" si="0"/>
        <v>4295817.7600000193</v>
      </c>
    </row>
    <row r="20" spans="1:37"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1684994.4199999899</v>
      </c>
      <c r="N20" s="471">
        <v>1400522.38</v>
      </c>
      <c r="O20" s="471">
        <v>295735.86</v>
      </c>
      <c r="P20" s="471">
        <v>32332.78</v>
      </c>
      <c r="Q20" s="471">
        <v>14756.02</v>
      </c>
      <c r="R20" s="471">
        <v>12730.49</v>
      </c>
      <c r="S20" s="472">
        <v>8748.52</v>
      </c>
      <c r="T20" s="472">
        <v>5574.17</v>
      </c>
      <c r="U20" s="472">
        <v>4230.8500000000004</v>
      </c>
      <c r="V20" s="471">
        <v>10288.75</v>
      </c>
      <c r="W20" s="471">
        <v>2370.7600000000002</v>
      </c>
      <c r="X20" s="472">
        <v>1499.23</v>
      </c>
      <c r="Y20" s="472">
        <v>1899.32</v>
      </c>
      <c r="Z20" s="471">
        <v>1410.21</v>
      </c>
      <c r="AA20" s="471">
        <v>331.78</v>
      </c>
      <c r="AB20" s="471">
        <v>17.63</v>
      </c>
      <c r="AC20" s="471">
        <v>256.88</v>
      </c>
      <c r="AD20" s="471"/>
      <c r="AE20" s="471"/>
      <c r="AF20" s="506"/>
      <c r="AG20" s="509">
        <v>1622809.6799999997</v>
      </c>
      <c r="AH20" s="481">
        <f t="shared" si="0"/>
        <v>5100509.7299999883</v>
      </c>
    </row>
    <row r="21" spans="1:37"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1082545.3100000101</v>
      </c>
      <c r="O21" s="471">
        <v>1275848.68</v>
      </c>
      <c r="P21" s="471">
        <v>163806.07</v>
      </c>
      <c r="Q21" s="471">
        <v>41538.01</v>
      </c>
      <c r="R21" s="471">
        <v>18034.93</v>
      </c>
      <c r="S21" s="472">
        <v>7750.4</v>
      </c>
      <c r="T21" s="472">
        <v>3669.53</v>
      </c>
      <c r="U21" s="472">
        <v>5126.51</v>
      </c>
      <c r="V21" s="471">
        <v>2914.64</v>
      </c>
      <c r="W21" s="471">
        <v>723.79</v>
      </c>
      <c r="X21" s="472">
        <v>2112.9499999999998</v>
      </c>
      <c r="Y21" s="472">
        <v>1857.23</v>
      </c>
      <c r="Z21" s="471">
        <v>1102.97</v>
      </c>
      <c r="AA21" s="471">
        <v>-556.52</v>
      </c>
      <c r="AB21" s="471">
        <v>-36.770000000000003</v>
      </c>
      <c r="AC21" s="471">
        <v>136.52000000000001</v>
      </c>
      <c r="AD21" s="471"/>
      <c r="AE21" s="471"/>
      <c r="AF21" s="506"/>
      <c r="AG21" s="509">
        <v>1622809.6799999997</v>
      </c>
      <c r="AH21" s="481">
        <f t="shared" si="0"/>
        <v>4229383.930000009</v>
      </c>
    </row>
    <row r="22" spans="1:37"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1363073.52</v>
      </c>
      <c r="P22" s="471">
        <v>954670.49000000197</v>
      </c>
      <c r="Q22" s="471">
        <v>260686.23</v>
      </c>
      <c r="R22" s="471">
        <v>73578.940000000104</v>
      </c>
      <c r="S22" s="472">
        <v>16870.240000000002</v>
      </c>
      <c r="T22" s="472">
        <v>5031.79</v>
      </c>
      <c r="U22" s="472">
        <v>8466.19</v>
      </c>
      <c r="V22" s="471">
        <v>6006.82</v>
      </c>
      <c r="W22" s="471">
        <v>2153.73</v>
      </c>
      <c r="X22" s="472">
        <v>519.52</v>
      </c>
      <c r="Y22" s="472">
        <v>350.1</v>
      </c>
      <c r="Z22" s="471">
        <v>515.46</v>
      </c>
      <c r="AA22" s="471">
        <v>3913.95</v>
      </c>
      <c r="AB22" s="471">
        <v>594.09</v>
      </c>
      <c r="AC22" s="471">
        <v>97.04</v>
      </c>
      <c r="AD22" s="471"/>
      <c r="AE22" s="471"/>
      <c r="AF22" s="506"/>
      <c r="AG22" s="509">
        <v>1622809.6799999997</v>
      </c>
      <c r="AH22" s="481">
        <f t="shared" si="0"/>
        <v>4319337.7900000019</v>
      </c>
    </row>
    <row r="23" spans="1:37"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1500062.27</v>
      </c>
      <c r="Q23" s="471">
        <v>1425155.76</v>
      </c>
      <c r="R23" s="471">
        <v>244170.58999999901</v>
      </c>
      <c r="S23" s="472">
        <v>35903.93</v>
      </c>
      <c r="T23" s="472">
        <v>12294.26</v>
      </c>
      <c r="U23" s="472">
        <v>6504.07</v>
      </c>
      <c r="V23" s="471">
        <v>6444.17</v>
      </c>
      <c r="W23" s="471">
        <v>4042.76</v>
      </c>
      <c r="X23" s="472">
        <v>1587.6</v>
      </c>
      <c r="Y23" s="472">
        <v>1590.44</v>
      </c>
      <c r="Z23" s="471">
        <v>778.17</v>
      </c>
      <c r="AA23" s="471">
        <v>995.5</v>
      </c>
      <c r="AB23" s="471">
        <v>556.61</v>
      </c>
      <c r="AC23" s="471">
        <v>119.8</v>
      </c>
      <c r="AD23" s="471"/>
      <c r="AE23" s="471"/>
      <c r="AF23" s="506"/>
      <c r="AG23" s="509">
        <v>1622809.6799999997</v>
      </c>
      <c r="AH23" s="481">
        <f t="shared" si="0"/>
        <v>4863015.6099999975</v>
      </c>
    </row>
    <row r="24" spans="1:37"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1214893.71999999</v>
      </c>
      <c r="R24" s="471">
        <v>1157040.02999999</v>
      </c>
      <c r="S24" s="472">
        <v>136544.13</v>
      </c>
      <c r="T24" s="472">
        <v>15715.83</v>
      </c>
      <c r="U24" s="472">
        <v>9267.1900000000096</v>
      </c>
      <c r="V24" s="471">
        <v>11832.3</v>
      </c>
      <c r="W24" s="471">
        <v>1722.81</v>
      </c>
      <c r="X24" s="472">
        <v>1922.88</v>
      </c>
      <c r="Y24" s="472">
        <v>1305.92</v>
      </c>
      <c r="Z24" s="471">
        <v>503.02</v>
      </c>
      <c r="AA24" s="471">
        <v>6138.3899999999903</v>
      </c>
      <c r="AB24" s="471">
        <v>246.74</v>
      </c>
      <c r="AC24" s="471">
        <v>958.42</v>
      </c>
      <c r="AD24" s="471"/>
      <c r="AE24" s="471"/>
      <c r="AF24" s="506"/>
      <c r="AG24" s="509">
        <v>1622809.6799999997</v>
      </c>
      <c r="AH24" s="481">
        <f t="shared" si="0"/>
        <v>4180901.0599999796</v>
      </c>
    </row>
    <row r="25" spans="1:37"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1617020.3199999901</v>
      </c>
      <c r="S25" s="472">
        <v>1015024.48</v>
      </c>
      <c r="T25" s="472">
        <v>169064.64</v>
      </c>
      <c r="U25" s="472">
        <v>25215.48</v>
      </c>
      <c r="V25" s="471">
        <v>15825.53</v>
      </c>
      <c r="W25" s="471">
        <v>17491.16</v>
      </c>
      <c r="X25" s="472">
        <v>4534.49</v>
      </c>
      <c r="Y25" s="472">
        <v>3195</v>
      </c>
      <c r="Z25" s="471">
        <v>-445.81</v>
      </c>
      <c r="AA25" s="471">
        <v>11968.66</v>
      </c>
      <c r="AB25" s="471">
        <v>1208.07</v>
      </c>
      <c r="AC25" s="471">
        <v>2257.7199999999998</v>
      </c>
      <c r="AD25" s="471"/>
      <c r="AE25" s="471"/>
      <c r="AF25" s="506"/>
      <c r="AG25" s="509">
        <v>1622809.6799999997</v>
      </c>
      <c r="AH25" s="481">
        <f t="shared" si="0"/>
        <v>4505169.4199999906</v>
      </c>
    </row>
    <row r="26" spans="1:37"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1715900.20999999</v>
      </c>
      <c r="T26" s="472">
        <v>1390192.45000001</v>
      </c>
      <c r="U26" s="472">
        <v>215482.56999999899</v>
      </c>
      <c r="V26" s="471">
        <v>34922.199999999997</v>
      </c>
      <c r="W26" s="471">
        <v>12415.98</v>
      </c>
      <c r="X26" s="472">
        <v>7939.25</v>
      </c>
      <c r="Y26" s="472">
        <v>9972.92</v>
      </c>
      <c r="Z26" s="471">
        <v>5427.83</v>
      </c>
      <c r="AA26" s="471">
        <v>7079.4800000000096</v>
      </c>
      <c r="AB26" s="471">
        <v>141.72999999999999</v>
      </c>
      <c r="AC26" s="471">
        <v>2583.58</v>
      </c>
      <c r="AD26" s="471"/>
      <c r="AE26" s="471"/>
      <c r="AF26" s="514"/>
      <c r="AG26" s="509">
        <v>1622809.6799999997</v>
      </c>
      <c r="AH26" s="481">
        <f t="shared" si="0"/>
        <v>5024867.879999999</v>
      </c>
    </row>
    <row r="27" spans="1:37"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1342097.1699999899</v>
      </c>
      <c r="U27" s="472">
        <v>995591.59000000102</v>
      </c>
      <c r="V27" s="471">
        <v>196042.01</v>
      </c>
      <c r="W27" s="471">
        <v>20434.150000000001</v>
      </c>
      <c r="X27" s="472">
        <v>7098.95</v>
      </c>
      <c r="Y27" s="472">
        <v>2582.89</v>
      </c>
      <c r="Z27" s="471">
        <v>7596.74</v>
      </c>
      <c r="AA27" s="471">
        <v>5320.22</v>
      </c>
      <c r="AB27" s="471">
        <v>2298.4699999999998</v>
      </c>
      <c r="AC27" s="471">
        <v>725.41</v>
      </c>
      <c r="AD27" s="471"/>
      <c r="AE27" s="471"/>
      <c r="AF27" s="506"/>
      <c r="AG27" s="515">
        <v>1622809.6799999997</v>
      </c>
      <c r="AH27" s="481">
        <f t="shared" si="0"/>
        <v>4202597.2799999919</v>
      </c>
    </row>
    <row r="28" spans="1:37"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1430133.0799999901</v>
      </c>
      <c r="V28" s="471">
        <v>1448449.1999999899</v>
      </c>
      <c r="W28" s="471">
        <v>176339</v>
      </c>
      <c r="X28" s="472">
        <v>23584.77</v>
      </c>
      <c r="Y28" s="472">
        <v>11436.02</v>
      </c>
      <c r="Z28" s="471">
        <v>7537.73</v>
      </c>
      <c r="AA28" s="471">
        <v>8578.75</v>
      </c>
      <c r="AB28" s="471">
        <v>2621.96</v>
      </c>
      <c r="AC28" s="471">
        <v>1390.82</v>
      </c>
      <c r="AD28" s="471"/>
      <c r="AE28" s="471"/>
      <c r="AF28" s="506"/>
      <c r="AG28" s="510">
        <v>1622809.6799999997</v>
      </c>
      <c r="AH28" s="481">
        <f t="shared" si="0"/>
        <v>4732881.0099999793</v>
      </c>
    </row>
    <row r="29" spans="1:37"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1151126.02</v>
      </c>
      <c r="W29" s="471">
        <v>1235374.51</v>
      </c>
      <c r="X29" s="472">
        <v>149047.25</v>
      </c>
      <c r="Y29" s="472">
        <v>57928.790000000103</v>
      </c>
      <c r="Z29" s="471">
        <v>14254.94</v>
      </c>
      <c r="AA29" s="471">
        <v>18298.299999999901</v>
      </c>
      <c r="AB29" s="471">
        <v>2576.44</v>
      </c>
      <c r="AC29" s="471">
        <v>2776.9</v>
      </c>
      <c r="AD29" s="471"/>
      <c r="AE29" s="471"/>
      <c r="AF29" s="506"/>
      <c r="AG29" s="509">
        <v>1622809.6799999997</v>
      </c>
      <c r="AH29" s="481">
        <f t="shared" si="0"/>
        <v>4254192.83</v>
      </c>
    </row>
    <row r="30" spans="1:37"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1518389.47999999</v>
      </c>
      <c r="X30" s="472">
        <v>1192909.8999999899</v>
      </c>
      <c r="Y30" s="472">
        <v>170493.91</v>
      </c>
      <c r="Z30" s="471">
        <v>112966.97</v>
      </c>
      <c r="AA30" s="471">
        <v>11606.7</v>
      </c>
      <c r="AB30" s="471">
        <v>15838.78</v>
      </c>
      <c r="AC30" s="471">
        <v>8349.74</v>
      </c>
      <c r="AD30" s="471"/>
      <c r="AE30" s="471"/>
      <c r="AF30" s="506"/>
      <c r="AG30" s="509">
        <v>1622809.6799999997</v>
      </c>
      <c r="AH30" s="481">
        <f t="shared" si="0"/>
        <v>4653365.1599999797</v>
      </c>
    </row>
    <row r="31" spans="1:37"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1366265.8799999901</v>
      </c>
      <c r="Y31" s="472">
        <v>1422163.02</v>
      </c>
      <c r="Z31" s="471">
        <v>162586.76</v>
      </c>
      <c r="AA31" s="471">
        <v>100833.58</v>
      </c>
      <c r="AB31" s="471">
        <v>29003.45</v>
      </c>
      <c r="AC31" s="471">
        <v>12016.97</v>
      </c>
      <c r="AD31" s="471"/>
      <c r="AE31" s="471"/>
      <c r="AF31" s="506"/>
      <c r="AG31" s="509">
        <v>1622809.6799999997</v>
      </c>
      <c r="AH31" s="481">
        <f t="shared" si="0"/>
        <v>4715679.3399999905</v>
      </c>
    </row>
    <row r="32" spans="1:37"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1245792.6799999899</v>
      </c>
      <c r="Z32" s="471">
        <v>1025448.18</v>
      </c>
      <c r="AA32" s="471">
        <v>256533.82</v>
      </c>
      <c r="AB32" s="471">
        <v>130549.8</v>
      </c>
      <c r="AC32" s="471">
        <v>20165.23</v>
      </c>
      <c r="AD32" s="471"/>
      <c r="AE32" s="471"/>
      <c r="AF32" s="506"/>
      <c r="AG32" s="509">
        <v>1622809.6799999997</v>
      </c>
      <c r="AH32" s="481">
        <f t="shared" si="0"/>
        <v>4301299.3899999894</v>
      </c>
    </row>
    <row r="33" spans="1:34"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1120912.51</v>
      </c>
      <c r="AA33" s="471">
        <v>1079742.57</v>
      </c>
      <c r="AB33" s="471">
        <v>183554.67</v>
      </c>
      <c r="AC33" s="471">
        <v>84168.859999999899</v>
      </c>
      <c r="AD33" s="471"/>
      <c r="AE33" s="471"/>
      <c r="AF33" s="506"/>
      <c r="AG33" s="509">
        <v>1622809.6799999997</v>
      </c>
      <c r="AH33" s="481">
        <f t="shared" si="0"/>
        <v>4091188.2899999996</v>
      </c>
    </row>
    <row r="34" spans="1:34"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1164335.56</v>
      </c>
      <c r="AB34" s="471">
        <v>672152.87000000605</v>
      </c>
      <c r="AC34" s="471">
        <v>168635.01</v>
      </c>
      <c r="AD34" s="471"/>
      <c r="AE34" s="471"/>
      <c r="AF34" s="506"/>
      <c r="AG34" s="509">
        <v>1622809.6799999997</v>
      </c>
      <c r="AH34" s="481">
        <f t="shared" si="0"/>
        <v>3627933.1200000057</v>
      </c>
    </row>
    <row r="35" spans="1:34"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1348537.74000001</v>
      </c>
      <c r="AC35" s="471">
        <v>1043509.70000001</v>
      </c>
      <c r="AD35" s="471"/>
      <c r="AE35" s="471"/>
      <c r="AF35" s="506"/>
      <c r="AG35" s="509">
        <v>1622809.6799999997</v>
      </c>
      <c r="AH35" s="481">
        <f t="shared" si="0"/>
        <v>4014857.1200000197</v>
      </c>
    </row>
    <row r="36" spans="1:34"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1195062.1599999999</v>
      </c>
      <c r="AD36" s="471"/>
      <c r="AE36" s="471"/>
      <c r="AF36" s="506"/>
      <c r="AG36" s="509">
        <v>1622809.6799999997</v>
      </c>
      <c r="AH36" s="481">
        <f t="shared" si="0"/>
        <v>2817871.84</v>
      </c>
    </row>
    <row r="37" spans="1:34"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34"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34"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34"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34" s="459" customFormat="1" ht="40.35" customHeight="1">
      <c r="A41" s="484">
        <v>32</v>
      </c>
      <c r="B41" s="960" t="s">
        <v>1500</v>
      </c>
      <c r="C41" s="961">
        <f>SUM(C10:C40)</f>
        <v>0</v>
      </c>
      <c r="D41" s="961">
        <f>SUM(D10:D40)</f>
        <v>2584144.830000001</v>
      </c>
      <c r="E41" s="961">
        <f t="shared" ref="E41:AC41" si="2">SUM(E10:E40)</f>
        <v>3095037.6899999874</v>
      </c>
      <c r="F41" s="961">
        <f t="shared" si="2"/>
        <v>3596125.6699999701</v>
      </c>
      <c r="G41" s="961">
        <f t="shared" si="2"/>
        <v>3249353.3199999942</v>
      </c>
      <c r="H41" s="961">
        <f t="shared" si="2"/>
        <v>3239682.7499999939</v>
      </c>
      <c r="I41" s="961">
        <f t="shared" si="2"/>
        <v>3234725.319999991</v>
      </c>
      <c r="J41" s="961">
        <f t="shared" si="2"/>
        <v>2966767.7499999832</v>
      </c>
      <c r="K41" s="961">
        <f t="shared" si="2"/>
        <v>3223501.9800000088</v>
      </c>
      <c r="L41" s="961">
        <f t="shared" si="2"/>
        <v>3026862.6099999892</v>
      </c>
      <c r="M41" s="961">
        <f t="shared" si="2"/>
        <v>3113883.3200000012</v>
      </c>
      <c r="N41" s="961">
        <f t="shared" si="2"/>
        <v>2793864.9200000102</v>
      </c>
      <c r="O41" s="961">
        <f t="shared" si="2"/>
        <v>3028507.16</v>
      </c>
      <c r="P41" s="961">
        <f t="shared" si="2"/>
        <v>2693460.200000002</v>
      </c>
      <c r="Q41" s="961">
        <f t="shared" si="2"/>
        <v>2990775.1599999899</v>
      </c>
      <c r="R41" s="961">
        <f t="shared" si="2"/>
        <v>3157496.8099999791</v>
      </c>
      <c r="S41" s="961">
        <f t="shared" si="2"/>
        <v>2955169.0199999902</v>
      </c>
      <c r="T41" s="961">
        <f t="shared" si="2"/>
        <v>2961767.6799999997</v>
      </c>
      <c r="U41" s="961">
        <f t="shared" si="2"/>
        <v>2708104.25999999</v>
      </c>
      <c r="V41" s="961">
        <f t="shared" si="2"/>
        <v>2890915.6999999899</v>
      </c>
      <c r="W41" s="961">
        <f t="shared" si="2"/>
        <v>3002671.2499999898</v>
      </c>
      <c r="X41" s="961">
        <f t="shared" si="2"/>
        <v>2764514.6599999801</v>
      </c>
      <c r="Y41" s="961">
        <f t="shared" si="2"/>
        <v>2929326.1199999899</v>
      </c>
      <c r="Z41" s="961">
        <f t="shared" si="2"/>
        <v>2461882.7999999998</v>
      </c>
      <c r="AA41" s="961">
        <f t="shared" si="2"/>
        <v>2679917.94</v>
      </c>
      <c r="AB41" s="961">
        <f t="shared" si="2"/>
        <v>2390915.890000016</v>
      </c>
      <c r="AC41" s="961">
        <f t="shared" si="2"/>
        <v>2543077.3900000099</v>
      </c>
      <c r="AD41" s="961">
        <f>SUM(AD10:AD40)</f>
        <v>0</v>
      </c>
      <c r="AE41" s="961">
        <f>SUM(AE10:AE40)</f>
        <v>0</v>
      </c>
      <c r="AF41" s="961">
        <f>SUM(AF10:AF40)</f>
        <v>0</v>
      </c>
      <c r="AG41" s="519">
        <f>SUM(AG10:AG40)</f>
        <v>43815861.359999992</v>
      </c>
      <c r="AH41" s="962">
        <f>SUM(AH10:AH40)</f>
        <v>120098313.55999984</v>
      </c>
    </row>
    <row r="42" spans="1:34"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34"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34"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34" s="459" customFormat="1" ht="58.35" customHeight="1">
      <c r="A45" s="485">
        <v>36</v>
      </c>
      <c r="B45" s="488" t="s">
        <v>1504</v>
      </c>
      <c r="C45" s="475">
        <f>SUM(C41:C44)</f>
        <v>0</v>
      </c>
      <c r="D45" s="475">
        <f>SUM(D41:D44)</f>
        <v>2584144.830000001</v>
      </c>
      <c r="E45" s="476">
        <f t="shared" ref="E45:AB45" si="3">SUM(E41:E44)</f>
        <v>3095037.6899999874</v>
      </c>
      <c r="F45" s="476">
        <f>SUM(F41:F44)</f>
        <v>3596125.6699999701</v>
      </c>
      <c r="G45" s="476">
        <f t="shared" si="3"/>
        <v>3249353.3199999942</v>
      </c>
      <c r="H45" s="476">
        <f t="shared" si="3"/>
        <v>3239682.7499999939</v>
      </c>
      <c r="I45" s="476">
        <f t="shared" si="3"/>
        <v>3234725.319999991</v>
      </c>
      <c r="J45" s="476">
        <f t="shared" si="3"/>
        <v>2966767.7499999832</v>
      </c>
      <c r="K45" s="476">
        <f t="shared" si="3"/>
        <v>3223501.9800000088</v>
      </c>
      <c r="L45" s="476">
        <f t="shared" si="3"/>
        <v>3026862.6099999892</v>
      </c>
      <c r="M45" s="476">
        <f t="shared" si="3"/>
        <v>3113883.3200000012</v>
      </c>
      <c r="N45" s="476">
        <f t="shared" si="3"/>
        <v>2793864.9200000102</v>
      </c>
      <c r="O45" s="476">
        <f t="shared" si="3"/>
        <v>3028507.16</v>
      </c>
      <c r="P45" s="476">
        <f t="shared" si="3"/>
        <v>2693460.200000002</v>
      </c>
      <c r="Q45" s="476">
        <f t="shared" si="3"/>
        <v>2990775.1599999899</v>
      </c>
      <c r="R45" s="476">
        <f t="shared" si="3"/>
        <v>3157496.8099999791</v>
      </c>
      <c r="S45" s="476">
        <f t="shared" si="3"/>
        <v>2955169.0199999902</v>
      </c>
      <c r="T45" s="476">
        <f t="shared" si="3"/>
        <v>2961767.6799999997</v>
      </c>
      <c r="U45" s="476">
        <f t="shared" si="3"/>
        <v>2708104.25999999</v>
      </c>
      <c r="V45" s="476">
        <f t="shared" si="3"/>
        <v>2890915.6999999899</v>
      </c>
      <c r="W45" s="476">
        <f t="shared" si="3"/>
        <v>3002671.2499999898</v>
      </c>
      <c r="X45" s="476">
        <f t="shared" si="3"/>
        <v>2764514.6599999801</v>
      </c>
      <c r="Y45" s="476">
        <f t="shared" si="3"/>
        <v>2929326.1199999899</v>
      </c>
      <c r="Z45" s="476">
        <f t="shared" si="3"/>
        <v>2461882.7999999998</v>
      </c>
      <c r="AA45" s="476">
        <f t="shared" si="3"/>
        <v>2679917.94</v>
      </c>
      <c r="AB45" s="476">
        <f t="shared" si="3"/>
        <v>2390915.890000016</v>
      </c>
      <c r="AC45" s="476">
        <f t="shared" ref="AC45:AH45" si="4">SUM(AC41:AC44)</f>
        <v>2543077.3900000099</v>
      </c>
      <c r="AD45" s="476">
        <f t="shared" si="4"/>
        <v>0</v>
      </c>
      <c r="AE45" s="476">
        <f t="shared" si="4"/>
        <v>0</v>
      </c>
      <c r="AF45" s="476">
        <f t="shared" si="4"/>
        <v>0</v>
      </c>
      <c r="AG45" s="478">
        <f t="shared" si="4"/>
        <v>43815861.359999992</v>
      </c>
      <c r="AH45" s="477">
        <f t="shared" si="4"/>
        <v>120098313.55999984</v>
      </c>
    </row>
    <row r="46" spans="1:34" s="459" customFormat="1" ht="53.25" customHeight="1">
      <c r="A46" s="485">
        <v>37</v>
      </c>
      <c r="B46" s="488" t="s">
        <v>1505</v>
      </c>
      <c r="C46" s="473"/>
      <c r="D46" s="471">
        <v>347810.3573760076</v>
      </c>
      <c r="E46" s="471">
        <v>90737.705620537119</v>
      </c>
      <c r="F46" s="471">
        <v>54986.78292402286</v>
      </c>
      <c r="G46" s="474">
        <v>32335.421109305837</v>
      </c>
      <c r="H46" s="471">
        <v>32143.192790073124</v>
      </c>
      <c r="I46" s="471">
        <v>47962.817154803575</v>
      </c>
      <c r="J46" s="471">
        <v>9752.9982123043574</v>
      </c>
      <c r="K46" s="471">
        <v>8260.6528099793632</v>
      </c>
      <c r="L46" s="471">
        <v>6850.5330754725719</v>
      </c>
      <c r="M46" s="471">
        <v>5216.5044570123819</v>
      </c>
      <c r="N46" s="471">
        <v>3267.5803644708194</v>
      </c>
      <c r="O46" s="472">
        <v>2094.1215825591894</v>
      </c>
      <c r="P46" s="471">
        <v>1366.6511593448845</v>
      </c>
      <c r="Q46" s="472">
        <v>634.30883883824868</v>
      </c>
      <c r="R46" s="471">
        <v>75493.956569126851</v>
      </c>
      <c r="S46" s="472">
        <v>0</v>
      </c>
      <c r="T46" s="472">
        <v>-4.4779901247110838E-10</v>
      </c>
      <c r="U46" s="472">
        <v>4.1839093933844906E-10</v>
      </c>
      <c r="V46" s="471">
        <v>0</v>
      </c>
      <c r="W46" s="472">
        <v>-4.7017661647778426E-10</v>
      </c>
      <c r="X46" s="472">
        <v>8.9379812343247824E-10</v>
      </c>
      <c r="Y46" s="472">
        <v>0</v>
      </c>
      <c r="Z46" s="471">
        <v>4.3229378034980553E-10</v>
      </c>
      <c r="AA46" s="472">
        <v>8.4394021302849474E-10</v>
      </c>
      <c r="AB46" s="471">
        <v>-7.8959117186146812E-10</v>
      </c>
      <c r="AC46" s="472">
        <v>8.6892598509475097E-10</v>
      </c>
      <c r="AD46" s="472">
        <v>-1.3358982242181513E-9</v>
      </c>
      <c r="AE46" s="471"/>
      <c r="AF46" s="529"/>
      <c r="AG46" s="474"/>
      <c r="AH46" s="477">
        <f>SUM(C46:AG46)</f>
        <v>718913.58404385927</v>
      </c>
    </row>
    <row r="47" spans="1:34" s="459" customFormat="1" ht="40.35" customHeight="1" thickBot="1">
      <c r="A47" s="489">
        <v>38</v>
      </c>
      <c r="B47" s="490" t="s">
        <v>1506</v>
      </c>
      <c r="C47" s="479">
        <f>SUM(C45:C46)</f>
        <v>0</v>
      </c>
      <c r="D47" s="479">
        <f t="shared" ref="D47:AC47" si="5">SUM(D45:D46)</f>
        <v>2931955.1873760084</v>
      </c>
      <c r="E47" s="479">
        <f t="shared" si="5"/>
        <v>3185775.3956205244</v>
      </c>
      <c r="F47" s="479">
        <f t="shared" si="5"/>
        <v>3651112.4529239931</v>
      </c>
      <c r="G47" s="479">
        <f t="shared" si="5"/>
        <v>3281688.7411092999</v>
      </c>
      <c r="H47" s="479">
        <f t="shared" si="5"/>
        <v>3271825.9427900673</v>
      </c>
      <c r="I47" s="479">
        <f t="shared" si="5"/>
        <v>3282688.1371547948</v>
      </c>
      <c r="J47" s="479">
        <f t="shared" si="5"/>
        <v>2976520.7482122877</v>
      </c>
      <c r="K47" s="479">
        <f t="shared" si="5"/>
        <v>3231762.6328099882</v>
      </c>
      <c r="L47" s="479">
        <f t="shared" si="5"/>
        <v>3033713.1430754615</v>
      </c>
      <c r="M47" s="479">
        <f t="shared" si="5"/>
        <v>3119099.8244570135</v>
      </c>
      <c r="N47" s="479">
        <f t="shared" si="5"/>
        <v>2797132.500364481</v>
      </c>
      <c r="O47" s="479">
        <f t="shared" si="5"/>
        <v>3030601.2815825595</v>
      </c>
      <c r="P47" s="479">
        <f t="shared" si="5"/>
        <v>2694826.8511593468</v>
      </c>
      <c r="Q47" s="479">
        <f t="shared" si="5"/>
        <v>2991409.4688388282</v>
      </c>
      <c r="R47" s="479">
        <f t="shared" si="5"/>
        <v>3232990.7665691059</v>
      </c>
      <c r="S47" s="479">
        <f t="shared" si="5"/>
        <v>2955169.0199999902</v>
      </c>
      <c r="T47" s="479">
        <f t="shared" si="5"/>
        <v>2961767.6799999992</v>
      </c>
      <c r="U47" s="479">
        <f t="shared" si="5"/>
        <v>2708104.2599999905</v>
      </c>
      <c r="V47" s="479">
        <f t="shared" si="5"/>
        <v>2890915.6999999899</v>
      </c>
      <c r="W47" s="479">
        <f t="shared" si="5"/>
        <v>3002671.2499999893</v>
      </c>
      <c r="X47" s="479">
        <f t="shared" si="5"/>
        <v>2764514.6599999811</v>
      </c>
      <c r="Y47" s="479">
        <f t="shared" si="5"/>
        <v>2929326.1199999899</v>
      </c>
      <c r="Z47" s="479">
        <f t="shared" si="5"/>
        <v>2461882.8000000003</v>
      </c>
      <c r="AA47" s="479">
        <f t="shared" si="5"/>
        <v>2679917.9400000009</v>
      </c>
      <c r="AB47" s="479">
        <f t="shared" si="5"/>
        <v>2390915.890000015</v>
      </c>
      <c r="AC47" s="479">
        <f t="shared" si="5"/>
        <v>2543077.3900000108</v>
      </c>
      <c r="AD47" s="479">
        <f>SUM(AD45:AD46)</f>
        <v>-1.3358982242181513E-9</v>
      </c>
      <c r="AE47" s="479">
        <f>SUM(AE45:AE46)</f>
        <v>0</v>
      </c>
      <c r="AF47" s="479">
        <f>SUM(AF45:AF46)</f>
        <v>0</v>
      </c>
      <c r="AG47" s="507">
        <f>SUM(AG45:AG46)</f>
        <v>43815861.359999992</v>
      </c>
      <c r="AH47" s="480">
        <f>SUM(AH45:AH46)</f>
        <v>120817227.1440437</v>
      </c>
    </row>
  </sheetData>
  <sheetProtection algorithmName="SHA-512" hashValue="dt6KYk4l2FYwuVdt6ooSUMuyS58b1yeTnhOSOLm7A+9MtDWK53u+Nds5JoFUguDScF6qfz66gNylA1CBK8xUIw==" saltValue="yrPBXAv3pL3kto1AfWAUiw=="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DJ61"/>
  <sheetViews>
    <sheetView topLeftCell="M1" zoomScale="60" zoomScaleNormal="60" workbookViewId="0">
      <selection activeCell="AH46" sqref="AH46"/>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9.28515625" style="458" bestFit="1" customWidth="1"/>
    <col min="34" max="34" width="16.5703125" style="458" customWidth="1"/>
    <col min="35" max="16384" width="8" style="458"/>
  </cols>
  <sheetData>
    <row r="1" spans="1:114" ht="15.6">
      <c r="A1" s="427" t="s">
        <v>1507</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763963.37</v>
      </c>
      <c r="E10" s="959">
        <v>1851908.97</v>
      </c>
      <c r="F10" s="959">
        <v>1610710.39</v>
      </c>
      <c r="G10" s="959">
        <v>207186.18</v>
      </c>
      <c r="H10" s="959">
        <v>36760.620000000003</v>
      </c>
      <c r="I10" s="959">
        <v>52324.32</v>
      </c>
      <c r="J10" s="959">
        <v>51757.06</v>
      </c>
      <c r="K10" s="959">
        <v>57461.43</v>
      </c>
      <c r="L10" s="959">
        <v>-16584.28</v>
      </c>
      <c r="M10" s="959">
        <v>-9635.1200000000008</v>
      </c>
      <c r="N10" s="959">
        <v>-17270.939999999999</v>
      </c>
      <c r="O10" s="959">
        <v>0</v>
      </c>
      <c r="P10" s="959">
        <v>-2630.32</v>
      </c>
      <c r="Q10" s="959">
        <v>0</v>
      </c>
      <c r="R10" s="959">
        <v>-32295.13</v>
      </c>
      <c r="S10" s="959">
        <v>-31524.29</v>
      </c>
      <c r="T10" s="959">
        <v>0</v>
      </c>
      <c r="U10" s="959">
        <v>0</v>
      </c>
      <c r="V10" s="959">
        <v>23498.41</v>
      </c>
      <c r="W10" s="959">
        <v>0</v>
      </c>
      <c r="X10" s="959">
        <v>-244258.21</v>
      </c>
      <c r="Y10" s="959">
        <v>1343</v>
      </c>
      <c r="Z10" s="959">
        <v>0</v>
      </c>
      <c r="AA10" s="959">
        <v>0</v>
      </c>
      <c r="AB10" s="959">
        <v>0</v>
      </c>
      <c r="AC10" s="959">
        <v>0</v>
      </c>
      <c r="AD10" s="959"/>
      <c r="AE10" s="959"/>
      <c r="AF10" s="513"/>
      <c r="AG10" s="512">
        <v>0</v>
      </c>
      <c r="AH10" s="481">
        <f t="shared" ref="AH10:AH39" si="0">SUM(C10:AG10)</f>
        <v>4302715.4599999981</v>
      </c>
    </row>
    <row r="11" spans="1:114" s="460" customFormat="1">
      <c r="A11" s="482">
        <v>2</v>
      </c>
      <c r="B11" s="483">
        <f>'Schedule 2_Balance Sheet'!C4</f>
        <v>45657</v>
      </c>
      <c r="C11" s="498"/>
      <c r="D11" s="524">
        <v>233008.19</v>
      </c>
      <c r="E11" s="524">
        <v>551843.54</v>
      </c>
      <c r="F11" s="524">
        <v>2685700.69</v>
      </c>
      <c r="G11" s="524">
        <v>938278.15</v>
      </c>
      <c r="H11" s="524">
        <v>98414.43</v>
      </c>
      <c r="I11" s="524">
        <v>-30477.46</v>
      </c>
      <c r="J11" s="524">
        <v>-50287.99</v>
      </c>
      <c r="K11" s="524">
        <v>-19302.23</v>
      </c>
      <c r="L11" s="524">
        <v>-39870.92</v>
      </c>
      <c r="M11" s="524">
        <v>-9682.0400000000009</v>
      </c>
      <c r="N11" s="524">
        <v>-18734.080000000002</v>
      </c>
      <c r="O11" s="524">
        <v>-2333.64</v>
      </c>
      <c r="P11" s="524">
        <v>0</v>
      </c>
      <c r="Q11" s="524">
        <v>0</v>
      </c>
      <c r="R11" s="524">
        <v>0</v>
      </c>
      <c r="S11" s="524">
        <v>0</v>
      </c>
      <c r="T11" s="524">
        <v>0</v>
      </c>
      <c r="U11" s="524">
        <v>0</v>
      </c>
      <c r="V11" s="524">
        <v>0</v>
      </c>
      <c r="W11" s="524">
        <v>0</v>
      </c>
      <c r="X11" s="524">
        <v>0</v>
      </c>
      <c r="Y11" s="524">
        <v>0</v>
      </c>
      <c r="Z11" s="524">
        <v>-14910.69</v>
      </c>
      <c r="AA11" s="524">
        <v>0</v>
      </c>
      <c r="AB11" s="524">
        <v>0</v>
      </c>
      <c r="AC11" s="524">
        <v>0</v>
      </c>
      <c r="AD11" s="524"/>
      <c r="AE11" s="524"/>
      <c r="AF11" s="514"/>
      <c r="AG11" s="510">
        <v>0</v>
      </c>
      <c r="AH11" s="481">
        <f t="shared" si="0"/>
        <v>4321645.9499999993</v>
      </c>
    </row>
    <row r="12" spans="1:114" s="459" customFormat="1" ht="15" customHeight="1">
      <c r="A12" s="482">
        <v>3</v>
      </c>
      <c r="B12" s="483">
        <f>EOMONTH(B11,-1)</f>
        <v>45626</v>
      </c>
      <c r="C12" s="498"/>
      <c r="D12" s="498">
        <v>0</v>
      </c>
      <c r="E12" s="471">
        <v>295134.39</v>
      </c>
      <c r="F12" s="471">
        <v>1236924.49</v>
      </c>
      <c r="G12" s="471">
        <v>3985331.55</v>
      </c>
      <c r="H12" s="471">
        <v>2086356.85</v>
      </c>
      <c r="I12" s="471">
        <v>118680.67</v>
      </c>
      <c r="J12" s="471">
        <v>75755.509999999995</v>
      </c>
      <c r="K12" s="471">
        <v>57067.09</v>
      </c>
      <c r="L12" s="471">
        <v>256039.61</v>
      </c>
      <c r="M12" s="471">
        <v>106508.41</v>
      </c>
      <c r="N12" s="471">
        <v>-18161.09</v>
      </c>
      <c r="O12" s="471">
        <v>-6457.62</v>
      </c>
      <c r="P12" s="471">
        <v>23531.38</v>
      </c>
      <c r="Q12" s="471">
        <v>8493.64</v>
      </c>
      <c r="R12" s="471">
        <v>-21713.31</v>
      </c>
      <c r="S12" s="471">
        <v>0</v>
      </c>
      <c r="T12" s="471">
        <v>0</v>
      </c>
      <c r="U12" s="471">
        <v>0</v>
      </c>
      <c r="V12" s="471">
        <v>-8330.06</v>
      </c>
      <c r="W12" s="471">
        <v>0</v>
      </c>
      <c r="X12" s="471">
        <v>0</v>
      </c>
      <c r="Y12" s="471">
        <v>0</v>
      </c>
      <c r="Z12" s="471">
        <v>0</v>
      </c>
      <c r="AA12" s="471">
        <v>0</v>
      </c>
      <c r="AB12" s="471">
        <v>394.91</v>
      </c>
      <c r="AC12" s="471">
        <v>0</v>
      </c>
      <c r="AD12" s="471"/>
      <c r="AE12" s="471"/>
      <c r="AF12" s="506"/>
      <c r="AG12" s="510">
        <v>-447.5</v>
      </c>
      <c r="AH12" s="481">
        <f t="shared" si="0"/>
        <v>8195108.9199999999</v>
      </c>
    </row>
    <row r="13" spans="1:114" s="459" customFormat="1" ht="15" customHeight="1">
      <c r="A13" s="482">
        <v>4</v>
      </c>
      <c r="B13" s="483">
        <f t="shared" ref="B13:B39" si="1">EOMONTH(B12,-1)</f>
        <v>45596</v>
      </c>
      <c r="C13" s="498"/>
      <c r="D13" s="496">
        <v>0</v>
      </c>
      <c r="E13" s="498">
        <v>0</v>
      </c>
      <c r="F13" s="471">
        <v>111697.65</v>
      </c>
      <c r="G13" s="471">
        <v>544725.75</v>
      </c>
      <c r="H13" s="471">
        <v>2425791.5699999998</v>
      </c>
      <c r="I13" s="471">
        <v>1252184.73</v>
      </c>
      <c r="J13" s="471">
        <v>69820.84</v>
      </c>
      <c r="K13" s="471">
        <v>-4804.72</v>
      </c>
      <c r="L13" s="471">
        <v>-13068.87</v>
      </c>
      <c r="M13" s="471">
        <v>-20249.560000000001</v>
      </c>
      <c r="N13" s="471">
        <v>11398.87</v>
      </c>
      <c r="O13" s="471">
        <v>257.91000000000003</v>
      </c>
      <c r="P13" s="471">
        <v>-16212.01</v>
      </c>
      <c r="Q13" s="471">
        <v>-7148.75</v>
      </c>
      <c r="R13" s="471">
        <v>13728.54</v>
      </c>
      <c r="S13" s="472">
        <v>0</v>
      </c>
      <c r="T13" s="472">
        <v>-4185.95</v>
      </c>
      <c r="U13" s="472">
        <v>-8412.4699999999993</v>
      </c>
      <c r="V13" s="471">
        <v>0</v>
      </c>
      <c r="W13" s="471">
        <v>11206.08</v>
      </c>
      <c r="X13" s="472">
        <v>-7170.06</v>
      </c>
      <c r="Y13" s="472">
        <v>20097.47</v>
      </c>
      <c r="Z13" s="471">
        <v>0</v>
      </c>
      <c r="AA13" s="471">
        <v>0</v>
      </c>
      <c r="AB13" s="471">
        <v>0</v>
      </c>
      <c r="AC13" s="471">
        <v>10716.57</v>
      </c>
      <c r="AD13" s="471"/>
      <c r="AE13" s="471"/>
      <c r="AF13" s="506"/>
      <c r="AG13" s="508">
        <v>0</v>
      </c>
      <c r="AH13" s="481">
        <f t="shared" si="0"/>
        <v>4390373.5900000008</v>
      </c>
    </row>
    <row r="14" spans="1:114" s="459" customFormat="1" ht="15" customHeight="1">
      <c r="A14" s="482">
        <v>5</v>
      </c>
      <c r="B14" s="483">
        <f t="shared" si="1"/>
        <v>45565</v>
      </c>
      <c r="C14" s="498"/>
      <c r="D14" s="496">
        <v>0</v>
      </c>
      <c r="E14" s="496">
        <v>0</v>
      </c>
      <c r="F14" s="498">
        <v>0</v>
      </c>
      <c r="G14" s="471">
        <v>177241.38</v>
      </c>
      <c r="H14" s="471">
        <v>554980.63</v>
      </c>
      <c r="I14" s="471">
        <v>913793.67</v>
      </c>
      <c r="J14" s="471">
        <v>1169723.5900000001</v>
      </c>
      <c r="K14" s="471">
        <v>133051.17000000001</v>
      </c>
      <c r="L14" s="471">
        <v>84451.96</v>
      </c>
      <c r="M14" s="471">
        <v>45625.51</v>
      </c>
      <c r="N14" s="471">
        <v>0</v>
      </c>
      <c r="O14" s="471">
        <v>4108.03</v>
      </c>
      <c r="P14" s="471">
        <v>1469.69</v>
      </c>
      <c r="Q14" s="471">
        <v>0</v>
      </c>
      <c r="R14" s="471">
        <v>0</v>
      </c>
      <c r="S14" s="472">
        <v>0</v>
      </c>
      <c r="T14" s="472">
        <v>0</v>
      </c>
      <c r="U14" s="472">
        <v>0</v>
      </c>
      <c r="V14" s="471">
        <v>0</v>
      </c>
      <c r="W14" s="471">
        <v>-86826.78</v>
      </c>
      <c r="X14" s="472">
        <v>-10522.27</v>
      </c>
      <c r="Y14" s="472">
        <v>-37410.57</v>
      </c>
      <c r="Z14" s="471">
        <v>0</v>
      </c>
      <c r="AA14" s="471">
        <v>-10506.98</v>
      </c>
      <c r="AB14" s="471">
        <v>0</v>
      </c>
      <c r="AC14" s="471">
        <v>0</v>
      </c>
      <c r="AD14" s="471"/>
      <c r="AE14" s="471"/>
      <c r="AF14" s="506"/>
      <c r="AG14" s="509">
        <v>0</v>
      </c>
      <c r="AH14" s="481">
        <f t="shared" si="0"/>
        <v>2939179.0300000003</v>
      </c>
    </row>
    <row r="15" spans="1:114" s="459" customFormat="1" ht="15" customHeight="1">
      <c r="A15" s="482">
        <v>6</v>
      </c>
      <c r="B15" s="483">
        <f t="shared" si="1"/>
        <v>45535</v>
      </c>
      <c r="C15" s="498"/>
      <c r="D15" s="496">
        <v>0</v>
      </c>
      <c r="E15" s="496">
        <v>0</v>
      </c>
      <c r="F15" s="496">
        <v>0</v>
      </c>
      <c r="G15" s="498">
        <v>0</v>
      </c>
      <c r="H15" s="471">
        <v>224246.09</v>
      </c>
      <c r="I15" s="471">
        <v>2446715.7999999998</v>
      </c>
      <c r="J15" s="471">
        <v>3161793.38</v>
      </c>
      <c r="K15" s="471">
        <v>3236770.39</v>
      </c>
      <c r="L15" s="471">
        <v>59282.82</v>
      </c>
      <c r="M15" s="471">
        <v>61163.8</v>
      </c>
      <c r="N15" s="471">
        <v>87011.69</v>
      </c>
      <c r="O15" s="471">
        <v>19328.18</v>
      </c>
      <c r="P15" s="471">
        <v>-6824.6</v>
      </c>
      <c r="Q15" s="471">
        <v>-31151.46</v>
      </c>
      <c r="R15" s="471">
        <v>51093.09</v>
      </c>
      <c r="S15" s="472">
        <v>0</v>
      </c>
      <c r="T15" s="472">
        <v>0</v>
      </c>
      <c r="U15" s="472">
        <v>-3269.29</v>
      </c>
      <c r="V15" s="471">
        <v>0</v>
      </c>
      <c r="W15" s="471">
        <v>-16823.79</v>
      </c>
      <c r="X15" s="472">
        <v>-6388.57</v>
      </c>
      <c r="Y15" s="472">
        <v>-2933</v>
      </c>
      <c r="Z15" s="471">
        <v>0</v>
      </c>
      <c r="AA15" s="471">
        <v>9319.65</v>
      </c>
      <c r="AB15" s="471">
        <v>0</v>
      </c>
      <c r="AC15" s="471">
        <v>0</v>
      </c>
      <c r="AD15" s="471"/>
      <c r="AE15" s="471"/>
      <c r="AF15" s="506"/>
      <c r="AG15" s="509">
        <v>0</v>
      </c>
      <c r="AH15" s="481">
        <f t="shared" si="0"/>
        <v>9289334.1800000016</v>
      </c>
    </row>
    <row r="16" spans="1:114" s="459" customFormat="1" ht="15" customHeight="1">
      <c r="A16" s="482">
        <v>7</v>
      </c>
      <c r="B16" s="483">
        <f t="shared" si="1"/>
        <v>45504</v>
      </c>
      <c r="C16" s="498"/>
      <c r="D16" s="496">
        <v>0</v>
      </c>
      <c r="E16" s="496">
        <v>0</v>
      </c>
      <c r="F16" s="499">
        <v>0</v>
      </c>
      <c r="G16" s="496">
        <v>0</v>
      </c>
      <c r="H16" s="498">
        <v>0</v>
      </c>
      <c r="I16" s="471">
        <v>150025.20000000001</v>
      </c>
      <c r="J16" s="471">
        <v>320525.90999999997</v>
      </c>
      <c r="K16" s="471">
        <v>1726738.66</v>
      </c>
      <c r="L16" s="471">
        <v>1987574.24</v>
      </c>
      <c r="M16" s="471">
        <v>148696.51999999999</v>
      </c>
      <c r="N16" s="471">
        <v>58606.7</v>
      </c>
      <c r="O16" s="471">
        <v>5648.06</v>
      </c>
      <c r="P16" s="471">
        <v>-5056.3900000000003</v>
      </c>
      <c r="Q16" s="471">
        <v>-20192.759999999998</v>
      </c>
      <c r="R16" s="471">
        <v>0</v>
      </c>
      <c r="S16" s="472">
        <v>25735.66</v>
      </c>
      <c r="T16" s="472">
        <v>0</v>
      </c>
      <c r="U16" s="472">
        <v>0</v>
      </c>
      <c r="V16" s="471">
        <v>0</v>
      </c>
      <c r="W16" s="471">
        <v>-20853.61</v>
      </c>
      <c r="X16" s="472">
        <v>-2839.48</v>
      </c>
      <c r="Y16" s="472">
        <v>0</v>
      </c>
      <c r="Z16" s="471">
        <v>-7483.92</v>
      </c>
      <c r="AA16" s="471">
        <v>0</v>
      </c>
      <c r="AB16" s="471">
        <v>0</v>
      </c>
      <c r="AC16" s="471">
        <v>0</v>
      </c>
      <c r="AD16" s="471"/>
      <c r="AE16" s="471"/>
      <c r="AF16" s="506"/>
      <c r="AG16" s="509">
        <v>-64161.340000000004</v>
      </c>
      <c r="AH16" s="481">
        <f t="shared" si="0"/>
        <v>4302963.4499999993</v>
      </c>
    </row>
    <row r="17" spans="1:34" s="459" customFormat="1" ht="15" customHeight="1">
      <c r="A17" s="482">
        <v>8</v>
      </c>
      <c r="B17" s="483">
        <f t="shared" si="1"/>
        <v>45473</v>
      </c>
      <c r="C17" s="498"/>
      <c r="D17" s="496">
        <v>0</v>
      </c>
      <c r="E17" s="496">
        <v>0</v>
      </c>
      <c r="F17" s="496">
        <v>0</v>
      </c>
      <c r="G17" s="496">
        <v>0</v>
      </c>
      <c r="H17" s="496">
        <v>0</v>
      </c>
      <c r="I17" s="498">
        <v>0</v>
      </c>
      <c r="J17" s="471">
        <v>98113.12</v>
      </c>
      <c r="K17" s="471">
        <v>196434.11</v>
      </c>
      <c r="L17" s="471">
        <v>2364894.42</v>
      </c>
      <c r="M17" s="471">
        <v>340724.23</v>
      </c>
      <c r="N17" s="471">
        <v>196294.2</v>
      </c>
      <c r="O17" s="471">
        <v>172656.03</v>
      </c>
      <c r="P17" s="471">
        <v>6904.13</v>
      </c>
      <c r="Q17" s="471">
        <v>6601.1</v>
      </c>
      <c r="R17" s="471">
        <v>1790.84</v>
      </c>
      <c r="S17" s="472">
        <v>-16358.88</v>
      </c>
      <c r="T17" s="472">
        <v>26323.94</v>
      </c>
      <c r="U17" s="472">
        <v>-2251.5700000000002</v>
      </c>
      <c r="V17" s="471">
        <v>0</v>
      </c>
      <c r="W17" s="471">
        <v>0</v>
      </c>
      <c r="X17" s="472">
        <v>-3782.74</v>
      </c>
      <c r="Y17" s="472">
        <v>0</v>
      </c>
      <c r="Z17" s="471">
        <v>0</v>
      </c>
      <c r="AA17" s="471">
        <v>0</v>
      </c>
      <c r="AB17" s="471">
        <v>10489.66</v>
      </c>
      <c r="AC17" s="471">
        <v>0</v>
      </c>
      <c r="AD17" s="471"/>
      <c r="AE17" s="471"/>
      <c r="AF17" s="506"/>
      <c r="AG17" s="509">
        <v>-217366.42000000004</v>
      </c>
      <c r="AH17" s="481">
        <f t="shared" si="0"/>
        <v>3181466.17</v>
      </c>
    </row>
    <row r="18" spans="1:34" s="459" customFormat="1" ht="15" customHeight="1">
      <c r="A18" s="482">
        <v>9</v>
      </c>
      <c r="B18" s="483">
        <f t="shared" si="1"/>
        <v>45443</v>
      </c>
      <c r="C18" s="498"/>
      <c r="D18" s="496">
        <v>0</v>
      </c>
      <c r="E18" s="496">
        <v>0</v>
      </c>
      <c r="F18" s="496">
        <v>0</v>
      </c>
      <c r="G18" s="496">
        <v>0</v>
      </c>
      <c r="H18" s="496">
        <v>0</v>
      </c>
      <c r="I18" s="496">
        <v>0</v>
      </c>
      <c r="J18" s="498">
        <v>0</v>
      </c>
      <c r="K18" s="471">
        <v>272115.59999999998</v>
      </c>
      <c r="L18" s="471">
        <v>516933.25</v>
      </c>
      <c r="M18" s="471">
        <v>1128813.25</v>
      </c>
      <c r="N18" s="471">
        <v>419583.75</v>
      </c>
      <c r="O18" s="471">
        <v>55040.19</v>
      </c>
      <c r="P18" s="471">
        <v>156881.91</v>
      </c>
      <c r="Q18" s="471">
        <v>36279.54</v>
      </c>
      <c r="R18" s="471">
        <v>38794.019999999997</v>
      </c>
      <c r="S18" s="472">
        <v>19013.89</v>
      </c>
      <c r="T18" s="472">
        <v>5104.0600000000004</v>
      </c>
      <c r="U18" s="472">
        <v>-4816.3999999999996</v>
      </c>
      <c r="V18" s="471">
        <v>-14367.69</v>
      </c>
      <c r="W18" s="471">
        <v>-479.79000000000201</v>
      </c>
      <c r="X18" s="472">
        <v>352911.88</v>
      </c>
      <c r="Y18" s="472">
        <v>-54928.73</v>
      </c>
      <c r="Z18" s="471">
        <v>8069.67</v>
      </c>
      <c r="AA18" s="471">
        <v>1791.41</v>
      </c>
      <c r="AB18" s="471">
        <v>0</v>
      </c>
      <c r="AC18" s="471">
        <v>0</v>
      </c>
      <c r="AD18" s="471"/>
      <c r="AE18" s="471"/>
      <c r="AF18" s="506"/>
      <c r="AG18" s="509">
        <v>-11237.16</v>
      </c>
      <c r="AH18" s="481">
        <f t="shared" si="0"/>
        <v>2925502.6500000004</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144618.78</v>
      </c>
      <c r="M19" s="471">
        <v>1693357.99</v>
      </c>
      <c r="N19" s="471">
        <v>1181563.52</v>
      </c>
      <c r="O19" s="471">
        <v>44389.69</v>
      </c>
      <c r="P19" s="471">
        <v>-12064.85</v>
      </c>
      <c r="Q19" s="471">
        <v>11627.02</v>
      </c>
      <c r="R19" s="471">
        <v>61133.89</v>
      </c>
      <c r="S19" s="472">
        <v>44717.03</v>
      </c>
      <c r="T19" s="472">
        <v>33570.21</v>
      </c>
      <c r="U19" s="472">
        <v>117604.19</v>
      </c>
      <c r="V19" s="471">
        <v>59433.75</v>
      </c>
      <c r="W19" s="471">
        <v>26003.200000000001</v>
      </c>
      <c r="X19" s="472">
        <v>-10733.67</v>
      </c>
      <c r="Y19" s="472">
        <v>-10202.26</v>
      </c>
      <c r="Z19" s="471">
        <v>-23282.84</v>
      </c>
      <c r="AA19" s="471">
        <v>0</v>
      </c>
      <c r="AB19" s="471">
        <v>5012.12</v>
      </c>
      <c r="AC19" s="471">
        <v>0</v>
      </c>
      <c r="AD19" s="471"/>
      <c r="AE19" s="471"/>
      <c r="AF19" s="506"/>
      <c r="AG19" s="509">
        <v>0</v>
      </c>
      <c r="AH19" s="481">
        <f t="shared" si="0"/>
        <v>3366747.7700000005</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1236520.55</v>
      </c>
      <c r="N20" s="471">
        <v>3212623.77</v>
      </c>
      <c r="O20" s="471">
        <v>1047222.96</v>
      </c>
      <c r="P20" s="471">
        <v>110472.67</v>
      </c>
      <c r="Q20" s="471">
        <v>-4641.13</v>
      </c>
      <c r="R20" s="471">
        <v>2477.2399999999998</v>
      </c>
      <c r="S20" s="472">
        <v>-6264.24</v>
      </c>
      <c r="T20" s="472">
        <v>-6663.66</v>
      </c>
      <c r="U20" s="472">
        <v>42687.63</v>
      </c>
      <c r="V20" s="471">
        <v>49.83</v>
      </c>
      <c r="W20" s="471">
        <v>-31541.78</v>
      </c>
      <c r="X20" s="472">
        <v>-3650.97</v>
      </c>
      <c r="Y20" s="472">
        <v>-5656.7300000000096</v>
      </c>
      <c r="Z20" s="471">
        <v>4815.7000000000098</v>
      </c>
      <c r="AA20" s="471">
        <v>179372.2</v>
      </c>
      <c r="AB20" s="471">
        <v>-13725.66</v>
      </c>
      <c r="AC20" s="471">
        <v>0</v>
      </c>
      <c r="AD20" s="471"/>
      <c r="AE20" s="471"/>
      <c r="AF20" s="506"/>
      <c r="AG20" s="509">
        <v>7637.27</v>
      </c>
      <c r="AH20" s="481">
        <f t="shared" si="0"/>
        <v>5771735.6499999994</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776274.33</v>
      </c>
      <c r="O21" s="471">
        <v>2798555.68</v>
      </c>
      <c r="P21" s="471">
        <v>1304773.46</v>
      </c>
      <c r="Q21" s="471">
        <v>163300.81</v>
      </c>
      <c r="R21" s="471">
        <v>161670.98000000001</v>
      </c>
      <c r="S21" s="472">
        <v>96974.03</v>
      </c>
      <c r="T21" s="472">
        <v>35367.019999999997</v>
      </c>
      <c r="U21" s="472">
        <v>21392.75</v>
      </c>
      <c r="V21" s="471">
        <v>-3282.76</v>
      </c>
      <c r="W21" s="471">
        <v>7778.67</v>
      </c>
      <c r="X21" s="472">
        <v>-12465.99</v>
      </c>
      <c r="Y21" s="472">
        <v>35045.699999999997</v>
      </c>
      <c r="Z21" s="471">
        <v>0</v>
      </c>
      <c r="AA21" s="471">
        <v>16484.419999999998</v>
      </c>
      <c r="AB21" s="471">
        <v>0</v>
      </c>
      <c r="AC21" s="471">
        <v>1556</v>
      </c>
      <c r="AD21" s="471"/>
      <c r="AE21" s="471"/>
      <c r="AF21" s="506"/>
      <c r="AG21" s="509">
        <v>15619.57</v>
      </c>
      <c r="AH21" s="481">
        <f t="shared" si="0"/>
        <v>5419044.6700000009</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1221472.9099999999</v>
      </c>
      <c r="P22" s="471">
        <v>1926642.77</v>
      </c>
      <c r="Q22" s="471">
        <v>1885071.27</v>
      </c>
      <c r="R22" s="471">
        <v>1074812.6299999999</v>
      </c>
      <c r="S22" s="472">
        <v>62735.62</v>
      </c>
      <c r="T22" s="472">
        <v>27304.95</v>
      </c>
      <c r="U22" s="472">
        <v>38040.639999999999</v>
      </c>
      <c r="V22" s="471">
        <v>7932.09</v>
      </c>
      <c r="W22" s="471">
        <v>-9648.32</v>
      </c>
      <c r="X22" s="472">
        <v>-17648.2</v>
      </c>
      <c r="Y22" s="472">
        <v>-10648.87</v>
      </c>
      <c r="Z22" s="471">
        <v>5896.31</v>
      </c>
      <c r="AA22" s="471">
        <v>7574.77</v>
      </c>
      <c r="AB22" s="471">
        <v>-10242.81</v>
      </c>
      <c r="AC22" s="471">
        <v>-788.62999999999897</v>
      </c>
      <c r="AD22" s="471"/>
      <c r="AE22" s="471"/>
      <c r="AF22" s="506"/>
      <c r="AG22" s="509">
        <v>-15902.059999999994</v>
      </c>
      <c r="AH22" s="481">
        <f t="shared" si="0"/>
        <v>6192605.0699999984</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1479610.04</v>
      </c>
      <c r="Q23" s="471">
        <v>2779613.41</v>
      </c>
      <c r="R23" s="471">
        <v>869111.09</v>
      </c>
      <c r="S23" s="472">
        <v>327928.51</v>
      </c>
      <c r="T23" s="472">
        <v>18731.27</v>
      </c>
      <c r="U23" s="472">
        <v>26323.41</v>
      </c>
      <c r="V23" s="471">
        <v>33612.769999999997</v>
      </c>
      <c r="W23" s="471">
        <v>40624.720000000001</v>
      </c>
      <c r="X23" s="472">
        <v>-12604.51</v>
      </c>
      <c r="Y23" s="472">
        <v>59371.65</v>
      </c>
      <c r="Z23" s="471">
        <v>0</v>
      </c>
      <c r="AA23" s="471">
        <v>-3018.8</v>
      </c>
      <c r="AB23" s="471">
        <v>22586.69</v>
      </c>
      <c r="AC23" s="471">
        <v>0</v>
      </c>
      <c r="AD23" s="471"/>
      <c r="AE23" s="471"/>
      <c r="AF23" s="506"/>
      <c r="AG23" s="509">
        <v>7482.4399999999987</v>
      </c>
      <c r="AH23" s="481">
        <f t="shared" si="0"/>
        <v>5649372.6900000004</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865613.77</v>
      </c>
      <c r="R24" s="471">
        <v>2389174.4300000002</v>
      </c>
      <c r="S24" s="472">
        <v>726110.38</v>
      </c>
      <c r="T24" s="472">
        <v>218651.32</v>
      </c>
      <c r="U24" s="472">
        <v>47530.93</v>
      </c>
      <c r="V24" s="471">
        <v>3077.31</v>
      </c>
      <c r="W24" s="471">
        <v>15978.77</v>
      </c>
      <c r="X24" s="472">
        <v>-969113.58</v>
      </c>
      <c r="Y24" s="472">
        <v>19398.16</v>
      </c>
      <c r="Z24" s="471">
        <v>1697.65</v>
      </c>
      <c r="AA24" s="471">
        <v>0</v>
      </c>
      <c r="AB24" s="471">
        <v>0</v>
      </c>
      <c r="AC24" s="471">
        <v>6503.97</v>
      </c>
      <c r="AD24" s="471"/>
      <c r="AE24" s="471"/>
      <c r="AF24" s="506"/>
      <c r="AG24" s="509">
        <v>4875.3999999999996</v>
      </c>
      <c r="AH24" s="481">
        <f t="shared" si="0"/>
        <v>3329498.5099999993</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1133543.17</v>
      </c>
      <c r="S25" s="472">
        <v>2474035.81</v>
      </c>
      <c r="T25" s="472">
        <v>741522</v>
      </c>
      <c r="U25" s="472">
        <v>293541.65000000002</v>
      </c>
      <c r="V25" s="471">
        <v>149947.24</v>
      </c>
      <c r="W25" s="471">
        <v>122676.97</v>
      </c>
      <c r="X25" s="472">
        <v>34214.620000000003</v>
      </c>
      <c r="Y25" s="472">
        <v>-10790.14</v>
      </c>
      <c r="Z25" s="471">
        <v>2724.06</v>
      </c>
      <c r="AA25" s="471">
        <v>10295.14</v>
      </c>
      <c r="AB25" s="471">
        <v>0</v>
      </c>
      <c r="AC25" s="471">
        <v>2438.02</v>
      </c>
      <c r="AD25" s="471"/>
      <c r="AE25" s="471"/>
      <c r="AF25" s="506"/>
      <c r="AG25" s="509">
        <v>10469.48</v>
      </c>
      <c r="AH25" s="481">
        <f t="shared" si="0"/>
        <v>4964618.0200000005</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1633227.39</v>
      </c>
      <c r="T26" s="472">
        <v>2317080.8199999998</v>
      </c>
      <c r="U26" s="472">
        <v>1093970.3999999999</v>
      </c>
      <c r="V26" s="471">
        <v>241597.29</v>
      </c>
      <c r="W26" s="471">
        <v>62372.45</v>
      </c>
      <c r="X26" s="472">
        <v>29281.32</v>
      </c>
      <c r="Y26" s="472">
        <v>15053.09</v>
      </c>
      <c r="Z26" s="471">
        <v>121420.48</v>
      </c>
      <c r="AA26" s="471">
        <v>16233.25</v>
      </c>
      <c r="AB26" s="471">
        <v>-2038.94</v>
      </c>
      <c r="AC26" s="471">
        <v>28579.94</v>
      </c>
      <c r="AD26" s="471"/>
      <c r="AE26" s="471"/>
      <c r="AF26" s="514"/>
      <c r="AG26" s="509">
        <v>5638.909999999998</v>
      </c>
      <c r="AH26" s="481">
        <f t="shared" si="0"/>
        <v>5562416.4000000004</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931981.4</v>
      </c>
      <c r="U27" s="472">
        <v>2044238.03</v>
      </c>
      <c r="V27" s="471">
        <v>974841.76</v>
      </c>
      <c r="W27" s="471">
        <v>238815.54</v>
      </c>
      <c r="X27" s="472">
        <v>2152.52</v>
      </c>
      <c r="Y27" s="472">
        <v>8104.51</v>
      </c>
      <c r="Z27" s="471">
        <v>43680</v>
      </c>
      <c r="AA27" s="471">
        <v>22838.46</v>
      </c>
      <c r="AB27" s="471">
        <v>0</v>
      </c>
      <c r="AC27" s="471">
        <v>-1194.94</v>
      </c>
      <c r="AD27" s="471"/>
      <c r="AE27" s="471"/>
      <c r="AF27" s="506"/>
      <c r="AG27" s="515">
        <v>11502.71</v>
      </c>
      <c r="AH27" s="481">
        <f t="shared" si="0"/>
        <v>4276959.99</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959423.05</v>
      </c>
      <c r="V28" s="471">
        <v>2532201.29</v>
      </c>
      <c r="W28" s="471">
        <v>825804.28</v>
      </c>
      <c r="X28" s="472">
        <v>1750600.98</v>
      </c>
      <c r="Y28" s="472">
        <v>753277.77</v>
      </c>
      <c r="Z28" s="471">
        <v>17786.11</v>
      </c>
      <c r="AA28" s="471">
        <v>64620.12</v>
      </c>
      <c r="AB28" s="471">
        <v>76645.25</v>
      </c>
      <c r="AC28" s="471">
        <v>0</v>
      </c>
      <c r="AD28" s="471"/>
      <c r="AE28" s="471"/>
      <c r="AF28" s="506"/>
      <c r="AG28" s="510">
        <v>10229.800000000001</v>
      </c>
      <c r="AH28" s="481">
        <f t="shared" si="0"/>
        <v>6990588.6499999994</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734314.81</v>
      </c>
      <c r="W29" s="471">
        <v>1966395.5</v>
      </c>
      <c r="X29" s="472">
        <v>642423.42000000004</v>
      </c>
      <c r="Y29" s="472">
        <v>615953.97</v>
      </c>
      <c r="Z29" s="471">
        <v>119964.82</v>
      </c>
      <c r="AA29" s="471">
        <v>6987.7</v>
      </c>
      <c r="AB29" s="471">
        <v>34133.68</v>
      </c>
      <c r="AC29" s="471">
        <v>-7699.25</v>
      </c>
      <c r="AD29" s="471"/>
      <c r="AE29" s="471"/>
      <c r="AF29" s="506"/>
      <c r="AG29" s="509">
        <v>11089.140000000012</v>
      </c>
      <c r="AH29" s="481">
        <f t="shared" si="0"/>
        <v>4123563.7900000005</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1085610.6499999999</v>
      </c>
      <c r="X30" s="472">
        <v>2288653.44</v>
      </c>
      <c r="Y30" s="472">
        <v>471158.96</v>
      </c>
      <c r="Z30" s="471">
        <v>441187.54</v>
      </c>
      <c r="AA30" s="471">
        <v>379980.01</v>
      </c>
      <c r="AB30" s="471">
        <v>2936.35</v>
      </c>
      <c r="AC30" s="471">
        <v>0</v>
      </c>
      <c r="AD30" s="471"/>
      <c r="AE30" s="471"/>
      <c r="AF30" s="506"/>
      <c r="AG30" s="509">
        <v>20711.050000000003</v>
      </c>
      <c r="AH30" s="481">
        <f t="shared" si="0"/>
        <v>4690237.9999999991</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1374058.69</v>
      </c>
      <c r="Y31" s="472">
        <v>2274969.6800000002</v>
      </c>
      <c r="Z31" s="471">
        <v>455270.96</v>
      </c>
      <c r="AA31" s="471">
        <v>907206.92</v>
      </c>
      <c r="AB31" s="471">
        <v>440912.97</v>
      </c>
      <c r="AC31" s="471">
        <v>161944.18</v>
      </c>
      <c r="AD31" s="471"/>
      <c r="AE31" s="471"/>
      <c r="AF31" s="506"/>
      <c r="AG31" s="509">
        <v>-15570.759999999998</v>
      </c>
      <c r="AH31" s="481">
        <f t="shared" si="0"/>
        <v>5598792.6399999997</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712556.55</v>
      </c>
      <c r="Z32" s="471">
        <v>2202191.52</v>
      </c>
      <c r="AA32" s="471">
        <v>468135.92</v>
      </c>
      <c r="AB32" s="471">
        <v>493690.14</v>
      </c>
      <c r="AC32" s="471">
        <v>174404.87</v>
      </c>
      <c r="AD32" s="471"/>
      <c r="AE32" s="471"/>
      <c r="AF32" s="506"/>
      <c r="AG32" s="509">
        <v>16145.929999999993</v>
      </c>
      <c r="AH32" s="481">
        <f t="shared" si="0"/>
        <v>4067124.9300000006</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913336.98</v>
      </c>
      <c r="AA33" s="471">
        <v>2128184.2000000002</v>
      </c>
      <c r="AB33" s="471">
        <v>111617.51</v>
      </c>
      <c r="AC33" s="471">
        <v>254658.31</v>
      </c>
      <c r="AD33" s="471"/>
      <c r="AE33" s="471"/>
      <c r="AF33" s="506"/>
      <c r="AG33" s="509">
        <v>833824.55</v>
      </c>
      <c r="AH33" s="481">
        <f t="shared" si="0"/>
        <v>4241621.55</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1219122.1000000001</v>
      </c>
      <c r="AB34" s="471">
        <v>1937502.12</v>
      </c>
      <c r="AC34" s="471">
        <v>336501.68</v>
      </c>
      <c r="AD34" s="471"/>
      <c r="AE34" s="471"/>
      <c r="AF34" s="506"/>
      <c r="AG34" s="509">
        <v>154231.33999999991</v>
      </c>
      <c r="AH34" s="481">
        <f t="shared" si="0"/>
        <v>3647357.24</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1330575.69</v>
      </c>
      <c r="AC35" s="471">
        <v>1723643.09</v>
      </c>
      <c r="AD35" s="471"/>
      <c r="AE35" s="471"/>
      <c r="AF35" s="506"/>
      <c r="AG35" s="509">
        <v>52965.83</v>
      </c>
      <c r="AH35" s="481">
        <f t="shared" si="0"/>
        <v>3107184.6100000003</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779179.94</v>
      </c>
      <c r="AD36" s="471"/>
      <c r="AE36" s="471"/>
      <c r="AF36" s="506"/>
      <c r="AG36" s="509">
        <v>322892.52</v>
      </c>
      <c r="AH36" s="481">
        <f t="shared" si="0"/>
        <v>1102072.46</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 t="shared" si="0"/>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996971.56</v>
      </c>
      <c r="E41" s="961">
        <f t="shared" ref="E41:AC41" si="2">SUM(E10:E40)</f>
        <v>2698886.9</v>
      </c>
      <c r="F41" s="961">
        <f t="shared" si="2"/>
        <v>5645033.2200000007</v>
      </c>
      <c r="G41" s="961">
        <f t="shared" si="2"/>
        <v>5852763.0099999998</v>
      </c>
      <c r="H41" s="961">
        <f t="shared" si="2"/>
        <v>5426550.1899999995</v>
      </c>
      <c r="I41" s="961">
        <f t="shared" si="2"/>
        <v>4903246.9300000006</v>
      </c>
      <c r="J41" s="961">
        <f t="shared" si="2"/>
        <v>4897201.42</v>
      </c>
      <c r="K41" s="961">
        <f t="shared" si="2"/>
        <v>5655531.5</v>
      </c>
      <c r="L41" s="961">
        <f t="shared" si="2"/>
        <v>5344271.0100000007</v>
      </c>
      <c r="M41" s="961">
        <f t="shared" si="2"/>
        <v>4721843.54</v>
      </c>
      <c r="N41" s="961">
        <f t="shared" si="2"/>
        <v>5889190.7200000007</v>
      </c>
      <c r="O41" s="961">
        <f t="shared" si="2"/>
        <v>5359888.38</v>
      </c>
      <c r="P41" s="961">
        <f t="shared" si="2"/>
        <v>4967497.88</v>
      </c>
      <c r="Q41" s="961">
        <f t="shared" si="2"/>
        <v>5693466.4600000009</v>
      </c>
      <c r="R41" s="961">
        <f t="shared" si="2"/>
        <v>5743321.4800000004</v>
      </c>
      <c r="S41" s="961">
        <f t="shared" si="2"/>
        <v>5356330.91</v>
      </c>
      <c r="T41" s="961">
        <f t="shared" si="2"/>
        <v>4344787.38</v>
      </c>
      <c r="U41" s="961">
        <f t="shared" si="2"/>
        <v>4666002.95</v>
      </c>
      <c r="V41" s="961">
        <f t="shared" si="2"/>
        <v>4734526.04</v>
      </c>
      <c r="W41" s="961">
        <f t="shared" si="2"/>
        <v>4237092.76</v>
      </c>
      <c r="X41" s="961">
        <f t="shared" si="2"/>
        <v>5173118.62</v>
      </c>
      <c r="Y41" s="961">
        <f t="shared" si="2"/>
        <v>4853760.21</v>
      </c>
      <c r="Z41" s="961">
        <f t="shared" si="2"/>
        <v>4292364.3499999996</v>
      </c>
      <c r="AA41" s="961">
        <f t="shared" si="2"/>
        <v>5424620.4900000002</v>
      </c>
      <c r="AB41" s="961">
        <f t="shared" si="2"/>
        <v>4440489.68</v>
      </c>
      <c r="AC41" s="961">
        <f t="shared" si="2"/>
        <v>3470443.75</v>
      </c>
      <c r="AD41" s="961">
        <f>SUM(AD10:AD40)</f>
        <v>0</v>
      </c>
      <c r="AE41" s="961">
        <f>SUM(AE10:AE40)</f>
        <v>0</v>
      </c>
      <c r="AF41" s="961">
        <f>SUM(AF10:AF40)</f>
        <v>0</v>
      </c>
      <c r="AG41" s="519">
        <f>SUM(AG10:AG40)</f>
        <v>1160630.6999999997</v>
      </c>
      <c r="AH41" s="962">
        <f>SUM(AH10:AH40)</f>
        <v>125949832.04000001</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53.85" customHeight="1">
      <c r="A45" s="485">
        <v>36</v>
      </c>
      <c r="B45" s="488" t="s">
        <v>1504</v>
      </c>
      <c r="C45" s="475">
        <f>SUM(C41:C44)</f>
        <v>0</v>
      </c>
      <c r="D45" s="475">
        <f t="shared" ref="D45:AD45" si="3">SUM(D41:D44)</f>
        <v>996971.56</v>
      </c>
      <c r="E45" s="476">
        <f t="shared" si="3"/>
        <v>2698886.9</v>
      </c>
      <c r="F45" s="476">
        <f t="shared" si="3"/>
        <v>5645033.2200000007</v>
      </c>
      <c r="G45" s="476">
        <f t="shared" si="3"/>
        <v>5852763.0099999998</v>
      </c>
      <c r="H45" s="476">
        <f t="shared" si="3"/>
        <v>5426550.1899999995</v>
      </c>
      <c r="I45" s="476">
        <f t="shared" si="3"/>
        <v>4903246.9300000006</v>
      </c>
      <c r="J45" s="476">
        <f t="shared" si="3"/>
        <v>4897201.42</v>
      </c>
      <c r="K45" s="476">
        <f t="shared" si="3"/>
        <v>5655531.5</v>
      </c>
      <c r="L45" s="476">
        <f t="shared" si="3"/>
        <v>5344271.0100000007</v>
      </c>
      <c r="M45" s="476">
        <f t="shared" si="3"/>
        <v>4721843.54</v>
      </c>
      <c r="N45" s="476">
        <f t="shared" si="3"/>
        <v>5889190.7200000007</v>
      </c>
      <c r="O45" s="476">
        <f t="shared" si="3"/>
        <v>5359888.38</v>
      </c>
      <c r="P45" s="476">
        <f t="shared" si="3"/>
        <v>4967497.88</v>
      </c>
      <c r="Q45" s="476">
        <f t="shared" si="3"/>
        <v>5693466.4600000009</v>
      </c>
      <c r="R45" s="476">
        <f t="shared" si="3"/>
        <v>5743321.4800000004</v>
      </c>
      <c r="S45" s="476">
        <f t="shared" si="3"/>
        <v>5356330.91</v>
      </c>
      <c r="T45" s="476">
        <f t="shared" si="3"/>
        <v>4344787.38</v>
      </c>
      <c r="U45" s="476">
        <f t="shared" si="3"/>
        <v>4666002.95</v>
      </c>
      <c r="V45" s="476">
        <f t="shared" si="3"/>
        <v>4734526.04</v>
      </c>
      <c r="W45" s="476">
        <f t="shared" si="3"/>
        <v>4237092.76</v>
      </c>
      <c r="X45" s="476">
        <f t="shared" si="3"/>
        <v>5173118.62</v>
      </c>
      <c r="Y45" s="476">
        <f t="shared" si="3"/>
        <v>4853760.21</v>
      </c>
      <c r="Z45" s="476">
        <f t="shared" si="3"/>
        <v>4292364.3499999996</v>
      </c>
      <c r="AA45" s="476">
        <f t="shared" si="3"/>
        <v>5424620.4900000002</v>
      </c>
      <c r="AB45" s="476">
        <f t="shared" si="3"/>
        <v>4440489.68</v>
      </c>
      <c r="AC45" s="476">
        <f t="shared" si="3"/>
        <v>3470443.75</v>
      </c>
      <c r="AD45" s="476">
        <f t="shared" si="3"/>
        <v>0</v>
      </c>
      <c r="AE45" s="476">
        <f>SUM(AE41:AE44)</f>
        <v>0</v>
      </c>
      <c r="AF45" s="476">
        <f>SUM(AF41:AF44)</f>
        <v>0</v>
      </c>
      <c r="AG45" s="478">
        <f>SUM(AG41:AG44)</f>
        <v>1160630.6999999997</v>
      </c>
      <c r="AH45" s="477">
        <f>SUM(AH41:AH44)</f>
        <v>125949832.04000001</v>
      </c>
    </row>
    <row r="46" spans="1:79" s="459" customFormat="1" ht="53.25" customHeight="1">
      <c r="A46" s="485">
        <v>37</v>
      </c>
      <c r="B46" s="488" t="s">
        <v>1505</v>
      </c>
      <c r="C46" s="473"/>
      <c r="D46" s="471">
        <v>595866.20413107367</v>
      </c>
      <c r="E46" s="471">
        <v>155451.18502960916</v>
      </c>
      <c r="F46" s="471">
        <v>94202.961250218927</v>
      </c>
      <c r="G46" s="474">
        <v>52624.74311902457</v>
      </c>
      <c r="H46" s="471">
        <v>52311.898394175383</v>
      </c>
      <c r="I46" s="471">
        <v>78057.772110160964</v>
      </c>
      <c r="J46" s="471">
        <v>16130.777935404156</v>
      </c>
      <c r="K46" s="471">
        <v>13662.542858988803</v>
      </c>
      <c r="L46" s="471">
        <v>11330.303294855241</v>
      </c>
      <c r="M46" s="471">
        <v>8931.0137520647386</v>
      </c>
      <c r="N46" s="471">
        <v>5594.3219087709349</v>
      </c>
      <c r="O46" s="472">
        <v>3585.2799142518393</v>
      </c>
      <c r="P46" s="471">
        <v>2513.0673906757024</v>
      </c>
      <c r="Q46" s="472">
        <v>1190.405068011567</v>
      </c>
      <c r="R46" s="471">
        <v>135593.42079053883</v>
      </c>
      <c r="S46" s="472">
        <v>0</v>
      </c>
      <c r="T46" s="472">
        <v>-6.5548221345710378E-10</v>
      </c>
      <c r="U46" s="472">
        <v>7.2065968608072193E-10</v>
      </c>
      <c r="V46" s="471">
        <v>0</v>
      </c>
      <c r="W46" s="472">
        <v>-6.6322253155331668E-10</v>
      </c>
      <c r="X46" s="472">
        <v>1.6655302253854101E-9</v>
      </c>
      <c r="Y46" s="472">
        <v>0</v>
      </c>
      <c r="Z46" s="471">
        <v>7.5368867179982888E-10</v>
      </c>
      <c r="AA46" s="472">
        <v>1.7082819229641551E-9</v>
      </c>
      <c r="AB46" s="471">
        <v>-1.4664553716567307E-9</v>
      </c>
      <c r="AC46" s="472">
        <v>1.18579118592402E-9</v>
      </c>
      <c r="AD46" s="472">
        <v>1.7082819229641551E-9</v>
      </c>
      <c r="AE46" s="471">
        <v>-1.4664553716567307E-9</v>
      </c>
      <c r="AF46" s="529">
        <v>1.18579118592402E-9</v>
      </c>
      <c r="AG46" s="474">
        <v>-2.2717111931633665E-9</v>
      </c>
      <c r="AH46" s="477">
        <f>SUM(C46:AG46)</f>
        <v>1227045.896947826</v>
      </c>
    </row>
    <row r="47" spans="1:79" s="459" customFormat="1" ht="40.35" customHeight="1" thickBot="1">
      <c r="A47" s="489">
        <v>38</v>
      </c>
      <c r="B47" s="490" t="s">
        <v>1506</v>
      </c>
      <c r="C47" s="479">
        <f>SUM(C45:C46)</f>
        <v>0</v>
      </c>
      <c r="D47" s="479">
        <f t="shared" ref="D47:AB47" si="4">SUM(D45:D46)</f>
        <v>1592837.7641310738</v>
      </c>
      <c r="E47" s="479">
        <f t="shared" si="4"/>
        <v>2854338.085029609</v>
      </c>
      <c r="F47" s="479">
        <f t="shared" si="4"/>
        <v>5739236.1812502192</v>
      </c>
      <c r="G47" s="479">
        <f t="shared" si="4"/>
        <v>5905387.7531190244</v>
      </c>
      <c r="H47" s="479">
        <f t="shared" si="4"/>
        <v>5478862.0883941753</v>
      </c>
      <c r="I47" s="479">
        <f t="shared" si="4"/>
        <v>4981304.702110162</v>
      </c>
      <c r="J47" s="479">
        <f t="shared" si="4"/>
        <v>4913332.1979354043</v>
      </c>
      <c r="K47" s="479">
        <f t="shared" si="4"/>
        <v>5669194.042858989</v>
      </c>
      <c r="L47" s="479">
        <f t="shared" si="4"/>
        <v>5355601.3132948559</v>
      </c>
      <c r="M47" s="479">
        <f t="shared" si="4"/>
        <v>4730774.5537520647</v>
      </c>
      <c r="N47" s="479">
        <f t="shared" si="4"/>
        <v>5894785.0419087717</v>
      </c>
      <c r="O47" s="479">
        <f t="shared" si="4"/>
        <v>5363473.6599142514</v>
      </c>
      <c r="P47" s="479">
        <f t="shared" si="4"/>
        <v>4970010.9473906755</v>
      </c>
      <c r="Q47" s="479">
        <f t="shared" si="4"/>
        <v>5694656.8650680128</v>
      </c>
      <c r="R47" s="479">
        <f t="shared" si="4"/>
        <v>5878914.9007905396</v>
      </c>
      <c r="S47" s="479">
        <f t="shared" si="4"/>
        <v>5356330.91</v>
      </c>
      <c r="T47" s="479">
        <f t="shared" si="4"/>
        <v>4344787.379999999</v>
      </c>
      <c r="U47" s="479">
        <f t="shared" si="4"/>
        <v>4666002.9500000011</v>
      </c>
      <c r="V47" s="479">
        <f t="shared" si="4"/>
        <v>4734526.04</v>
      </c>
      <c r="W47" s="479">
        <f t="shared" si="4"/>
        <v>4237092.7599999988</v>
      </c>
      <c r="X47" s="479">
        <f t="shared" si="4"/>
        <v>5173118.620000002</v>
      </c>
      <c r="Y47" s="479">
        <f t="shared" si="4"/>
        <v>4853760.21</v>
      </c>
      <c r="Z47" s="479">
        <f t="shared" si="4"/>
        <v>4292364.3500000006</v>
      </c>
      <c r="AA47" s="479">
        <f t="shared" si="4"/>
        <v>5424620.4900000021</v>
      </c>
      <c r="AB47" s="479">
        <f t="shared" si="4"/>
        <v>4440489.6799999978</v>
      </c>
      <c r="AC47" s="479">
        <f t="shared" ref="AC47:AH47" si="5">SUM(AC45:AC46)</f>
        <v>3470443.7500000014</v>
      </c>
      <c r="AD47" s="479">
        <f t="shared" si="5"/>
        <v>1.7082819229641551E-9</v>
      </c>
      <c r="AE47" s="479">
        <f t="shared" si="5"/>
        <v>-1.4664553716567307E-9</v>
      </c>
      <c r="AF47" s="479">
        <f t="shared" si="5"/>
        <v>1.18579118592402E-9</v>
      </c>
      <c r="AG47" s="507">
        <f t="shared" si="5"/>
        <v>1160630.6999999974</v>
      </c>
      <c r="AH47" s="480">
        <f t="shared" si="5"/>
        <v>127176877.93694784</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DJ61"/>
  <sheetViews>
    <sheetView topLeftCell="AC3" zoomScale="70" zoomScaleNormal="70" workbookViewId="0">
      <selection activeCell="V37" sqref="V37"/>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28515625" style="458" bestFit="1" customWidth="1"/>
    <col min="34" max="34" width="16.5703125" style="458" customWidth="1"/>
    <col min="35" max="16384" width="8" style="458"/>
  </cols>
  <sheetData>
    <row r="1" spans="1:114" ht="15.6">
      <c r="A1" s="427" t="s">
        <v>1508</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2253641.6800000002</v>
      </c>
      <c r="E10" s="959">
        <v>624705.66</v>
      </c>
      <c r="F10" s="959">
        <v>163361.14000000001</v>
      </c>
      <c r="G10" s="959">
        <v>8519.7199999999993</v>
      </c>
      <c r="H10" s="959">
        <v>9469.61</v>
      </c>
      <c r="I10" s="959">
        <v>62636.01</v>
      </c>
      <c r="J10" s="959">
        <v>14341.17</v>
      </c>
      <c r="K10" s="959">
        <v>5933.12</v>
      </c>
      <c r="L10" s="959">
        <v>3356.02</v>
      </c>
      <c r="M10" s="959">
        <v>6705.64</v>
      </c>
      <c r="N10" s="959">
        <v>11739.24</v>
      </c>
      <c r="O10" s="959">
        <v>7388.03</v>
      </c>
      <c r="P10" s="959">
        <v>12843.59</v>
      </c>
      <c r="Q10" s="959">
        <v>2031.28</v>
      </c>
      <c r="R10" s="959">
        <v>179.67</v>
      </c>
      <c r="S10" s="959">
        <v>8674.2000000000007</v>
      </c>
      <c r="T10" s="959">
        <v>459.49</v>
      </c>
      <c r="U10" s="959">
        <v>-288.67</v>
      </c>
      <c r="V10" s="959">
        <v>0</v>
      </c>
      <c r="W10" s="959">
        <v>4695.6899999999996</v>
      </c>
      <c r="X10" s="959">
        <v>0</v>
      </c>
      <c r="Y10" s="959">
        <v>-10641.82</v>
      </c>
      <c r="Z10" s="959">
        <v>-10713.59</v>
      </c>
      <c r="AA10" s="959">
        <v>-10713.59</v>
      </c>
      <c r="AB10" s="959">
        <v>-10484.959999999999</v>
      </c>
      <c r="AC10" s="959">
        <v>0</v>
      </c>
      <c r="AD10" s="959"/>
      <c r="AE10" s="959"/>
      <c r="AF10" s="513"/>
      <c r="AG10" s="512">
        <v>8744.44</v>
      </c>
      <c r="AH10" s="481">
        <f t="shared" ref="AH10:AH38" si="0">SUM(C10:AG10)</f>
        <v>3166582.7700000009</v>
      </c>
    </row>
    <row r="11" spans="1:114" s="460" customFormat="1">
      <c r="A11" s="482">
        <v>2</v>
      </c>
      <c r="B11" s="483">
        <f>'Schedule 2_Balance Sheet'!C4</f>
        <v>45657</v>
      </c>
      <c r="C11" s="498"/>
      <c r="D11" s="524">
        <v>2272734.5099999998</v>
      </c>
      <c r="E11" s="524">
        <v>1595494.45</v>
      </c>
      <c r="F11" s="524">
        <v>625733.99</v>
      </c>
      <c r="G11" s="524">
        <v>74760.63</v>
      </c>
      <c r="H11" s="524">
        <v>18549.82</v>
      </c>
      <c r="I11" s="524">
        <v>48052.77</v>
      </c>
      <c r="J11" s="524">
        <v>40134.32</v>
      </c>
      <c r="K11" s="524">
        <v>23097.22</v>
      </c>
      <c r="L11" s="524">
        <v>-2477.86</v>
      </c>
      <c r="M11" s="524">
        <v>1244.6199999999999</v>
      </c>
      <c r="N11" s="524">
        <v>-2957.2</v>
      </c>
      <c r="O11" s="524">
        <v>673.79</v>
      </c>
      <c r="P11" s="524">
        <v>-2520.8000000000002</v>
      </c>
      <c r="Q11" s="524">
        <v>-2215.0100000000002</v>
      </c>
      <c r="R11" s="524">
        <v>-1918.9</v>
      </c>
      <c r="S11" s="524">
        <v>-2184.37</v>
      </c>
      <c r="T11" s="524">
        <v>-572.64</v>
      </c>
      <c r="U11" s="524">
        <v>-1752.49</v>
      </c>
      <c r="V11" s="524">
        <v>-1000.92</v>
      </c>
      <c r="W11" s="524">
        <v>-1144.72</v>
      </c>
      <c r="X11" s="524">
        <v>0</v>
      </c>
      <c r="Y11" s="524">
        <v>0</v>
      </c>
      <c r="Z11" s="524">
        <v>-550.97</v>
      </c>
      <c r="AA11" s="524">
        <v>-4787.29</v>
      </c>
      <c r="AB11" s="524">
        <v>-3322.44</v>
      </c>
      <c r="AC11" s="524">
        <v>-441.59</v>
      </c>
      <c r="AD11" s="524"/>
      <c r="AE11" s="524"/>
      <c r="AF11" s="514"/>
      <c r="AG11" s="510">
        <v>-2745.14</v>
      </c>
      <c r="AH11" s="481">
        <f t="shared" si="0"/>
        <v>4669883.78</v>
      </c>
    </row>
    <row r="12" spans="1:114" s="459" customFormat="1" ht="15" customHeight="1">
      <c r="A12" s="482">
        <v>3</v>
      </c>
      <c r="B12" s="483">
        <f>EOMONTH(B11,-1)</f>
        <v>45626</v>
      </c>
      <c r="C12" s="498"/>
      <c r="D12" s="498">
        <v>0</v>
      </c>
      <c r="E12" s="471">
        <v>2290228.5299999998</v>
      </c>
      <c r="F12" s="471">
        <v>2869096.3100000098</v>
      </c>
      <c r="G12" s="471">
        <v>777804.95999999903</v>
      </c>
      <c r="H12" s="471">
        <v>215513.34</v>
      </c>
      <c r="I12" s="471">
        <v>43498.18</v>
      </c>
      <c r="J12" s="471">
        <v>26336.16</v>
      </c>
      <c r="K12" s="471">
        <v>-13982.04</v>
      </c>
      <c r="L12" s="471">
        <v>30604.19</v>
      </c>
      <c r="M12" s="471">
        <v>10356.44</v>
      </c>
      <c r="N12" s="471">
        <v>7788.22</v>
      </c>
      <c r="O12" s="471">
        <v>12338.81</v>
      </c>
      <c r="P12" s="471">
        <v>5807.86</v>
      </c>
      <c r="Q12" s="471">
        <v>1766.62</v>
      </c>
      <c r="R12" s="471">
        <v>3643.57</v>
      </c>
      <c r="S12" s="471">
        <v>5682.22</v>
      </c>
      <c r="T12" s="471">
        <v>3060.41</v>
      </c>
      <c r="U12" s="471">
        <v>13094.66</v>
      </c>
      <c r="V12" s="471">
        <v>-220.18</v>
      </c>
      <c r="W12" s="471">
        <v>1074.1199999999999</v>
      </c>
      <c r="X12" s="471">
        <v>2045.12</v>
      </c>
      <c r="Y12" s="471">
        <v>0</v>
      </c>
      <c r="Z12" s="471">
        <v>0</v>
      </c>
      <c r="AA12" s="471">
        <v>0</v>
      </c>
      <c r="AB12" s="471">
        <v>0</v>
      </c>
      <c r="AC12" s="471">
        <v>0</v>
      </c>
      <c r="AD12" s="471"/>
      <c r="AE12" s="471"/>
      <c r="AF12" s="506"/>
      <c r="AG12" s="510">
        <v>-729.96</v>
      </c>
      <c r="AH12" s="481">
        <f t="shared" si="0"/>
        <v>6304807.5400000094</v>
      </c>
    </row>
    <row r="13" spans="1:114" s="459" customFormat="1" ht="15" customHeight="1">
      <c r="A13" s="482">
        <v>4</v>
      </c>
      <c r="B13" s="483">
        <f t="shared" ref="B13:B39" si="1">EOMONTH(B12,-1)</f>
        <v>45596</v>
      </c>
      <c r="C13" s="498"/>
      <c r="D13" s="496">
        <v>0</v>
      </c>
      <c r="E13" s="498">
        <v>0</v>
      </c>
      <c r="F13" s="471">
        <v>1761871.16</v>
      </c>
      <c r="G13" s="471">
        <v>1959718.57</v>
      </c>
      <c r="H13" s="471">
        <v>559824.78</v>
      </c>
      <c r="I13" s="471">
        <v>73200.509999999995</v>
      </c>
      <c r="J13" s="471">
        <v>43978.2</v>
      </c>
      <c r="K13" s="471">
        <v>72034.59</v>
      </c>
      <c r="L13" s="471">
        <v>122179.26</v>
      </c>
      <c r="M13" s="471">
        <v>12226.84</v>
      </c>
      <c r="N13" s="471">
        <v>999.61</v>
      </c>
      <c r="O13" s="471">
        <v>2273.65</v>
      </c>
      <c r="P13" s="471">
        <v>-5609.55</v>
      </c>
      <c r="Q13" s="471">
        <v>-30.07</v>
      </c>
      <c r="R13" s="471">
        <v>837.71</v>
      </c>
      <c r="S13" s="472">
        <v>-399.22</v>
      </c>
      <c r="T13" s="472">
        <v>-3747.96</v>
      </c>
      <c r="U13" s="472">
        <v>473.76</v>
      </c>
      <c r="V13" s="471">
        <v>283.58999999999997</v>
      </c>
      <c r="W13" s="471">
        <v>4693.82</v>
      </c>
      <c r="X13" s="472">
        <v>4177.1499999999996</v>
      </c>
      <c r="Y13" s="472">
        <v>-284.86</v>
      </c>
      <c r="Z13" s="471">
        <v>-28.39</v>
      </c>
      <c r="AA13" s="471">
        <v>0</v>
      </c>
      <c r="AB13" s="471">
        <v>0</v>
      </c>
      <c r="AC13" s="471">
        <v>0</v>
      </c>
      <c r="AD13" s="471"/>
      <c r="AE13" s="471"/>
      <c r="AF13" s="506"/>
      <c r="AG13" s="508">
        <v>7082.2199999999993</v>
      </c>
      <c r="AH13" s="481">
        <f t="shared" si="0"/>
        <v>4615755.37</v>
      </c>
    </row>
    <row r="14" spans="1:114" s="459" customFormat="1" ht="15" customHeight="1">
      <c r="A14" s="482">
        <v>5</v>
      </c>
      <c r="B14" s="483">
        <f t="shared" si="1"/>
        <v>45565</v>
      </c>
      <c r="C14" s="498"/>
      <c r="D14" s="496">
        <v>0</v>
      </c>
      <c r="E14" s="496">
        <v>0</v>
      </c>
      <c r="F14" s="498">
        <v>0</v>
      </c>
      <c r="G14" s="471">
        <v>1963911.41</v>
      </c>
      <c r="H14" s="471">
        <v>1886502.19</v>
      </c>
      <c r="I14" s="471">
        <v>837393.03999999701</v>
      </c>
      <c r="J14" s="471">
        <v>105877.7</v>
      </c>
      <c r="K14" s="471">
        <v>34495.26</v>
      </c>
      <c r="L14" s="471">
        <v>28170.9</v>
      </c>
      <c r="M14" s="471">
        <v>8650.74</v>
      </c>
      <c r="N14" s="471">
        <v>32722.77</v>
      </c>
      <c r="O14" s="471">
        <v>16744.96</v>
      </c>
      <c r="P14" s="471">
        <v>5535.68</v>
      </c>
      <c r="Q14" s="471">
        <v>4534.93</v>
      </c>
      <c r="R14" s="471">
        <v>5441.7</v>
      </c>
      <c r="S14" s="472">
        <v>3969.3</v>
      </c>
      <c r="T14" s="472">
        <v>2164.77</v>
      </c>
      <c r="U14" s="472">
        <v>2142.2399999999998</v>
      </c>
      <c r="V14" s="471">
        <v>7147.52</v>
      </c>
      <c r="W14" s="471">
        <v>4121.1400000000003</v>
      </c>
      <c r="X14" s="472">
        <v>3526.12</v>
      </c>
      <c r="Y14" s="472">
        <v>3899.33</v>
      </c>
      <c r="Z14" s="471">
        <v>1828.22</v>
      </c>
      <c r="AA14" s="471">
        <v>0</v>
      </c>
      <c r="AB14" s="471">
        <v>0</v>
      </c>
      <c r="AC14" s="471">
        <v>-112.32</v>
      </c>
      <c r="AD14" s="471"/>
      <c r="AE14" s="471"/>
      <c r="AF14" s="506"/>
      <c r="AG14" s="509">
        <v>-38466.239999999998</v>
      </c>
      <c r="AH14" s="481">
        <f t="shared" si="0"/>
        <v>4920201.3599999947</v>
      </c>
    </row>
    <row r="15" spans="1:114" s="459" customFormat="1" ht="15" customHeight="1">
      <c r="A15" s="482">
        <v>6</v>
      </c>
      <c r="B15" s="483">
        <f t="shared" si="1"/>
        <v>45535</v>
      </c>
      <c r="C15" s="498"/>
      <c r="D15" s="496">
        <v>0</v>
      </c>
      <c r="E15" s="496">
        <v>0</v>
      </c>
      <c r="F15" s="496">
        <v>0</v>
      </c>
      <c r="G15" s="498">
        <v>0</v>
      </c>
      <c r="H15" s="471">
        <v>2280241.6799999699</v>
      </c>
      <c r="I15" s="471">
        <v>2193457.73999999</v>
      </c>
      <c r="J15" s="471">
        <v>638262.35999999801</v>
      </c>
      <c r="K15" s="471">
        <v>399249.88</v>
      </c>
      <c r="L15" s="471">
        <v>44700.6</v>
      </c>
      <c r="M15" s="471">
        <v>25575.47</v>
      </c>
      <c r="N15" s="471">
        <v>22101.7</v>
      </c>
      <c r="O15" s="471">
        <v>16215.48</v>
      </c>
      <c r="P15" s="471">
        <v>5375.25</v>
      </c>
      <c r="Q15" s="471">
        <v>7609.59</v>
      </c>
      <c r="R15" s="471">
        <v>5661.19</v>
      </c>
      <c r="S15" s="472">
        <v>1567.11</v>
      </c>
      <c r="T15" s="472">
        <v>9.2400000000001494</v>
      </c>
      <c r="U15" s="472">
        <v>47059</v>
      </c>
      <c r="V15" s="471">
        <v>11642.87</v>
      </c>
      <c r="W15" s="471">
        <v>54.82</v>
      </c>
      <c r="X15" s="472">
        <v>4162.3999999999996</v>
      </c>
      <c r="Y15" s="472">
        <v>4022.2</v>
      </c>
      <c r="Z15" s="471">
        <v>32913.17</v>
      </c>
      <c r="AA15" s="471">
        <v>324.75</v>
      </c>
      <c r="AB15" s="471">
        <v>531.52</v>
      </c>
      <c r="AC15" s="471">
        <v>0</v>
      </c>
      <c r="AD15" s="471"/>
      <c r="AE15" s="471"/>
      <c r="AF15" s="506"/>
      <c r="AG15" s="509">
        <v>8087.4700000000012</v>
      </c>
      <c r="AH15" s="481">
        <f t="shared" si="0"/>
        <v>5748825.4899999592</v>
      </c>
    </row>
    <row r="16" spans="1:114" s="459" customFormat="1" ht="15" customHeight="1">
      <c r="A16" s="482">
        <v>7</v>
      </c>
      <c r="B16" s="483">
        <f t="shared" si="1"/>
        <v>45504</v>
      </c>
      <c r="C16" s="498"/>
      <c r="D16" s="496">
        <v>0</v>
      </c>
      <c r="E16" s="496">
        <v>0</v>
      </c>
      <c r="F16" s="499">
        <v>0</v>
      </c>
      <c r="G16" s="496">
        <v>0</v>
      </c>
      <c r="H16" s="498">
        <v>0</v>
      </c>
      <c r="I16" s="471">
        <v>1673838.99</v>
      </c>
      <c r="J16" s="471">
        <v>1873161.8</v>
      </c>
      <c r="K16" s="471">
        <v>507511.47</v>
      </c>
      <c r="L16" s="471">
        <v>399723.34</v>
      </c>
      <c r="M16" s="471">
        <v>41311.589999999997</v>
      </c>
      <c r="N16" s="471">
        <v>47721.03</v>
      </c>
      <c r="O16" s="471">
        <v>26844.1</v>
      </c>
      <c r="P16" s="471">
        <v>14826.48</v>
      </c>
      <c r="Q16" s="471">
        <v>2906.99</v>
      </c>
      <c r="R16" s="471">
        <v>11270.53</v>
      </c>
      <c r="S16" s="472">
        <v>978.21</v>
      </c>
      <c r="T16" s="472">
        <v>3075.01</v>
      </c>
      <c r="U16" s="472">
        <v>-13556.52</v>
      </c>
      <c r="V16" s="471">
        <v>0</v>
      </c>
      <c r="W16" s="471">
        <v>5155.0200000000004</v>
      </c>
      <c r="X16" s="472">
        <v>3906.95</v>
      </c>
      <c r="Y16" s="472">
        <v>3617.59</v>
      </c>
      <c r="Z16" s="471">
        <v>-143.07</v>
      </c>
      <c r="AA16" s="471">
        <v>2504.0500000000002</v>
      </c>
      <c r="AB16" s="471">
        <v>-729.6</v>
      </c>
      <c r="AC16" s="471">
        <v>978.21</v>
      </c>
      <c r="AD16" s="471"/>
      <c r="AE16" s="471"/>
      <c r="AF16" s="506"/>
      <c r="AG16" s="509">
        <v>-87935.460000000021</v>
      </c>
      <c r="AH16" s="481">
        <f t="shared" si="0"/>
        <v>4516966.71</v>
      </c>
    </row>
    <row r="17" spans="1:34" s="459" customFormat="1" ht="15" customHeight="1">
      <c r="A17" s="482">
        <v>8</v>
      </c>
      <c r="B17" s="483">
        <f t="shared" si="1"/>
        <v>45473</v>
      </c>
      <c r="C17" s="498"/>
      <c r="D17" s="496">
        <v>0</v>
      </c>
      <c r="E17" s="496">
        <v>0</v>
      </c>
      <c r="F17" s="496">
        <v>0</v>
      </c>
      <c r="G17" s="496">
        <v>0</v>
      </c>
      <c r="H17" s="496">
        <v>0</v>
      </c>
      <c r="I17" s="498">
        <v>0</v>
      </c>
      <c r="J17" s="471">
        <v>1880516.33</v>
      </c>
      <c r="K17" s="471">
        <v>1799882.1</v>
      </c>
      <c r="L17" s="471">
        <v>334955.40999999997</v>
      </c>
      <c r="M17" s="471">
        <v>91470.68</v>
      </c>
      <c r="N17" s="471">
        <v>48807.58</v>
      </c>
      <c r="O17" s="471">
        <v>79191.429999999993</v>
      </c>
      <c r="P17" s="471">
        <v>4510.74</v>
      </c>
      <c r="Q17" s="471">
        <v>5849.94</v>
      </c>
      <c r="R17" s="471">
        <v>4521.46</v>
      </c>
      <c r="S17" s="472">
        <v>7536.16</v>
      </c>
      <c r="T17" s="472">
        <v>2288.34</v>
      </c>
      <c r="U17" s="472">
        <v>7339.82</v>
      </c>
      <c r="V17" s="471">
        <v>534.73</v>
      </c>
      <c r="W17" s="471">
        <v>590.36</v>
      </c>
      <c r="X17" s="472">
        <v>6316.66</v>
      </c>
      <c r="Y17" s="472">
        <v>5229.41</v>
      </c>
      <c r="Z17" s="471">
        <v>254.61</v>
      </c>
      <c r="AA17" s="471">
        <v>5767.15</v>
      </c>
      <c r="AB17" s="471">
        <v>14192.37</v>
      </c>
      <c r="AC17" s="471">
        <v>2265.94</v>
      </c>
      <c r="AD17" s="471"/>
      <c r="AE17" s="471"/>
      <c r="AF17" s="506"/>
      <c r="AG17" s="509">
        <v>7164.239999999998</v>
      </c>
      <c r="AH17" s="481">
        <f t="shared" si="0"/>
        <v>4309185.4600000037</v>
      </c>
    </row>
    <row r="18" spans="1:34" s="459" customFormat="1" ht="15" customHeight="1">
      <c r="A18" s="482">
        <v>9</v>
      </c>
      <c r="B18" s="483">
        <f t="shared" si="1"/>
        <v>45443</v>
      </c>
      <c r="C18" s="498"/>
      <c r="D18" s="496">
        <v>0</v>
      </c>
      <c r="E18" s="496">
        <v>0</v>
      </c>
      <c r="F18" s="496">
        <v>0</v>
      </c>
      <c r="G18" s="496">
        <v>0</v>
      </c>
      <c r="H18" s="496">
        <v>0</v>
      </c>
      <c r="I18" s="496">
        <v>0</v>
      </c>
      <c r="J18" s="498">
        <v>0</v>
      </c>
      <c r="K18" s="471">
        <v>2231529.5299999998</v>
      </c>
      <c r="L18" s="471">
        <v>2245833.64</v>
      </c>
      <c r="M18" s="471">
        <v>448431.68</v>
      </c>
      <c r="N18" s="471">
        <v>69318.270000000106</v>
      </c>
      <c r="O18" s="471">
        <v>24986.659999999902</v>
      </c>
      <c r="P18" s="471">
        <v>30486.37</v>
      </c>
      <c r="Q18" s="471">
        <v>40853.5</v>
      </c>
      <c r="R18" s="471">
        <v>23408.01</v>
      </c>
      <c r="S18" s="472">
        <v>15404.17</v>
      </c>
      <c r="T18" s="472">
        <v>10219.540000000001</v>
      </c>
      <c r="U18" s="472">
        <v>8581.7099999999991</v>
      </c>
      <c r="V18" s="471">
        <v>10439.790000000001</v>
      </c>
      <c r="W18" s="471">
        <v>5092.53</v>
      </c>
      <c r="X18" s="472">
        <v>0</v>
      </c>
      <c r="Y18" s="472">
        <v>623.63</v>
      </c>
      <c r="Z18" s="471">
        <v>5934</v>
      </c>
      <c r="AA18" s="471">
        <v>1883.86</v>
      </c>
      <c r="AB18" s="471">
        <v>-144.80000000000001</v>
      </c>
      <c r="AC18" s="471">
        <v>978.21</v>
      </c>
      <c r="AD18" s="471"/>
      <c r="AE18" s="471"/>
      <c r="AF18" s="506"/>
      <c r="AG18" s="509">
        <v>41931.199999999997</v>
      </c>
      <c r="AH18" s="481">
        <f t="shared" si="0"/>
        <v>5215791.5000000009</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1538344.18</v>
      </c>
      <c r="M19" s="471">
        <v>1861082.8</v>
      </c>
      <c r="N19" s="471">
        <v>568274.29</v>
      </c>
      <c r="O19" s="471">
        <v>100837.4</v>
      </c>
      <c r="P19" s="471">
        <v>51910.07</v>
      </c>
      <c r="Q19" s="471">
        <v>34427.96</v>
      </c>
      <c r="R19" s="471">
        <v>22892.18</v>
      </c>
      <c r="S19" s="472">
        <v>3427.05</v>
      </c>
      <c r="T19" s="472">
        <v>9007.93</v>
      </c>
      <c r="U19" s="472">
        <v>12663.82</v>
      </c>
      <c r="V19" s="471">
        <v>16045.83</v>
      </c>
      <c r="W19" s="471">
        <v>17582.55</v>
      </c>
      <c r="X19" s="472">
        <v>-229.17000000000101</v>
      </c>
      <c r="Y19" s="472">
        <v>2554.0300000000002</v>
      </c>
      <c r="Z19" s="471">
        <v>183.020000000002</v>
      </c>
      <c r="AA19" s="471">
        <v>307.68</v>
      </c>
      <c r="AB19" s="471">
        <v>107.43</v>
      </c>
      <c r="AC19" s="471">
        <v>-34.909999999999997</v>
      </c>
      <c r="AD19" s="471"/>
      <c r="AE19" s="471"/>
      <c r="AF19" s="506"/>
      <c r="AG19" s="509">
        <v>36682.04</v>
      </c>
      <c r="AH19" s="481">
        <f t="shared" si="0"/>
        <v>4276066.1799999988</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1859066.8299999901</v>
      </c>
      <c r="N20" s="471">
        <v>2127754.4300000002</v>
      </c>
      <c r="O20" s="471">
        <v>552670.81999999995</v>
      </c>
      <c r="P20" s="471">
        <v>116081.98</v>
      </c>
      <c r="Q20" s="471">
        <v>61717.56</v>
      </c>
      <c r="R20" s="471">
        <v>34845.980000000003</v>
      </c>
      <c r="S20" s="472">
        <v>26321.45</v>
      </c>
      <c r="T20" s="472">
        <v>7967.6</v>
      </c>
      <c r="U20" s="472">
        <v>20842.669999999998</v>
      </c>
      <c r="V20" s="471">
        <v>6859.03</v>
      </c>
      <c r="W20" s="471">
        <v>12467.67</v>
      </c>
      <c r="X20" s="472">
        <v>2271.34</v>
      </c>
      <c r="Y20" s="472">
        <v>4611.7</v>
      </c>
      <c r="Z20" s="471">
        <v>-846.65</v>
      </c>
      <c r="AA20" s="471">
        <v>3601.02000000001</v>
      </c>
      <c r="AB20" s="471">
        <v>2724.86</v>
      </c>
      <c r="AC20" s="471">
        <v>17661.95</v>
      </c>
      <c r="AD20" s="471"/>
      <c r="AE20" s="471"/>
      <c r="AF20" s="506"/>
      <c r="AG20" s="509">
        <v>9723.92</v>
      </c>
      <c r="AH20" s="481">
        <f t="shared" si="0"/>
        <v>4866344.1599999908</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1303237.72999999</v>
      </c>
      <c r="O21" s="471">
        <v>2067490.29</v>
      </c>
      <c r="P21" s="471">
        <v>487476.18</v>
      </c>
      <c r="Q21" s="471">
        <v>56228.9</v>
      </c>
      <c r="R21" s="471">
        <v>27279.63</v>
      </c>
      <c r="S21" s="472">
        <v>15046.27</v>
      </c>
      <c r="T21" s="472">
        <v>17428.77</v>
      </c>
      <c r="U21" s="472">
        <v>18078.16</v>
      </c>
      <c r="V21" s="471">
        <v>1271.92</v>
      </c>
      <c r="W21" s="471">
        <v>9764.36</v>
      </c>
      <c r="X21" s="472">
        <v>10050.34</v>
      </c>
      <c r="Y21" s="472">
        <v>130.38</v>
      </c>
      <c r="Z21" s="471">
        <v>5625.08</v>
      </c>
      <c r="AA21" s="471">
        <v>21173.47</v>
      </c>
      <c r="AB21" s="471">
        <v>8548.51</v>
      </c>
      <c r="AC21" s="471">
        <v>2519.88</v>
      </c>
      <c r="AD21" s="471"/>
      <c r="AE21" s="471"/>
      <c r="AF21" s="506"/>
      <c r="AG21" s="509">
        <v>222865.04</v>
      </c>
      <c r="AH21" s="481">
        <f t="shared" si="0"/>
        <v>4274214.9099999899</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1093643.47</v>
      </c>
      <c r="P22" s="471">
        <v>1630425.6099999901</v>
      </c>
      <c r="Q22" s="471">
        <v>563398.17000000097</v>
      </c>
      <c r="R22" s="471">
        <v>159882.15</v>
      </c>
      <c r="S22" s="472">
        <v>19082.669999999998</v>
      </c>
      <c r="T22" s="472">
        <v>7104.77</v>
      </c>
      <c r="U22" s="472">
        <v>1409.29</v>
      </c>
      <c r="V22" s="471">
        <v>7667.24</v>
      </c>
      <c r="W22" s="471">
        <v>9253.01</v>
      </c>
      <c r="X22" s="472">
        <v>483.66</v>
      </c>
      <c r="Y22" s="472">
        <v>5013.32</v>
      </c>
      <c r="Z22" s="471">
        <v>3039.48</v>
      </c>
      <c r="AA22" s="471">
        <v>6909.33</v>
      </c>
      <c r="AB22" s="471">
        <v>10918.24</v>
      </c>
      <c r="AC22" s="471">
        <v>3901.63</v>
      </c>
      <c r="AD22" s="471"/>
      <c r="AE22" s="471"/>
      <c r="AF22" s="506"/>
      <c r="AG22" s="509">
        <v>9391.3199999999979</v>
      </c>
      <c r="AH22" s="481">
        <f t="shared" si="0"/>
        <v>3531523.3599999906</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1378123.41</v>
      </c>
      <c r="Q23" s="471">
        <v>2032954.24000001</v>
      </c>
      <c r="R23" s="471">
        <v>354013</v>
      </c>
      <c r="S23" s="472">
        <v>140912.44</v>
      </c>
      <c r="T23" s="472">
        <v>47393.66</v>
      </c>
      <c r="U23" s="472">
        <v>33545.949999999997</v>
      </c>
      <c r="V23" s="471">
        <v>9622.8700000000008</v>
      </c>
      <c r="W23" s="471">
        <v>2493.04</v>
      </c>
      <c r="X23" s="472">
        <v>15152.39</v>
      </c>
      <c r="Y23" s="472">
        <v>8622.17</v>
      </c>
      <c r="Z23" s="471">
        <v>8725.24</v>
      </c>
      <c r="AA23" s="471">
        <v>31324.36</v>
      </c>
      <c r="AB23" s="471">
        <v>1349.49</v>
      </c>
      <c r="AC23" s="471">
        <v>14535.94</v>
      </c>
      <c r="AD23" s="471"/>
      <c r="AE23" s="471"/>
      <c r="AF23" s="506"/>
      <c r="AG23" s="509">
        <v>2205.9700000000016</v>
      </c>
      <c r="AH23" s="481">
        <f t="shared" si="0"/>
        <v>4080974.1700000106</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1331574.9099999999</v>
      </c>
      <c r="R24" s="471">
        <v>2041069.6299999901</v>
      </c>
      <c r="S24" s="472">
        <v>272241.40000000002</v>
      </c>
      <c r="T24" s="472">
        <v>24441.25</v>
      </c>
      <c r="U24" s="472">
        <v>29452.61</v>
      </c>
      <c r="V24" s="471">
        <v>7269.31</v>
      </c>
      <c r="W24" s="471">
        <v>8774.01</v>
      </c>
      <c r="X24" s="472">
        <v>5243.29</v>
      </c>
      <c r="Y24" s="472">
        <v>41012.74</v>
      </c>
      <c r="Z24" s="471">
        <v>4313.75</v>
      </c>
      <c r="AA24" s="471">
        <v>3662.52</v>
      </c>
      <c r="AB24" s="471">
        <v>3535.88</v>
      </c>
      <c r="AC24" s="471">
        <v>750.99</v>
      </c>
      <c r="AD24" s="471"/>
      <c r="AE24" s="471"/>
      <c r="AF24" s="506"/>
      <c r="AG24" s="509">
        <v>30813.240000000005</v>
      </c>
      <c r="AH24" s="481">
        <f t="shared" si="0"/>
        <v>3804155.52999999</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1671366.02999998</v>
      </c>
      <c r="S25" s="472">
        <v>1699835.23</v>
      </c>
      <c r="T25" s="472">
        <v>384927.46</v>
      </c>
      <c r="U25" s="472">
        <v>44723.88</v>
      </c>
      <c r="V25" s="471">
        <v>21506.78</v>
      </c>
      <c r="W25" s="471">
        <v>14025.98</v>
      </c>
      <c r="X25" s="472">
        <v>7170.84</v>
      </c>
      <c r="Y25" s="472">
        <v>16518.98</v>
      </c>
      <c r="Z25" s="471">
        <v>22930.400000000001</v>
      </c>
      <c r="AA25" s="471">
        <v>5503.56</v>
      </c>
      <c r="AB25" s="471">
        <v>10509.03</v>
      </c>
      <c r="AC25" s="471">
        <v>669.98000000000104</v>
      </c>
      <c r="AD25" s="471"/>
      <c r="AE25" s="471"/>
      <c r="AF25" s="506"/>
      <c r="AG25" s="509">
        <v>8079.0200000000023</v>
      </c>
      <c r="AH25" s="481">
        <f t="shared" si="0"/>
        <v>3907767.1699999794</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1797832.0799999901</v>
      </c>
      <c r="T26" s="472">
        <v>2431004.73999999</v>
      </c>
      <c r="U26" s="472">
        <v>517374.88000000099</v>
      </c>
      <c r="V26" s="471">
        <v>52509.3</v>
      </c>
      <c r="W26" s="471">
        <v>18191.78</v>
      </c>
      <c r="X26" s="472">
        <v>18178.830000000002</v>
      </c>
      <c r="Y26" s="472">
        <v>22939.23</v>
      </c>
      <c r="Z26" s="471">
        <v>6769.37</v>
      </c>
      <c r="AA26" s="471">
        <v>74227.73</v>
      </c>
      <c r="AB26" s="471">
        <v>19653.61</v>
      </c>
      <c r="AC26" s="471">
        <v>18476.560000000001</v>
      </c>
      <c r="AD26" s="471"/>
      <c r="AE26" s="471"/>
      <c r="AF26" s="514"/>
      <c r="AG26" s="509">
        <v>35619.199999999997</v>
      </c>
      <c r="AH26" s="481">
        <f t="shared" si="0"/>
        <v>5012777.3099999819</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1362880.99999999</v>
      </c>
      <c r="U27" s="472">
        <v>1486784.8499999901</v>
      </c>
      <c r="V27" s="471">
        <v>479754.18000000098</v>
      </c>
      <c r="W27" s="471">
        <v>48571.86</v>
      </c>
      <c r="X27" s="472">
        <v>21145.81</v>
      </c>
      <c r="Y27" s="472">
        <v>12589</v>
      </c>
      <c r="Z27" s="471">
        <v>24134.02</v>
      </c>
      <c r="AA27" s="471">
        <v>10148.94</v>
      </c>
      <c r="AB27" s="471">
        <v>16178.9</v>
      </c>
      <c r="AC27" s="471">
        <v>19236.57</v>
      </c>
      <c r="AD27" s="471"/>
      <c r="AE27" s="471"/>
      <c r="AF27" s="506"/>
      <c r="AG27" s="515">
        <v>26954.67</v>
      </c>
      <c r="AH27" s="481">
        <f t="shared" si="0"/>
        <v>3508379.7999999807</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1547023.31</v>
      </c>
      <c r="V28" s="471">
        <v>2236786.1999999699</v>
      </c>
      <c r="W28" s="471">
        <v>536749.12</v>
      </c>
      <c r="X28" s="472">
        <v>59488.160000000003</v>
      </c>
      <c r="Y28" s="472">
        <v>46115.09</v>
      </c>
      <c r="Z28" s="471">
        <v>11063.5</v>
      </c>
      <c r="AA28" s="471">
        <v>45074.16</v>
      </c>
      <c r="AB28" s="471">
        <v>5887.44</v>
      </c>
      <c r="AC28" s="471">
        <v>-6963.3</v>
      </c>
      <c r="AD28" s="471"/>
      <c r="AE28" s="471"/>
      <c r="AF28" s="506"/>
      <c r="AG28" s="510">
        <v>87357</v>
      </c>
      <c r="AH28" s="481">
        <f t="shared" si="0"/>
        <v>4568580.6799999708</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1059059.1200000099</v>
      </c>
      <c r="W29" s="471">
        <v>1916274.9199999899</v>
      </c>
      <c r="X29" s="472">
        <v>217468.62</v>
      </c>
      <c r="Y29" s="472">
        <v>222479.27</v>
      </c>
      <c r="Z29" s="471">
        <v>52220.94</v>
      </c>
      <c r="AA29" s="471">
        <v>18595.8</v>
      </c>
      <c r="AB29" s="471">
        <v>3003.64</v>
      </c>
      <c r="AC29" s="471">
        <v>4199.54</v>
      </c>
      <c r="AD29" s="471"/>
      <c r="AE29" s="471"/>
      <c r="AF29" s="506"/>
      <c r="AG29" s="509">
        <v>62310.79</v>
      </c>
      <c r="AH29" s="481">
        <f t="shared" si="0"/>
        <v>3555612.64</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1526142.53000001</v>
      </c>
      <c r="X30" s="472">
        <v>1449569.14</v>
      </c>
      <c r="Y30" s="472">
        <v>373598.19</v>
      </c>
      <c r="Z30" s="471">
        <v>203922.53</v>
      </c>
      <c r="AA30" s="471">
        <v>89303.29</v>
      </c>
      <c r="AB30" s="471">
        <v>109571.28</v>
      </c>
      <c r="AC30" s="471">
        <v>67058.94</v>
      </c>
      <c r="AD30" s="471"/>
      <c r="AE30" s="471"/>
      <c r="AF30" s="506"/>
      <c r="AG30" s="509">
        <v>207274.95000000004</v>
      </c>
      <c r="AH30" s="481">
        <f t="shared" si="0"/>
        <v>4026440.8500000099</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1763681.87</v>
      </c>
      <c r="Y31" s="472">
        <v>2043526.74999997</v>
      </c>
      <c r="Z31" s="471">
        <v>333329.62</v>
      </c>
      <c r="AA31" s="471">
        <v>84474.309999999896</v>
      </c>
      <c r="AB31" s="471">
        <v>42581.88</v>
      </c>
      <c r="AC31" s="471">
        <v>203814.64</v>
      </c>
      <c r="AD31" s="471"/>
      <c r="AE31" s="471"/>
      <c r="AF31" s="506"/>
      <c r="AG31" s="509">
        <v>555365.49999999988</v>
      </c>
      <c r="AH31" s="481">
        <f t="shared" si="0"/>
        <v>5026774.5699999696</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1413051.98</v>
      </c>
      <c r="Z32" s="471">
        <v>1721540.69</v>
      </c>
      <c r="AA32" s="471">
        <v>752399.400000002</v>
      </c>
      <c r="AB32" s="471">
        <v>397556.87</v>
      </c>
      <c r="AC32" s="471">
        <v>61329.840000000098</v>
      </c>
      <c r="AD32" s="471"/>
      <c r="AE32" s="471"/>
      <c r="AF32" s="506"/>
      <c r="AG32" s="509">
        <v>336816.65000000014</v>
      </c>
      <c r="AH32" s="481">
        <f t="shared" si="0"/>
        <v>4682695.4300000025</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1088299.0700000101</v>
      </c>
      <c r="AA33" s="471">
        <v>1316215.6200000001</v>
      </c>
      <c r="AB33" s="471">
        <v>371895.87</v>
      </c>
      <c r="AC33" s="471">
        <v>310674.93</v>
      </c>
      <c r="AD33" s="471"/>
      <c r="AE33" s="471"/>
      <c r="AF33" s="506"/>
      <c r="AG33" s="509">
        <v>161954.48000000001</v>
      </c>
      <c r="AH33" s="481">
        <f t="shared" si="0"/>
        <v>3249039.9700000104</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1178158.8400000101</v>
      </c>
      <c r="AB34" s="471">
        <v>1015963.46</v>
      </c>
      <c r="AC34" s="471">
        <v>216423.7</v>
      </c>
      <c r="AD34" s="471"/>
      <c r="AE34" s="471"/>
      <c r="AF34" s="506"/>
      <c r="AG34" s="509">
        <v>195975.51000000007</v>
      </c>
      <c r="AH34" s="481">
        <f t="shared" si="0"/>
        <v>2606521.5100000105</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1345810.49</v>
      </c>
      <c r="AC35" s="471">
        <v>1543180.6500000099</v>
      </c>
      <c r="AD35" s="471"/>
      <c r="AE35" s="471"/>
      <c r="AF35" s="506"/>
      <c r="AG35" s="509">
        <v>905165.7200000009</v>
      </c>
      <c r="AH35" s="481">
        <f t="shared" si="0"/>
        <v>3794156.8600000106</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1047097.29</v>
      </c>
      <c r="AD36" s="471"/>
      <c r="AE36" s="471"/>
      <c r="AF36" s="506"/>
      <c r="AG36" s="509">
        <v>1425901.2700000003</v>
      </c>
      <c r="AH36" s="481">
        <f t="shared" si="0"/>
        <v>2472998.5600000005</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4526376.1899999995</v>
      </c>
      <c r="E41" s="961">
        <f t="shared" ref="E41:AC41" si="2">SUM(E10:E40)</f>
        <v>4510428.6399999997</v>
      </c>
      <c r="F41" s="961">
        <f t="shared" si="2"/>
        <v>5420062.6000000099</v>
      </c>
      <c r="G41" s="961">
        <f t="shared" si="2"/>
        <v>4784715.2899999991</v>
      </c>
      <c r="H41" s="961">
        <f t="shared" si="2"/>
        <v>4970101.4199999701</v>
      </c>
      <c r="I41" s="961">
        <f t="shared" si="2"/>
        <v>4932077.2399999872</v>
      </c>
      <c r="J41" s="961">
        <f t="shared" si="2"/>
        <v>4622608.0399999982</v>
      </c>
      <c r="K41" s="961">
        <f t="shared" si="2"/>
        <v>5059751.13</v>
      </c>
      <c r="L41" s="961">
        <f t="shared" si="2"/>
        <v>4745389.68</v>
      </c>
      <c r="M41" s="961">
        <f t="shared" si="2"/>
        <v>4366123.3299999898</v>
      </c>
      <c r="N41" s="961">
        <f t="shared" si="2"/>
        <v>4237507.6699999906</v>
      </c>
      <c r="O41" s="961">
        <f t="shared" si="2"/>
        <v>4001298.8899999997</v>
      </c>
      <c r="P41" s="961">
        <f t="shared" si="2"/>
        <v>3735272.8699999899</v>
      </c>
      <c r="Q41" s="961">
        <f t="shared" si="2"/>
        <v>4143609.510000011</v>
      </c>
      <c r="R41" s="961">
        <f t="shared" si="2"/>
        <v>4364393.5399999702</v>
      </c>
      <c r="S41" s="961">
        <f t="shared" si="2"/>
        <v>4015926.3699999899</v>
      </c>
      <c r="T41" s="961">
        <f t="shared" si="2"/>
        <v>4309113.3799999803</v>
      </c>
      <c r="U41" s="961">
        <f t="shared" si="2"/>
        <v>3774992.9299999909</v>
      </c>
      <c r="V41" s="961">
        <f t="shared" si="2"/>
        <v>3927179.1799999806</v>
      </c>
      <c r="W41" s="961">
        <f t="shared" si="2"/>
        <v>4144623.61</v>
      </c>
      <c r="X41" s="961">
        <f t="shared" si="2"/>
        <v>3593809.52</v>
      </c>
      <c r="Y41" s="961">
        <f t="shared" si="2"/>
        <v>4219228.3099999707</v>
      </c>
      <c r="Z41" s="961">
        <f t="shared" si="2"/>
        <v>3514744.0400000098</v>
      </c>
      <c r="AA41" s="961">
        <f t="shared" si="2"/>
        <v>3636058.9600000121</v>
      </c>
      <c r="AB41" s="961">
        <f t="shared" si="2"/>
        <v>3365838.9699999997</v>
      </c>
      <c r="AC41" s="961">
        <f t="shared" si="2"/>
        <v>3528203.2700000098</v>
      </c>
      <c r="AD41" s="961">
        <f>SUM(AD10:AD40)</f>
        <v>0</v>
      </c>
      <c r="AE41" s="961">
        <f>SUM(AE10:AE40)</f>
        <v>0</v>
      </c>
      <c r="AF41" s="961">
        <f>SUM(AF10:AF40)</f>
        <v>0</v>
      </c>
      <c r="AG41" s="519">
        <f>SUM(AG10:AG40)</f>
        <v>4263589.0600000015</v>
      </c>
      <c r="AH41" s="962">
        <f>SUM(AH10:AH40)</f>
        <v>114713023.63999988</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53.85" customHeight="1">
      <c r="A45" s="485">
        <v>36</v>
      </c>
      <c r="B45" s="488" t="s">
        <v>1504</v>
      </c>
      <c r="C45" s="475">
        <f>SUM(C41:C44)</f>
        <v>0</v>
      </c>
      <c r="D45" s="475">
        <f>SUM(D41:D44)</f>
        <v>4526376.1899999995</v>
      </c>
      <c r="E45" s="476">
        <f t="shared" ref="E45:AB45" si="3">SUM(E41:E44)</f>
        <v>4510428.6399999997</v>
      </c>
      <c r="F45" s="476">
        <f>SUM(F41:F44)</f>
        <v>5420062.6000000099</v>
      </c>
      <c r="G45" s="476">
        <f t="shared" si="3"/>
        <v>4784715.2899999991</v>
      </c>
      <c r="H45" s="476">
        <f t="shared" si="3"/>
        <v>4970101.4199999701</v>
      </c>
      <c r="I45" s="476">
        <f t="shared" si="3"/>
        <v>4932077.2399999872</v>
      </c>
      <c r="J45" s="476">
        <f t="shared" si="3"/>
        <v>4622608.0399999982</v>
      </c>
      <c r="K45" s="476">
        <f t="shared" si="3"/>
        <v>5059751.13</v>
      </c>
      <c r="L45" s="476">
        <f t="shared" si="3"/>
        <v>4745389.68</v>
      </c>
      <c r="M45" s="476">
        <f t="shared" si="3"/>
        <v>4366123.3299999898</v>
      </c>
      <c r="N45" s="476">
        <f t="shared" si="3"/>
        <v>4237507.6699999906</v>
      </c>
      <c r="O45" s="476">
        <f t="shared" si="3"/>
        <v>4001298.8899999997</v>
      </c>
      <c r="P45" s="476">
        <f t="shared" si="3"/>
        <v>3735272.8699999899</v>
      </c>
      <c r="Q45" s="476">
        <f t="shared" si="3"/>
        <v>4143609.510000011</v>
      </c>
      <c r="R45" s="476">
        <f t="shared" si="3"/>
        <v>4364393.5399999702</v>
      </c>
      <c r="S45" s="476">
        <f t="shared" si="3"/>
        <v>4015926.3699999899</v>
      </c>
      <c r="T45" s="476">
        <f t="shared" si="3"/>
        <v>4309113.3799999803</v>
      </c>
      <c r="U45" s="476">
        <f t="shared" si="3"/>
        <v>3774992.9299999909</v>
      </c>
      <c r="V45" s="476">
        <f t="shared" si="3"/>
        <v>3927179.1799999806</v>
      </c>
      <c r="W45" s="476">
        <f t="shared" si="3"/>
        <v>4144623.61</v>
      </c>
      <c r="X45" s="476">
        <f t="shared" si="3"/>
        <v>3593809.52</v>
      </c>
      <c r="Y45" s="476">
        <f t="shared" si="3"/>
        <v>4219228.3099999707</v>
      </c>
      <c r="Z45" s="476">
        <f t="shared" si="3"/>
        <v>3514744.0400000098</v>
      </c>
      <c r="AA45" s="476">
        <f t="shared" si="3"/>
        <v>3636058.9600000121</v>
      </c>
      <c r="AB45" s="476">
        <f t="shared" si="3"/>
        <v>3365838.9699999997</v>
      </c>
      <c r="AC45" s="476">
        <f t="shared" ref="AC45:AH45" si="4">SUM(AC41:AC44)</f>
        <v>3528203.2700000098</v>
      </c>
      <c r="AD45" s="476">
        <f t="shared" si="4"/>
        <v>0</v>
      </c>
      <c r="AE45" s="476">
        <f t="shared" si="4"/>
        <v>0</v>
      </c>
      <c r="AF45" s="476">
        <f t="shared" si="4"/>
        <v>0</v>
      </c>
      <c r="AG45" s="478">
        <f t="shared" si="4"/>
        <v>4263589.0600000015</v>
      </c>
      <c r="AH45" s="477">
        <f t="shared" si="4"/>
        <v>114713023.63999988</v>
      </c>
    </row>
    <row r="46" spans="1:79" s="459" customFormat="1" ht="53.25" customHeight="1">
      <c r="A46" s="485">
        <v>37</v>
      </c>
      <c r="B46" s="488" t="s">
        <v>1505</v>
      </c>
      <c r="C46" s="473"/>
      <c r="D46" s="471">
        <v>519767.54566773487</v>
      </c>
      <c r="E46" s="471">
        <v>135598.36143384886</v>
      </c>
      <c r="F46" s="471">
        <v>82172.208499491302</v>
      </c>
      <c r="G46" s="474">
        <v>48791.507033109228</v>
      </c>
      <c r="H46" s="471">
        <v>48501.450214053104</v>
      </c>
      <c r="I46" s="471">
        <v>72371.970126062442</v>
      </c>
      <c r="J46" s="471">
        <v>15114.867719641448</v>
      </c>
      <c r="K46" s="471">
        <v>12802.081142924966</v>
      </c>
      <c r="L46" s="471">
        <v>10616.72513321744</v>
      </c>
      <c r="M46" s="471">
        <v>7219.6374854297574</v>
      </c>
      <c r="N46" s="471">
        <v>4522.3282909833351</v>
      </c>
      <c r="O46" s="472">
        <v>2898.2623902809255</v>
      </c>
      <c r="P46" s="471">
        <v>1902.5574087220148</v>
      </c>
      <c r="Q46" s="472">
        <v>878.45814095139531</v>
      </c>
      <c r="R46" s="471">
        <v>104506.72556786869</v>
      </c>
      <c r="S46" s="472">
        <v>0</v>
      </c>
      <c r="T46" s="472">
        <v>-6.5522717206902111E-10</v>
      </c>
      <c r="U46" s="472">
        <v>5.8588905821103548E-10</v>
      </c>
      <c r="V46" s="471">
        <v>0</v>
      </c>
      <c r="W46" s="472">
        <v>-6.4940962264120548E-10</v>
      </c>
      <c r="X46" s="472">
        <v>1.1617270702386109E-9</v>
      </c>
      <c r="Y46" s="472">
        <v>0</v>
      </c>
      <c r="Z46" s="471">
        <v>6.1801417435276137E-10</v>
      </c>
      <c r="AA46" s="472">
        <v>1.1463300509377779E-9</v>
      </c>
      <c r="AB46" s="471">
        <v>-1.1120158083075988E-9</v>
      </c>
      <c r="AC46" s="472">
        <v>1.2055266245748304E-9</v>
      </c>
      <c r="AD46" s="472">
        <v>1.1463300509377779E-9</v>
      </c>
      <c r="AE46" s="471">
        <v>-1.1120158083075988E-9</v>
      </c>
      <c r="AF46" s="529">
        <v>1.2055266245748304E-9</v>
      </c>
      <c r="AG46" s="474">
        <v>-1.491977538409267E-9</v>
      </c>
      <c r="AH46" s="477">
        <f>SUM(C46:AG46)</f>
        <v>1067664.6862543218</v>
      </c>
    </row>
    <row r="47" spans="1:79" s="459" customFormat="1" ht="40.35" customHeight="1" thickBot="1">
      <c r="A47" s="489">
        <v>38</v>
      </c>
      <c r="B47" s="490" t="s">
        <v>1506</v>
      </c>
      <c r="C47" s="479">
        <f>SUM(C45:C46)</f>
        <v>0</v>
      </c>
      <c r="D47" s="479">
        <f t="shared" ref="D47:AC47" si="5">SUM(D45:D46)</f>
        <v>5046143.7356677344</v>
      </c>
      <c r="E47" s="479">
        <f t="shared" si="5"/>
        <v>4646027.0014338484</v>
      </c>
      <c r="F47" s="479">
        <f t="shared" si="5"/>
        <v>5502234.8084995011</v>
      </c>
      <c r="G47" s="479">
        <f t="shared" si="5"/>
        <v>4833506.7970331088</v>
      </c>
      <c r="H47" s="479">
        <f t="shared" si="5"/>
        <v>5018602.8702140236</v>
      </c>
      <c r="I47" s="479">
        <f t="shared" si="5"/>
        <v>5004449.2101260498</v>
      </c>
      <c r="J47" s="479">
        <f t="shared" si="5"/>
        <v>4637722.9077196401</v>
      </c>
      <c r="K47" s="479">
        <f t="shared" si="5"/>
        <v>5072553.2111429246</v>
      </c>
      <c r="L47" s="479">
        <f t="shared" si="5"/>
        <v>4756006.4051332176</v>
      </c>
      <c r="M47" s="479">
        <f t="shared" si="5"/>
        <v>4373342.9674854195</v>
      </c>
      <c r="N47" s="479">
        <f t="shared" si="5"/>
        <v>4242029.9982909737</v>
      </c>
      <c r="O47" s="479">
        <f t="shared" si="5"/>
        <v>4004197.1523902807</v>
      </c>
      <c r="P47" s="479">
        <f t="shared" si="5"/>
        <v>3737175.427408712</v>
      </c>
      <c r="Q47" s="479">
        <f t="shared" si="5"/>
        <v>4144487.9681409625</v>
      </c>
      <c r="R47" s="479">
        <f t="shared" si="5"/>
        <v>4468900.2655678391</v>
      </c>
      <c r="S47" s="479">
        <f t="shared" si="5"/>
        <v>4015926.3699999899</v>
      </c>
      <c r="T47" s="479">
        <f t="shared" si="5"/>
        <v>4309113.3799999794</v>
      </c>
      <c r="U47" s="479">
        <f t="shared" si="5"/>
        <v>3774992.9299999913</v>
      </c>
      <c r="V47" s="479">
        <f t="shared" si="5"/>
        <v>3927179.1799999806</v>
      </c>
      <c r="W47" s="479">
        <f t="shared" si="5"/>
        <v>4144623.6099999994</v>
      </c>
      <c r="X47" s="479">
        <f t="shared" si="5"/>
        <v>3593809.5200000009</v>
      </c>
      <c r="Y47" s="479">
        <f t="shared" si="5"/>
        <v>4219228.3099999707</v>
      </c>
      <c r="Z47" s="479">
        <f t="shared" si="5"/>
        <v>3514744.0400000103</v>
      </c>
      <c r="AA47" s="479">
        <f t="shared" si="5"/>
        <v>3636058.960000013</v>
      </c>
      <c r="AB47" s="479">
        <f t="shared" si="5"/>
        <v>3365838.9699999988</v>
      </c>
      <c r="AC47" s="479">
        <f t="shared" si="5"/>
        <v>3528203.2700000112</v>
      </c>
      <c r="AD47" s="479">
        <f>SUM(AD45:AD46)</f>
        <v>1.1463300509377779E-9</v>
      </c>
      <c r="AE47" s="479">
        <f>SUM(AE45:AE46)</f>
        <v>-1.1120158083075988E-9</v>
      </c>
      <c r="AF47" s="479">
        <f>SUM(AF45:AF46)</f>
        <v>1.2055266245748304E-9</v>
      </c>
      <c r="AG47" s="507">
        <f>SUM(AG45:AG46)</f>
        <v>4263589.0599999996</v>
      </c>
      <c r="AH47" s="480">
        <f>SUM(AH45:AH46)</f>
        <v>115780688.3262542</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DJ61"/>
  <sheetViews>
    <sheetView topLeftCell="Z1" zoomScale="60" zoomScaleNormal="60" workbookViewId="0">
      <selection activeCell="V37" sqref="V37"/>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28515625" style="458" bestFit="1" customWidth="1"/>
    <col min="34" max="34" width="16.5703125" style="458" customWidth="1"/>
    <col min="35" max="16384" width="8" style="458"/>
  </cols>
  <sheetData>
    <row r="1" spans="1:114" ht="15.6">
      <c r="A1" s="427" t="s">
        <v>1509</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1148.18</v>
      </c>
      <c r="E10" s="959">
        <v>51.01</v>
      </c>
      <c r="F10" s="959">
        <v>112.2</v>
      </c>
      <c r="G10" s="959">
        <v>218.88</v>
      </c>
      <c r="H10" s="959">
        <v>0</v>
      </c>
      <c r="I10" s="959">
        <v>56.1</v>
      </c>
      <c r="J10" s="959">
        <v>0</v>
      </c>
      <c r="K10" s="959">
        <v>-218.8</v>
      </c>
      <c r="L10" s="959">
        <v>-9809.1699999999892</v>
      </c>
      <c r="M10" s="959">
        <v>0</v>
      </c>
      <c r="N10" s="959">
        <v>0</v>
      </c>
      <c r="O10" s="959">
        <v>0</v>
      </c>
      <c r="P10" s="959">
        <v>0</v>
      </c>
      <c r="Q10" s="959">
        <v>0</v>
      </c>
      <c r="R10" s="959">
        <v>0</v>
      </c>
      <c r="S10" s="959">
        <v>0</v>
      </c>
      <c r="T10" s="959">
        <v>0</v>
      </c>
      <c r="U10" s="959">
        <v>0</v>
      </c>
      <c r="V10" s="959">
        <v>0</v>
      </c>
      <c r="W10" s="959">
        <v>0</v>
      </c>
      <c r="X10" s="959">
        <v>0</v>
      </c>
      <c r="Y10" s="959">
        <v>0</v>
      </c>
      <c r="Z10" s="959">
        <v>0</v>
      </c>
      <c r="AA10" s="959">
        <v>0</v>
      </c>
      <c r="AB10" s="959">
        <v>0</v>
      </c>
      <c r="AC10" s="959">
        <v>0</v>
      </c>
      <c r="AD10" s="959"/>
      <c r="AE10" s="959"/>
      <c r="AF10" s="513"/>
      <c r="AG10" s="512">
        <v>0</v>
      </c>
      <c r="AH10" s="481">
        <f t="shared" ref="AH10:AH38" si="0">SUM(C10:AG10)</f>
        <v>-8441.5999999999894</v>
      </c>
    </row>
    <row r="11" spans="1:114" s="460" customFormat="1">
      <c r="A11" s="482">
        <v>2</v>
      </c>
      <c r="B11" s="483">
        <f>'Schedule 2_Balance Sheet'!C4</f>
        <v>45657</v>
      </c>
      <c r="C11" s="498"/>
      <c r="D11" s="524">
        <v>2672.73</v>
      </c>
      <c r="E11" s="524">
        <v>515.55999999999995</v>
      </c>
      <c r="F11" s="524">
        <v>145.72</v>
      </c>
      <c r="G11" s="524">
        <v>71.75</v>
      </c>
      <c r="H11" s="524">
        <v>0</v>
      </c>
      <c r="I11" s="524">
        <v>0</v>
      </c>
      <c r="J11" s="524">
        <v>1264.71</v>
      </c>
      <c r="K11" s="524">
        <v>101.49</v>
      </c>
      <c r="L11" s="524">
        <v>-2677.45</v>
      </c>
      <c r="M11" s="524">
        <v>0</v>
      </c>
      <c r="N11" s="524">
        <v>0</v>
      </c>
      <c r="O11" s="524">
        <v>0</v>
      </c>
      <c r="P11" s="524">
        <v>0</v>
      </c>
      <c r="Q11" s="524">
        <v>0</v>
      </c>
      <c r="R11" s="524">
        <v>0</v>
      </c>
      <c r="S11" s="524">
        <v>0</v>
      </c>
      <c r="T11" s="524">
        <v>0</v>
      </c>
      <c r="U11" s="524">
        <v>0</v>
      </c>
      <c r="V11" s="524">
        <v>0</v>
      </c>
      <c r="W11" s="524">
        <v>0</v>
      </c>
      <c r="X11" s="524">
        <v>0</v>
      </c>
      <c r="Y11" s="524">
        <v>0</v>
      </c>
      <c r="Z11" s="524">
        <v>0</v>
      </c>
      <c r="AA11" s="524">
        <v>0</v>
      </c>
      <c r="AB11" s="524">
        <v>0</v>
      </c>
      <c r="AC11" s="524">
        <v>0</v>
      </c>
      <c r="AD11" s="524"/>
      <c r="AE11" s="524"/>
      <c r="AF11" s="514"/>
      <c r="AG11" s="510">
        <v>0</v>
      </c>
      <c r="AH11" s="481">
        <f t="shared" si="0"/>
        <v>2094.5099999999993</v>
      </c>
    </row>
    <row r="12" spans="1:114" s="459" customFormat="1" ht="15" customHeight="1">
      <c r="A12" s="482">
        <v>3</v>
      </c>
      <c r="B12" s="483">
        <f>EOMONTH(B11,-1)</f>
        <v>45626</v>
      </c>
      <c r="C12" s="498"/>
      <c r="D12" s="498">
        <v>0</v>
      </c>
      <c r="E12" s="471">
        <v>3185.83</v>
      </c>
      <c r="F12" s="471">
        <v>2888.8</v>
      </c>
      <c r="G12" s="471">
        <v>188.36</v>
      </c>
      <c r="H12" s="471">
        <v>12.92</v>
      </c>
      <c r="I12" s="471">
        <v>0</v>
      </c>
      <c r="J12" s="471">
        <v>69.02</v>
      </c>
      <c r="K12" s="471">
        <v>39.22</v>
      </c>
      <c r="L12" s="471">
        <v>-3008.92</v>
      </c>
      <c r="M12" s="471">
        <v>0</v>
      </c>
      <c r="N12" s="471">
        <v>0</v>
      </c>
      <c r="O12" s="471">
        <v>0</v>
      </c>
      <c r="P12" s="471">
        <v>0</v>
      </c>
      <c r="Q12" s="471">
        <v>0</v>
      </c>
      <c r="R12" s="471">
        <v>0</v>
      </c>
      <c r="S12" s="471">
        <v>0</v>
      </c>
      <c r="T12" s="471">
        <v>0</v>
      </c>
      <c r="U12" s="471">
        <v>0</v>
      </c>
      <c r="V12" s="471">
        <v>0</v>
      </c>
      <c r="W12" s="471">
        <v>0</v>
      </c>
      <c r="X12" s="471">
        <v>0</v>
      </c>
      <c r="Y12" s="471">
        <v>0</v>
      </c>
      <c r="Z12" s="471">
        <v>0</v>
      </c>
      <c r="AA12" s="471">
        <v>0</v>
      </c>
      <c r="AB12" s="471">
        <v>0</v>
      </c>
      <c r="AC12" s="471">
        <v>0</v>
      </c>
      <c r="AD12" s="471"/>
      <c r="AE12" s="471"/>
      <c r="AF12" s="506"/>
      <c r="AG12" s="510">
        <v>0</v>
      </c>
      <c r="AH12" s="481">
        <f t="shared" si="0"/>
        <v>3375.2300000000005</v>
      </c>
    </row>
    <row r="13" spans="1:114" s="459" customFormat="1" ht="15" customHeight="1">
      <c r="A13" s="482">
        <v>4</v>
      </c>
      <c r="B13" s="483">
        <f t="shared" ref="B13:B39" si="1">EOMONTH(B12,-1)</f>
        <v>45596</v>
      </c>
      <c r="C13" s="498"/>
      <c r="D13" s="496">
        <v>0</v>
      </c>
      <c r="E13" s="498">
        <v>0</v>
      </c>
      <c r="F13" s="471">
        <v>3833.49</v>
      </c>
      <c r="G13" s="471">
        <v>369.47</v>
      </c>
      <c r="H13" s="471">
        <v>0</v>
      </c>
      <c r="I13" s="471">
        <v>2.0699999999999998</v>
      </c>
      <c r="J13" s="471">
        <v>0</v>
      </c>
      <c r="K13" s="471">
        <v>127.65</v>
      </c>
      <c r="L13" s="471">
        <v>-39.01</v>
      </c>
      <c r="M13" s="471">
        <v>0</v>
      </c>
      <c r="N13" s="471">
        <v>0</v>
      </c>
      <c r="O13" s="471">
        <v>214.26</v>
      </c>
      <c r="P13" s="471">
        <v>0</v>
      </c>
      <c r="Q13" s="471">
        <v>0</v>
      </c>
      <c r="R13" s="471">
        <v>0</v>
      </c>
      <c r="S13" s="472">
        <v>0</v>
      </c>
      <c r="T13" s="472">
        <v>0</v>
      </c>
      <c r="U13" s="472">
        <v>0</v>
      </c>
      <c r="V13" s="471">
        <v>0</v>
      </c>
      <c r="W13" s="471">
        <v>0</v>
      </c>
      <c r="X13" s="472">
        <v>0</v>
      </c>
      <c r="Y13" s="472">
        <v>0</v>
      </c>
      <c r="Z13" s="471">
        <v>0</v>
      </c>
      <c r="AA13" s="471">
        <v>0</v>
      </c>
      <c r="AB13" s="471">
        <v>0</v>
      </c>
      <c r="AC13" s="471">
        <v>0</v>
      </c>
      <c r="AD13" s="471"/>
      <c r="AE13" s="471"/>
      <c r="AF13" s="506"/>
      <c r="AG13" s="508">
        <v>0</v>
      </c>
      <c r="AH13" s="481">
        <f t="shared" si="0"/>
        <v>4507.9299999999994</v>
      </c>
    </row>
    <row r="14" spans="1:114" s="459" customFormat="1" ht="15" customHeight="1">
      <c r="A14" s="482">
        <v>5</v>
      </c>
      <c r="B14" s="483">
        <f t="shared" si="1"/>
        <v>45565</v>
      </c>
      <c r="C14" s="498"/>
      <c r="D14" s="496">
        <v>0</v>
      </c>
      <c r="E14" s="496">
        <v>0</v>
      </c>
      <c r="F14" s="498">
        <v>0</v>
      </c>
      <c r="G14" s="471">
        <v>1621.43</v>
      </c>
      <c r="H14" s="471">
        <v>185.98</v>
      </c>
      <c r="I14" s="471">
        <v>192.93</v>
      </c>
      <c r="J14" s="471">
        <v>0</v>
      </c>
      <c r="K14" s="471">
        <v>248.81</v>
      </c>
      <c r="L14" s="471">
        <v>158.16</v>
      </c>
      <c r="M14" s="471">
        <v>0</v>
      </c>
      <c r="N14" s="471">
        <v>0</v>
      </c>
      <c r="O14" s="471">
        <v>0</v>
      </c>
      <c r="P14" s="471">
        <v>0</v>
      </c>
      <c r="Q14" s="471">
        <v>0</v>
      </c>
      <c r="R14" s="471">
        <v>0</v>
      </c>
      <c r="S14" s="472">
        <v>0</v>
      </c>
      <c r="T14" s="472">
        <v>0</v>
      </c>
      <c r="U14" s="472">
        <v>0</v>
      </c>
      <c r="V14" s="471">
        <v>0</v>
      </c>
      <c r="W14" s="471">
        <v>0</v>
      </c>
      <c r="X14" s="472">
        <v>0</v>
      </c>
      <c r="Y14" s="472">
        <v>0</v>
      </c>
      <c r="Z14" s="471">
        <v>0</v>
      </c>
      <c r="AA14" s="471">
        <v>0</v>
      </c>
      <c r="AB14" s="471">
        <v>0</v>
      </c>
      <c r="AC14" s="471">
        <v>0</v>
      </c>
      <c r="AD14" s="471"/>
      <c r="AE14" s="471"/>
      <c r="AF14" s="506"/>
      <c r="AG14" s="509">
        <v>0</v>
      </c>
      <c r="AH14" s="481">
        <f t="shared" si="0"/>
        <v>2407.31</v>
      </c>
    </row>
    <row r="15" spans="1:114" s="459" customFormat="1" ht="15" customHeight="1">
      <c r="A15" s="482">
        <v>6</v>
      </c>
      <c r="B15" s="483">
        <f t="shared" si="1"/>
        <v>45535</v>
      </c>
      <c r="C15" s="498"/>
      <c r="D15" s="496">
        <v>0</v>
      </c>
      <c r="E15" s="496">
        <v>0</v>
      </c>
      <c r="F15" s="496">
        <v>0</v>
      </c>
      <c r="G15" s="498">
        <v>0</v>
      </c>
      <c r="H15" s="471">
        <v>1917.29</v>
      </c>
      <c r="I15" s="471">
        <v>942.33</v>
      </c>
      <c r="J15" s="471">
        <v>176.11</v>
      </c>
      <c r="K15" s="471">
        <v>3580.75</v>
      </c>
      <c r="L15" s="471">
        <v>2483.1</v>
      </c>
      <c r="M15" s="471">
        <v>0</v>
      </c>
      <c r="N15" s="471">
        <v>0</v>
      </c>
      <c r="O15" s="471">
        <v>0</v>
      </c>
      <c r="P15" s="471">
        <v>0</v>
      </c>
      <c r="Q15" s="471">
        <v>0</v>
      </c>
      <c r="R15" s="471">
        <v>0</v>
      </c>
      <c r="S15" s="472">
        <v>0</v>
      </c>
      <c r="T15" s="472">
        <v>0</v>
      </c>
      <c r="U15" s="472">
        <v>0</v>
      </c>
      <c r="V15" s="471">
        <v>0</v>
      </c>
      <c r="W15" s="471">
        <v>0</v>
      </c>
      <c r="X15" s="472">
        <v>0</v>
      </c>
      <c r="Y15" s="472">
        <v>0</v>
      </c>
      <c r="Z15" s="471">
        <v>0</v>
      </c>
      <c r="AA15" s="471">
        <v>0</v>
      </c>
      <c r="AB15" s="471">
        <v>0</v>
      </c>
      <c r="AC15" s="471">
        <v>0</v>
      </c>
      <c r="AD15" s="471"/>
      <c r="AE15" s="471"/>
      <c r="AF15" s="506"/>
      <c r="AG15" s="509">
        <v>0</v>
      </c>
      <c r="AH15" s="481">
        <f t="shared" si="0"/>
        <v>9099.58</v>
      </c>
    </row>
    <row r="16" spans="1:114" s="459" customFormat="1" ht="15" customHeight="1">
      <c r="A16" s="482">
        <v>7</v>
      </c>
      <c r="B16" s="483">
        <f t="shared" si="1"/>
        <v>45504</v>
      </c>
      <c r="C16" s="498"/>
      <c r="D16" s="496">
        <v>0</v>
      </c>
      <c r="E16" s="496">
        <v>0</v>
      </c>
      <c r="F16" s="499">
        <v>0</v>
      </c>
      <c r="G16" s="496">
        <v>0</v>
      </c>
      <c r="H16" s="498">
        <v>0</v>
      </c>
      <c r="I16" s="471">
        <v>2678.96</v>
      </c>
      <c r="J16" s="471">
        <v>674.6</v>
      </c>
      <c r="K16" s="471">
        <v>4847.01</v>
      </c>
      <c r="L16" s="471">
        <v>820.67</v>
      </c>
      <c r="M16" s="471">
        <v>15.95</v>
      </c>
      <c r="N16" s="471">
        <v>0</v>
      </c>
      <c r="O16" s="471">
        <v>0</v>
      </c>
      <c r="P16" s="471">
        <v>0</v>
      </c>
      <c r="Q16" s="471">
        <v>0</v>
      </c>
      <c r="R16" s="471">
        <v>71.83</v>
      </c>
      <c r="S16" s="472">
        <v>0</v>
      </c>
      <c r="T16" s="472">
        <v>0</v>
      </c>
      <c r="U16" s="472">
        <v>0</v>
      </c>
      <c r="V16" s="471">
        <v>0</v>
      </c>
      <c r="W16" s="471">
        <v>0</v>
      </c>
      <c r="X16" s="472">
        <v>0</v>
      </c>
      <c r="Y16" s="472">
        <v>0</v>
      </c>
      <c r="Z16" s="471">
        <v>0</v>
      </c>
      <c r="AA16" s="471">
        <v>0</v>
      </c>
      <c r="AB16" s="471">
        <v>0</v>
      </c>
      <c r="AC16" s="471">
        <v>0</v>
      </c>
      <c r="AD16" s="471"/>
      <c r="AE16" s="471"/>
      <c r="AF16" s="506"/>
      <c r="AG16" s="509">
        <v>0</v>
      </c>
      <c r="AH16" s="481">
        <f t="shared" si="0"/>
        <v>9109.02</v>
      </c>
    </row>
    <row r="17" spans="1:34" s="459" customFormat="1" ht="15" customHeight="1">
      <c r="A17" s="482">
        <v>8</v>
      </c>
      <c r="B17" s="483">
        <f t="shared" si="1"/>
        <v>45473</v>
      </c>
      <c r="C17" s="498"/>
      <c r="D17" s="496">
        <v>0</v>
      </c>
      <c r="E17" s="496">
        <v>0</v>
      </c>
      <c r="F17" s="496">
        <v>0</v>
      </c>
      <c r="G17" s="496">
        <v>0</v>
      </c>
      <c r="H17" s="496">
        <v>0</v>
      </c>
      <c r="I17" s="498">
        <v>0</v>
      </c>
      <c r="J17" s="471">
        <v>1079.71</v>
      </c>
      <c r="K17" s="471">
        <v>34.270000000000003</v>
      </c>
      <c r="L17" s="471">
        <v>-507.47</v>
      </c>
      <c r="M17" s="471">
        <v>0</v>
      </c>
      <c r="N17" s="471">
        <v>0</v>
      </c>
      <c r="O17" s="471">
        <v>6.94</v>
      </c>
      <c r="P17" s="471">
        <v>0</v>
      </c>
      <c r="Q17" s="471">
        <v>0</v>
      </c>
      <c r="R17" s="471">
        <v>0</v>
      </c>
      <c r="S17" s="472">
        <v>0</v>
      </c>
      <c r="T17" s="472">
        <v>0</v>
      </c>
      <c r="U17" s="472">
        <v>0</v>
      </c>
      <c r="V17" s="471">
        <v>0</v>
      </c>
      <c r="W17" s="471">
        <v>0</v>
      </c>
      <c r="X17" s="472">
        <v>0</v>
      </c>
      <c r="Y17" s="472">
        <v>0</v>
      </c>
      <c r="Z17" s="471">
        <v>0</v>
      </c>
      <c r="AA17" s="471">
        <v>0</v>
      </c>
      <c r="AB17" s="471">
        <v>0</v>
      </c>
      <c r="AC17" s="471">
        <v>0</v>
      </c>
      <c r="AD17" s="471"/>
      <c r="AE17" s="471"/>
      <c r="AF17" s="506"/>
      <c r="AG17" s="509">
        <v>0</v>
      </c>
      <c r="AH17" s="481">
        <f t="shared" si="0"/>
        <v>613.45000000000005</v>
      </c>
    </row>
    <row r="18" spans="1:34" s="459" customFormat="1" ht="15" customHeight="1">
      <c r="A18" s="482">
        <v>9</v>
      </c>
      <c r="B18" s="483">
        <f t="shared" si="1"/>
        <v>45443</v>
      </c>
      <c r="C18" s="498"/>
      <c r="D18" s="496">
        <v>0</v>
      </c>
      <c r="E18" s="496">
        <v>0</v>
      </c>
      <c r="F18" s="496">
        <v>0</v>
      </c>
      <c r="G18" s="496">
        <v>0</v>
      </c>
      <c r="H18" s="496">
        <v>0</v>
      </c>
      <c r="I18" s="496">
        <v>0</v>
      </c>
      <c r="J18" s="498">
        <v>0</v>
      </c>
      <c r="K18" s="471">
        <v>5558.36</v>
      </c>
      <c r="L18" s="471">
        <v>106824.36</v>
      </c>
      <c r="M18" s="471">
        <v>19.88</v>
      </c>
      <c r="N18" s="471">
        <v>49.21</v>
      </c>
      <c r="O18" s="471">
        <v>102.57</v>
      </c>
      <c r="P18" s="471">
        <v>0</v>
      </c>
      <c r="Q18" s="471">
        <v>0</v>
      </c>
      <c r="R18" s="471">
        <v>0</v>
      </c>
      <c r="S18" s="472">
        <v>0</v>
      </c>
      <c r="T18" s="472">
        <v>0</v>
      </c>
      <c r="U18" s="472">
        <v>0</v>
      </c>
      <c r="V18" s="471">
        <v>0</v>
      </c>
      <c r="W18" s="471">
        <v>0</v>
      </c>
      <c r="X18" s="472">
        <v>0</v>
      </c>
      <c r="Y18" s="472">
        <v>0</v>
      </c>
      <c r="Z18" s="471">
        <v>0</v>
      </c>
      <c r="AA18" s="471">
        <v>0</v>
      </c>
      <c r="AB18" s="471">
        <v>0</v>
      </c>
      <c r="AC18" s="471">
        <v>0</v>
      </c>
      <c r="AD18" s="471"/>
      <c r="AE18" s="471"/>
      <c r="AF18" s="506"/>
      <c r="AG18" s="509">
        <v>0</v>
      </c>
      <c r="AH18" s="481">
        <f t="shared" si="0"/>
        <v>112554.38000000002</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189119.06</v>
      </c>
      <c r="M19" s="471">
        <v>0</v>
      </c>
      <c r="N19" s="471">
        <v>258.64</v>
      </c>
      <c r="O19" s="471">
        <v>285.29000000000002</v>
      </c>
      <c r="P19" s="471">
        <v>0</v>
      </c>
      <c r="Q19" s="471">
        <v>0.37</v>
      </c>
      <c r="R19" s="471">
        <v>200.32</v>
      </c>
      <c r="S19" s="472">
        <v>0</v>
      </c>
      <c r="T19" s="472">
        <v>0</v>
      </c>
      <c r="U19" s="472">
        <v>0</v>
      </c>
      <c r="V19" s="471">
        <v>0</v>
      </c>
      <c r="W19" s="471">
        <v>0</v>
      </c>
      <c r="X19" s="472">
        <v>0</v>
      </c>
      <c r="Y19" s="472">
        <v>0</v>
      </c>
      <c r="Z19" s="471">
        <v>0</v>
      </c>
      <c r="AA19" s="471">
        <v>0</v>
      </c>
      <c r="AB19" s="471">
        <v>0</v>
      </c>
      <c r="AC19" s="471">
        <v>0</v>
      </c>
      <c r="AD19" s="471"/>
      <c r="AE19" s="471"/>
      <c r="AF19" s="506"/>
      <c r="AG19" s="509">
        <v>0</v>
      </c>
      <c r="AH19" s="481">
        <f t="shared" si="0"/>
        <v>189863.68000000002</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8.08</v>
      </c>
      <c r="N20" s="471">
        <v>74.91</v>
      </c>
      <c r="O20" s="471">
        <v>470.49</v>
      </c>
      <c r="P20" s="471">
        <v>0</v>
      </c>
      <c r="Q20" s="471">
        <v>16.489999999999998</v>
      </c>
      <c r="R20" s="471">
        <v>0</v>
      </c>
      <c r="S20" s="472">
        <v>0</v>
      </c>
      <c r="T20" s="472">
        <v>0</v>
      </c>
      <c r="U20" s="472">
        <v>0</v>
      </c>
      <c r="V20" s="471">
        <v>0</v>
      </c>
      <c r="W20" s="471">
        <v>0</v>
      </c>
      <c r="X20" s="472">
        <v>0</v>
      </c>
      <c r="Y20" s="472">
        <v>0</v>
      </c>
      <c r="Z20" s="471">
        <v>0</v>
      </c>
      <c r="AA20" s="471">
        <v>0</v>
      </c>
      <c r="AB20" s="471">
        <v>0</v>
      </c>
      <c r="AC20" s="471">
        <v>0</v>
      </c>
      <c r="AD20" s="471"/>
      <c r="AE20" s="471"/>
      <c r="AF20" s="506"/>
      <c r="AG20" s="509">
        <v>0</v>
      </c>
      <c r="AH20" s="481">
        <f t="shared" si="0"/>
        <v>569.97</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0</v>
      </c>
      <c r="O21" s="471">
        <v>194.03</v>
      </c>
      <c r="P21" s="471">
        <v>0</v>
      </c>
      <c r="Q21" s="471">
        <v>954.49</v>
      </c>
      <c r="R21" s="471">
        <v>1472.26</v>
      </c>
      <c r="S21" s="472">
        <v>104.35</v>
      </c>
      <c r="T21" s="472">
        <v>0</v>
      </c>
      <c r="U21" s="472">
        <v>0</v>
      </c>
      <c r="V21" s="471">
        <v>0</v>
      </c>
      <c r="W21" s="471">
        <v>0</v>
      </c>
      <c r="X21" s="472">
        <v>0</v>
      </c>
      <c r="Y21" s="472">
        <v>0</v>
      </c>
      <c r="Z21" s="471">
        <v>0</v>
      </c>
      <c r="AA21" s="471">
        <v>0</v>
      </c>
      <c r="AB21" s="471">
        <v>0</v>
      </c>
      <c r="AC21" s="471">
        <v>0</v>
      </c>
      <c r="AD21" s="471"/>
      <c r="AE21" s="471"/>
      <c r="AF21" s="506"/>
      <c r="AG21" s="509">
        <v>0</v>
      </c>
      <c r="AH21" s="481">
        <f t="shared" si="0"/>
        <v>2725.1299999999997</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0</v>
      </c>
      <c r="P22" s="471">
        <v>11.26</v>
      </c>
      <c r="Q22" s="471">
        <v>0</v>
      </c>
      <c r="R22" s="471">
        <v>0</v>
      </c>
      <c r="S22" s="472">
        <v>204.51</v>
      </c>
      <c r="T22" s="472">
        <v>0</v>
      </c>
      <c r="U22" s="472">
        <v>0</v>
      </c>
      <c r="V22" s="471">
        <v>0</v>
      </c>
      <c r="W22" s="471">
        <v>0</v>
      </c>
      <c r="X22" s="472">
        <v>0</v>
      </c>
      <c r="Y22" s="472">
        <v>0</v>
      </c>
      <c r="Z22" s="471">
        <v>0</v>
      </c>
      <c r="AA22" s="471">
        <v>0</v>
      </c>
      <c r="AB22" s="471">
        <v>0</v>
      </c>
      <c r="AC22" s="471">
        <v>0</v>
      </c>
      <c r="AD22" s="471"/>
      <c r="AE22" s="471"/>
      <c r="AF22" s="506"/>
      <c r="AG22" s="509">
        <v>0</v>
      </c>
      <c r="AH22" s="481">
        <f t="shared" si="0"/>
        <v>215.76999999999998</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30</v>
      </c>
      <c r="Q23" s="471">
        <v>40.17</v>
      </c>
      <c r="R23" s="471">
        <v>25.23</v>
      </c>
      <c r="S23" s="472">
        <v>163.38999999999999</v>
      </c>
      <c r="T23" s="472">
        <v>-9.17</v>
      </c>
      <c r="U23" s="472">
        <v>0</v>
      </c>
      <c r="V23" s="471">
        <v>0</v>
      </c>
      <c r="W23" s="471">
        <v>0</v>
      </c>
      <c r="X23" s="472">
        <v>0</v>
      </c>
      <c r="Y23" s="472">
        <v>0</v>
      </c>
      <c r="Z23" s="471">
        <v>0</v>
      </c>
      <c r="AA23" s="471">
        <v>44.95</v>
      </c>
      <c r="AB23" s="471">
        <v>0</v>
      </c>
      <c r="AC23" s="471">
        <v>0</v>
      </c>
      <c r="AD23" s="471"/>
      <c r="AE23" s="471"/>
      <c r="AF23" s="506"/>
      <c r="AG23" s="509">
        <v>0</v>
      </c>
      <c r="AH23" s="481">
        <f t="shared" si="0"/>
        <v>294.57</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48.5</v>
      </c>
      <c r="R24" s="471">
        <v>462.72</v>
      </c>
      <c r="S24" s="472">
        <v>8.0299999999999994</v>
      </c>
      <c r="T24" s="472">
        <v>8.0299999999999994</v>
      </c>
      <c r="U24" s="472">
        <v>0</v>
      </c>
      <c r="V24" s="471">
        <v>0</v>
      </c>
      <c r="W24" s="471">
        <v>0</v>
      </c>
      <c r="X24" s="472">
        <v>0</v>
      </c>
      <c r="Y24" s="472">
        <v>0</v>
      </c>
      <c r="Z24" s="471">
        <v>0</v>
      </c>
      <c r="AA24" s="471">
        <v>0</v>
      </c>
      <c r="AB24" s="471">
        <v>0</v>
      </c>
      <c r="AC24" s="471">
        <v>44.96</v>
      </c>
      <c r="AD24" s="471"/>
      <c r="AE24" s="471"/>
      <c r="AF24" s="506"/>
      <c r="AG24" s="509">
        <v>0</v>
      </c>
      <c r="AH24" s="481">
        <f t="shared" si="0"/>
        <v>572.24</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49.75</v>
      </c>
      <c r="S25" s="472">
        <v>89.4</v>
      </c>
      <c r="T25" s="472">
        <v>0</v>
      </c>
      <c r="U25" s="472">
        <v>83.5</v>
      </c>
      <c r="V25" s="471">
        <v>0</v>
      </c>
      <c r="W25" s="471">
        <v>0</v>
      </c>
      <c r="X25" s="472">
        <v>0</v>
      </c>
      <c r="Y25" s="472">
        <v>0</v>
      </c>
      <c r="Z25" s="471">
        <v>0</v>
      </c>
      <c r="AA25" s="471">
        <v>0</v>
      </c>
      <c r="AB25" s="471">
        <v>0</v>
      </c>
      <c r="AC25" s="471">
        <v>0</v>
      </c>
      <c r="AD25" s="471"/>
      <c r="AE25" s="471"/>
      <c r="AF25" s="506"/>
      <c r="AG25" s="509">
        <v>0</v>
      </c>
      <c r="AH25" s="481">
        <f t="shared" si="0"/>
        <v>222.65</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1.51</v>
      </c>
      <c r="T26" s="472">
        <v>5.9</v>
      </c>
      <c r="U26" s="472">
        <v>88.66</v>
      </c>
      <c r="V26" s="471">
        <v>0</v>
      </c>
      <c r="W26" s="471">
        <v>0</v>
      </c>
      <c r="X26" s="472">
        <v>0</v>
      </c>
      <c r="Y26" s="472">
        <v>0</v>
      </c>
      <c r="Z26" s="471">
        <v>0</v>
      </c>
      <c r="AA26" s="471">
        <v>0</v>
      </c>
      <c r="AB26" s="471">
        <v>0</v>
      </c>
      <c r="AC26" s="471">
        <v>0</v>
      </c>
      <c r="AD26" s="471"/>
      <c r="AE26" s="471"/>
      <c r="AF26" s="514"/>
      <c r="AG26" s="509">
        <v>0</v>
      </c>
      <c r="AH26" s="481">
        <f t="shared" si="0"/>
        <v>96.07</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13.63</v>
      </c>
      <c r="U27" s="472">
        <v>368.82</v>
      </c>
      <c r="V27" s="471">
        <v>487.15</v>
      </c>
      <c r="W27" s="471">
        <v>409.02</v>
      </c>
      <c r="X27" s="472">
        <v>54.69</v>
      </c>
      <c r="Y27" s="472">
        <v>35.97</v>
      </c>
      <c r="Z27" s="471">
        <v>18.28</v>
      </c>
      <c r="AA27" s="471">
        <v>0</v>
      </c>
      <c r="AB27" s="471">
        <v>0</v>
      </c>
      <c r="AC27" s="471">
        <v>0</v>
      </c>
      <c r="AD27" s="471"/>
      <c r="AE27" s="471"/>
      <c r="AF27" s="506"/>
      <c r="AG27" s="515">
        <v>45</v>
      </c>
      <c r="AH27" s="481">
        <f t="shared" si="0"/>
        <v>1432.56</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57.29</v>
      </c>
      <c r="V28" s="471">
        <v>3722.76</v>
      </c>
      <c r="W28" s="471">
        <v>10.49</v>
      </c>
      <c r="X28" s="472">
        <v>130.77000000000001</v>
      </c>
      <c r="Y28" s="472">
        <v>0</v>
      </c>
      <c r="Z28" s="471">
        <v>0</v>
      </c>
      <c r="AA28" s="471">
        <v>0</v>
      </c>
      <c r="AB28" s="471">
        <v>66.97</v>
      </c>
      <c r="AC28" s="471">
        <v>0</v>
      </c>
      <c r="AD28" s="471"/>
      <c r="AE28" s="471"/>
      <c r="AF28" s="506"/>
      <c r="AG28" s="510">
        <v>0</v>
      </c>
      <c r="AH28" s="481">
        <f t="shared" si="0"/>
        <v>3988.2799999999997</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10.24</v>
      </c>
      <c r="W29" s="471">
        <v>13.96</v>
      </c>
      <c r="X29" s="472">
        <v>10.82</v>
      </c>
      <c r="Y29" s="472">
        <v>62.31</v>
      </c>
      <c r="Z29" s="471">
        <v>0</v>
      </c>
      <c r="AA29" s="471">
        <v>0</v>
      </c>
      <c r="AB29" s="471">
        <v>0</v>
      </c>
      <c r="AC29" s="471">
        <v>0</v>
      </c>
      <c r="AD29" s="471"/>
      <c r="AE29" s="471"/>
      <c r="AF29" s="506"/>
      <c r="AG29" s="509">
        <v>44.96</v>
      </c>
      <c r="AH29" s="481">
        <f t="shared" si="0"/>
        <v>142.29000000000002</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5.9</v>
      </c>
      <c r="X30" s="472">
        <v>0</v>
      </c>
      <c r="Y30" s="472">
        <v>0</v>
      </c>
      <c r="Z30" s="471">
        <v>290.89</v>
      </c>
      <c r="AA30" s="471">
        <v>0</v>
      </c>
      <c r="AB30" s="471">
        <v>0</v>
      </c>
      <c r="AC30" s="471">
        <v>10.42</v>
      </c>
      <c r="AD30" s="471"/>
      <c r="AE30" s="471"/>
      <c r="AF30" s="506"/>
      <c r="AG30" s="509">
        <v>45.98</v>
      </c>
      <c r="AH30" s="481">
        <f t="shared" si="0"/>
        <v>353.19</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5.9</v>
      </c>
      <c r="Y31" s="472">
        <v>41.09</v>
      </c>
      <c r="Z31" s="471">
        <v>158.83000000000001</v>
      </c>
      <c r="AA31" s="471">
        <v>0</v>
      </c>
      <c r="AB31" s="471">
        <v>8.65</v>
      </c>
      <c r="AC31" s="471">
        <v>238.66</v>
      </c>
      <c r="AD31" s="471"/>
      <c r="AE31" s="471"/>
      <c r="AF31" s="506"/>
      <c r="AG31" s="509">
        <v>84.15</v>
      </c>
      <c r="AH31" s="481">
        <f t="shared" si="0"/>
        <v>537.28</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3.72</v>
      </c>
      <c r="Z32" s="471">
        <v>6.99</v>
      </c>
      <c r="AA32" s="471">
        <v>144.22</v>
      </c>
      <c r="AB32" s="471">
        <v>0</v>
      </c>
      <c r="AC32" s="471">
        <v>0</v>
      </c>
      <c r="AD32" s="471"/>
      <c r="AE32" s="471"/>
      <c r="AF32" s="506"/>
      <c r="AG32" s="509">
        <v>0</v>
      </c>
      <c r="AH32" s="481">
        <f t="shared" si="0"/>
        <v>154.93</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99.01</v>
      </c>
      <c r="AA33" s="471">
        <v>255.66</v>
      </c>
      <c r="AB33" s="471">
        <v>88.39</v>
      </c>
      <c r="AC33" s="471">
        <v>0</v>
      </c>
      <c r="AD33" s="471"/>
      <c r="AE33" s="471"/>
      <c r="AF33" s="506"/>
      <c r="AG33" s="509">
        <v>226.61</v>
      </c>
      <c r="AH33" s="481">
        <f t="shared" si="0"/>
        <v>669.67000000000007</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341.6</v>
      </c>
      <c r="AB34" s="471">
        <v>184.98</v>
      </c>
      <c r="AC34" s="471">
        <v>84.19</v>
      </c>
      <c r="AD34" s="471"/>
      <c r="AE34" s="471"/>
      <c r="AF34" s="506"/>
      <c r="AG34" s="509">
        <v>2154.08</v>
      </c>
      <c r="AH34" s="481">
        <f t="shared" si="0"/>
        <v>2764.85</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344.31</v>
      </c>
      <c r="AC35" s="471">
        <v>549.6</v>
      </c>
      <c r="AD35" s="471"/>
      <c r="AE35" s="471"/>
      <c r="AF35" s="506"/>
      <c r="AG35" s="509">
        <v>277.2</v>
      </c>
      <c r="AH35" s="481">
        <f t="shared" si="0"/>
        <v>1171.1100000000001</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418.89</v>
      </c>
      <c r="AD36" s="471"/>
      <c r="AE36" s="471"/>
      <c r="AF36" s="506"/>
      <c r="AG36" s="509">
        <v>2145.81</v>
      </c>
      <c r="AH36" s="481">
        <f t="shared" si="0"/>
        <v>2564.6999999999998</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3820.91</v>
      </c>
      <c r="E41" s="961">
        <f t="shared" ref="E41:AC41" si="2">SUM(E10:E40)</f>
        <v>3752.3999999999996</v>
      </c>
      <c r="F41" s="961">
        <f t="shared" si="2"/>
        <v>6980.21</v>
      </c>
      <c r="G41" s="961">
        <f t="shared" si="2"/>
        <v>2469.8900000000003</v>
      </c>
      <c r="H41" s="961">
        <f t="shared" si="2"/>
        <v>2116.19</v>
      </c>
      <c r="I41" s="961">
        <f t="shared" si="2"/>
        <v>3872.3900000000003</v>
      </c>
      <c r="J41" s="961">
        <f t="shared" si="2"/>
        <v>3264.15</v>
      </c>
      <c r="K41" s="961">
        <f t="shared" si="2"/>
        <v>14318.760000000002</v>
      </c>
      <c r="L41" s="961">
        <f t="shared" si="2"/>
        <v>283363.33</v>
      </c>
      <c r="M41" s="961">
        <f t="shared" si="2"/>
        <v>43.91</v>
      </c>
      <c r="N41" s="961">
        <f t="shared" si="2"/>
        <v>382.76</v>
      </c>
      <c r="O41" s="961">
        <f t="shared" si="2"/>
        <v>1273.58</v>
      </c>
      <c r="P41" s="961">
        <f t="shared" si="2"/>
        <v>41.26</v>
      </c>
      <c r="Q41" s="961">
        <f t="shared" si="2"/>
        <v>1060.02</v>
      </c>
      <c r="R41" s="961">
        <f t="shared" si="2"/>
        <v>2282.1099999999997</v>
      </c>
      <c r="S41" s="961">
        <f t="shared" si="2"/>
        <v>571.18999999999994</v>
      </c>
      <c r="T41" s="961">
        <f t="shared" si="2"/>
        <v>18.39</v>
      </c>
      <c r="U41" s="961">
        <f t="shared" si="2"/>
        <v>598.27</v>
      </c>
      <c r="V41" s="961">
        <f t="shared" si="2"/>
        <v>4220.1499999999996</v>
      </c>
      <c r="W41" s="961">
        <f t="shared" si="2"/>
        <v>439.36999999999995</v>
      </c>
      <c r="X41" s="961">
        <f t="shared" si="2"/>
        <v>202.18</v>
      </c>
      <c r="Y41" s="961">
        <f t="shared" si="2"/>
        <v>143.09</v>
      </c>
      <c r="Z41" s="961">
        <f t="shared" si="2"/>
        <v>574</v>
      </c>
      <c r="AA41" s="961">
        <f t="shared" si="2"/>
        <v>786.43000000000006</v>
      </c>
      <c r="AB41" s="961">
        <f t="shared" si="2"/>
        <v>693.3</v>
      </c>
      <c r="AC41" s="961">
        <f t="shared" si="2"/>
        <v>1346.72</v>
      </c>
      <c r="AD41" s="961">
        <f>SUM(AD10:AD40)</f>
        <v>0</v>
      </c>
      <c r="AE41" s="961">
        <f>SUM(AE10:AE40)</f>
        <v>0</v>
      </c>
      <c r="AF41" s="961">
        <f>SUM(AF10:AF40)</f>
        <v>0</v>
      </c>
      <c r="AG41" s="519">
        <f>SUM(AG10:AG40)</f>
        <v>5023.7899999999991</v>
      </c>
      <c r="AH41" s="962">
        <f>SUM(AH10:AH40)</f>
        <v>343658.75000000006</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73"/>
      <c r="D43" s="471"/>
      <c r="E43" s="471"/>
      <c r="F43" s="471"/>
      <c r="G43" s="474"/>
      <c r="H43" s="471"/>
      <c r="I43" s="471"/>
      <c r="J43" s="471"/>
      <c r="K43" s="471"/>
      <c r="L43" s="471"/>
      <c r="M43" s="471"/>
      <c r="N43" s="471"/>
      <c r="O43" s="472"/>
      <c r="P43" s="471"/>
      <c r="Q43" s="472"/>
      <c r="R43" s="471"/>
      <c r="S43" s="472"/>
      <c r="T43" s="472"/>
      <c r="U43" s="472"/>
      <c r="V43" s="471"/>
      <c r="W43" s="472"/>
      <c r="X43" s="472"/>
      <c r="Y43" s="472"/>
      <c r="Z43" s="471"/>
      <c r="AA43" s="472"/>
      <c r="AB43" s="471"/>
      <c r="AC43" s="472"/>
      <c r="AD43" s="472"/>
      <c r="AE43" s="471"/>
      <c r="AF43" s="529"/>
      <c r="AG43" s="474"/>
      <c r="AH43" s="481"/>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39.6">
      <c r="A45" s="485">
        <v>36</v>
      </c>
      <c r="B45" s="488" t="s">
        <v>1504</v>
      </c>
      <c r="C45" s="475">
        <f>SUM(C41:C44)</f>
        <v>0</v>
      </c>
      <c r="D45" s="475">
        <f>SUM(D41:D44)</f>
        <v>3820.91</v>
      </c>
      <c r="E45" s="476">
        <f t="shared" ref="E45:AB45" si="3">SUM(E41:E44)</f>
        <v>3752.3999999999996</v>
      </c>
      <c r="F45" s="476">
        <f>SUM(F41:F44)</f>
        <v>6980.21</v>
      </c>
      <c r="G45" s="476">
        <f t="shared" si="3"/>
        <v>2469.8900000000003</v>
      </c>
      <c r="H45" s="476">
        <f t="shared" si="3"/>
        <v>2116.19</v>
      </c>
      <c r="I45" s="476">
        <f t="shared" si="3"/>
        <v>3872.3900000000003</v>
      </c>
      <c r="J45" s="476">
        <f t="shared" si="3"/>
        <v>3264.15</v>
      </c>
      <c r="K45" s="476">
        <f t="shared" si="3"/>
        <v>14318.760000000002</v>
      </c>
      <c r="L45" s="476">
        <f t="shared" si="3"/>
        <v>283363.33</v>
      </c>
      <c r="M45" s="476">
        <f t="shared" si="3"/>
        <v>43.91</v>
      </c>
      <c r="N45" s="476">
        <f t="shared" si="3"/>
        <v>382.76</v>
      </c>
      <c r="O45" s="476">
        <f t="shared" si="3"/>
        <v>1273.58</v>
      </c>
      <c r="P45" s="476">
        <f t="shared" si="3"/>
        <v>41.26</v>
      </c>
      <c r="Q45" s="476">
        <f t="shared" si="3"/>
        <v>1060.02</v>
      </c>
      <c r="R45" s="476">
        <f t="shared" si="3"/>
        <v>2282.1099999999997</v>
      </c>
      <c r="S45" s="476">
        <f t="shared" si="3"/>
        <v>571.18999999999994</v>
      </c>
      <c r="T45" s="476">
        <f t="shared" si="3"/>
        <v>18.39</v>
      </c>
      <c r="U45" s="476">
        <f t="shared" si="3"/>
        <v>598.27</v>
      </c>
      <c r="V45" s="476">
        <f t="shared" si="3"/>
        <v>4220.1499999999996</v>
      </c>
      <c r="W45" s="476">
        <f t="shared" si="3"/>
        <v>439.36999999999995</v>
      </c>
      <c r="X45" s="476">
        <f t="shared" si="3"/>
        <v>202.18</v>
      </c>
      <c r="Y45" s="476">
        <f t="shared" si="3"/>
        <v>143.09</v>
      </c>
      <c r="Z45" s="476">
        <f t="shared" si="3"/>
        <v>574</v>
      </c>
      <c r="AA45" s="476">
        <f t="shared" si="3"/>
        <v>786.43000000000006</v>
      </c>
      <c r="AB45" s="476">
        <f t="shared" si="3"/>
        <v>693.3</v>
      </c>
      <c r="AC45" s="476">
        <f t="shared" ref="AC45:AH45" si="4">SUM(AC41:AC44)</f>
        <v>1346.72</v>
      </c>
      <c r="AD45" s="476">
        <f t="shared" si="4"/>
        <v>0</v>
      </c>
      <c r="AE45" s="476">
        <f t="shared" si="4"/>
        <v>0</v>
      </c>
      <c r="AF45" s="476">
        <f t="shared" si="4"/>
        <v>0</v>
      </c>
      <c r="AG45" s="478">
        <f t="shared" si="4"/>
        <v>5023.7899999999991</v>
      </c>
      <c r="AH45" s="477">
        <f t="shared" si="4"/>
        <v>343658.75000000006</v>
      </c>
    </row>
    <row r="46" spans="1:79" s="459" customFormat="1" ht="53.25" customHeight="1">
      <c r="A46" s="485">
        <v>37</v>
      </c>
      <c r="B46" s="488" t="s">
        <v>1505</v>
      </c>
      <c r="C46" s="473"/>
      <c r="D46" s="471">
        <v>500.16017522587111</v>
      </c>
      <c r="E46" s="471">
        <v>130.48313766487036</v>
      </c>
      <c r="F46" s="471">
        <v>79.072397929353173</v>
      </c>
      <c r="G46" s="474">
        <v>27.697481050285269</v>
      </c>
      <c r="H46" s="471">
        <v>27.532824458639894</v>
      </c>
      <c r="I46" s="471">
        <v>41.083405556179812</v>
      </c>
      <c r="J46" s="471">
        <v>339.82301940056567</v>
      </c>
      <c r="K46" s="471">
        <v>287.82533524567339</v>
      </c>
      <c r="L46" s="471">
        <v>238.6926341556767</v>
      </c>
      <c r="M46" s="471">
        <v>0.89859987826278076</v>
      </c>
      <c r="N46" s="471">
        <v>0.56287641310844216</v>
      </c>
      <c r="O46" s="472">
        <v>0.36073531895971744</v>
      </c>
      <c r="P46" s="471">
        <v>2.0913354082439363E-2</v>
      </c>
      <c r="Q46" s="472">
        <v>0.22433562159184794</v>
      </c>
      <c r="R46" s="471">
        <v>54.554899629059207</v>
      </c>
      <c r="S46" s="472">
        <v>0</v>
      </c>
      <c r="T46" s="472">
        <v>-2.7800763015283445E-15</v>
      </c>
      <c r="U46" s="472">
        <v>9.2402228419404141E-14</v>
      </c>
      <c r="V46" s="471">
        <v>0</v>
      </c>
      <c r="W46" s="472">
        <v>-6.8773590807245129E-14</v>
      </c>
      <c r="X46" s="472">
        <v>6.5352328363073387E-14</v>
      </c>
      <c r="Y46" s="472">
        <v>0</v>
      </c>
      <c r="Z46" s="471">
        <v>1.0078764576755975E-13</v>
      </c>
      <c r="AA46" s="472">
        <v>2.4765680016754512E-13</v>
      </c>
      <c r="AB46" s="471">
        <v>-2.2895977300629857E-13</v>
      </c>
      <c r="AC46" s="472">
        <v>4.6015115672386158E-13</v>
      </c>
      <c r="AD46" s="472">
        <v>2.4765680016754512E-13</v>
      </c>
      <c r="AE46" s="471">
        <v>-2.2895977300629857E-13</v>
      </c>
      <c r="AF46" s="529">
        <v>4.6015115672386158E-13</v>
      </c>
      <c r="AG46" s="474">
        <v>-2.9992968261852371E-13</v>
      </c>
      <c r="AH46" s="477">
        <f>SUM(C46:AG46)</f>
        <v>1728.9927709021806</v>
      </c>
    </row>
    <row r="47" spans="1:79" s="459" customFormat="1" ht="40.35" customHeight="1" thickBot="1">
      <c r="A47" s="489">
        <v>38</v>
      </c>
      <c r="B47" s="490" t="s">
        <v>1506</v>
      </c>
      <c r="C47" s="479">
        <f>SUM(C45:C46)</f>
        <v>0</v>
      </c>
      <c r="D47" s="479">
        <f t="shared" ref="D47:AC47" si="5">SUM(D45:D46)</f>
        <v>4321.070175225871</v>
      </c>
      <c r="E47" s="479">
        <f t="shared" si="5"/>
        <v>3882.88313766487</v>
      </c>
      <c r="F47" s="479">
        <f t="shared" si="5"/>
        <v>7059.2823979293535</v>
      </c>
      <c r="G47" s="479">
        <f t="shared" si="5"/>
        <v>2497.5874810502855</v>
      </c>
      <c r="H47" s="479">
        <f t="shared" si="5"/>
        <v>2143.7228244586399</v>
      </c>
      <c r="I47" s="479">
        <f t="shared" si="5"/>
        <v>3913.4734055561803</v>
      </c>
      <c r="J47" s="479">
        <f t="shared" si="5"/>
        <v>3603.9730194005656</v>
      </c>
      <c r="K47" s="479">
        <f t="shared" si="5"/>
        <v>14606.585335245676</v>
      </c>
      <c r="L47" s="479">
        <f t="shared" si="5"/>
        <v>283602.0226341557</v>
      </c>
      <c r="M47" s="479">
        <f t="shared" si="5"/>
        <v>44.808599878262775</v>
      </c>
      <c r="N47" s="479">
        <f t="shared" si="5"/>
        <v>383.32287641310842</v>
      </c>
      <c r="O47" s="479">
        <f t="shared" si="5"/>
        <v>1273.9407353189597</v>
      </c>
      <c r="P47" s="479">
        <f t="shared" si="5"/>
        <v>41.280913354082436</v>
      </c>
      <c r="Q47" s="479">
        <f t="shared" si="5"/>
        <v>1060.2443356215917</v>
      </c>
      <c r="R47" s="479">
        <f t="shared" si="5"/>
        <v>2336.6648996290587</v>
      </c>
      <c r="S47" s="479">
        <f t="shared" si="5"/>
        <v>571.18999999999994</v>
      </c>
      <c r="T47" s="479">
        <f t="shared" si="5"/>
        <v>18.389999999999997</v>
      </c>
      <c r="U47" s="479">
        <f t="shared" si="5"/>
        <v>598.2700000000001</v>
      </c>
      <c r="V47" s="479">
        <f t="shared" si="5"/>
        <v>4220.1499999999996</v>
      </c>
      <c r="W47" s="479">
        <f t="shared" si="5"/>
        <v>439.36999999999989</v>
      </c>
      <c r="X47" s="479">
        <f t="shared" si="5"/>
        <v>202.18000000000006</v>
      </c>
      <c r="Y47" s="479">
        <f t="shared" si="5"/>
        <v>143.09</v>
      </c>
      <c r="Z47" s="479">
        <f t="shared" si="5"/>
        <v>574.00000000000011</v>
      </c>
      <c r="AA47" s="479">
        <f t="shared" si="5"/>
        <v>786.43000000000029</v>
      </c>
      <c r="AB47" s="479">
        <f t="shared" si="5"/>
        <v>693.29999999999973</v>
      </c>
      <c r="AC47" s="479">
        <f t="shared" si="5"/>
        <v>1346.7200000000005</v>
      </c>
      <c r="AD47" s="479">
        <f>SUM(AD45:AD46)</f>
        <v>2.4765680016754512E-13</v>
      </c>
      <c r="AE47" s="479">
        <f>SUM(AE45:AE46)</f>
        <v>-2.2895977300629857E-13</v>
      </c>
      <c r="AF47" s="479">
        <f>SUM(AF45:AF46)</f>
        <v>4.6015115672386158E-13</v>
      </c>
      <c r="AG47" s="507">
        <f>SUM(AG45:AG46)</f>
        <v>5023.7899999999991</v>
      </c>
      <c r="AH47" s="480">
        <f>SUM(AH45:AH46)</f>
        <v>345387.74277090223</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DJ61"/>
  <sheetViews>
    <sheetView zoomScale="60" zoomScaleNormal="60" workbookViewId="0">
      <selection activeCell="V37" sqref="V37"/>
    </sheetView>
  </sheetViews>
  <sheetFormatPr defaultColWidth="8" defaultRowHeight="13.15"/>
  <cols>
    <col min="1" max="1" width="6.5703125" style="456" bestFit="1" customWidth="1"/>
    <col min="2" max="2" width="24.5703125" style="465" customWidth="1"/>
    <col min="3" max="3" width="16.5703125" style="465" customWidth="1"/>
    <col min="4" max="28" width="16.5703125" style="455" customWidth="1"/>
    <col min="29" max="32" width="16.5703125" style="456" customWidth="1"/>
    <col min="33" max="33" width="23.28515625" style="458" bestFit="1" customWidth="1"/>
    <col min="34" max="34" width="16.5703125" style="458" customWidth="1"/>
    <col min="35" max="16384" width="8" style="458"/>
  </cols>
  <sheetData>
    <row r="1" spans="1:114" ht="15.6">
      <c r="A1" s="427" t="s">
        <v>1510</v>
      </c>
      <c r="B1" s="453"/>
      <c r="C1" s="454"/>
      <c r="D1" s="430"/>
      <c r="E1" s="454"/>
      <c r="F1" s="454"/>
      <c r="AB1" s="456"/>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57"/>
      <c r="DI1" s="457"/>
      <c r="DJ1" s="457"/>
    </row>
    <row r="2" spans="1:114">
      <c r="A2" s="181" t="s">
        <v>1303</v>
      </c>
      <c r="B2" s="181"/>
      <c r="C2" s="397" t="str">
        <f>'Schedule 2_Balance Sheet'!C2</f>
        <v>Tufts Associated Health Plans, Inc. (TAHMO)</v>
      </c>
      <c r="D2" s="398"/>
      <c r="E2" s="398"/>
      <c r="F2" s="399"/>
      <c r="AB2" s="456"/>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c r="CA2" s="457"/>
      <c r="CB2" s="457"/>
      <c r="CC2" s="457"/>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row>
    <row r="3" spans="1:114">
      <c r="A3" s="181" t="s">
        <v>1285</v>
      </c>
      <c r="B3" s="181"/>
      <c r="C3" s="520" t="str">
        <f>'Schedule 2_Balance Sheet'!C3</f>
        <v>01/01/2024 - 12/31/2024</v>
      </c>
      <c r="D3" s="521"/>
      <c r="E3" s="521"/>
      <c r="F3" s="522"/>
      <c r="AB3" s="456"/>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c r="BW3" s="457"/>
      <c r="BX3" s="457"/>
      <c r="BY3" s="457"/>
      <c r="BZ3" s="457"/>
      <c r="CA3" s="457"/>
      <c r="CB3" s="457"/>
      <c r="CC3" s="457"/>
      <c r="CD3" s="457"/>
      <c r="CE3" s="457"/>
      <c r="CF3" s="457"/>
      <c r="CG3" s="457"/>
      <c r="CH3" s="457"/>
      <c r="CI3" s="457"/>
      <c r="CJ3" s="457"/>
      <c r="CK3" s="457"/>
      <c r="CL3" s="457"/>
      <c r="CM3" s="457"/>
      <c r="CN3" s="457"/>
      <c r="CO3" s="457"/>
      <c r="CP3" s="457"/>
      <c r="CQ3" s="457"/>
      <c r="CR3" s="457"/>
      <c r="CS3" s="457"/>
      <c r="CT3" s="457"/>
      <c r="CU3" s="457"/>
      <c r="CV3" s="457"/>
      <c r="CW3" s="457"/>
      <c r="CX3" s="457"/>
      <c r="CY3" s="457"/>
      <c r="CZ3" s="457"/>
      <c r="DA3" s="457"/>
      <c r="DB3" s="457"/>
      <c r="DC3" s="457"/>
      <c r="DD3" s="457"/>
      <c r="DE3" s="457"/>
      <c r="DF3" s="457"/>
      <c r="DG3" s="457"/>
      <c r="DH3" s="457"/>
      <c r="DI3" s="457"/>
      <c r="DJ3" s="457"/>
    </row>
    <row r="4" spans="1:114">
      <c r="A4" s="181" t="s">
        <v>1306</v>
      </c>
      <c r="B4" s="181"/>
      <c r="C4" s="401">
        <f>'Schedule 2_Balance Sheet'!C4</f>
        <v>45657</v>
      </c>
      <c r="D4" s="398"/>
      <c r="E4" s="398"/>
      <c r="F4" s="399"/>
      <c r="AB4" s="456"/>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c r="BW4" s="457"/>
      <c r="BX4" s="457"/>
      <c r="BY4" s="457"/>
      <c r="BZ4" s="457"/>
      <c r="CA4" s="457"/>
      <c r="CB4" s="457"/>
      <c r="CC4" s="457"/>
      <c r="CD4" s="457"/>
      <c r="CE4" s="457"/>
      <c r="CF4" s="457"/>
      <c r="CG4" s="457"/>
      <c r="CH4" s="457"/>
      <c r="CI4" s="457"/>
      <c r="CJ4" s="457"/>
      <c r="CK4" s="457"/>
      <c r="CL4" s="457"/>
      <c r="CM4" s="457"/>
      <c r="CN4" s="457"/>
      <c r="CO4" s="457"/>
      <c r="CP4" s="457"/>
      <c r="CQ4" s="457"/>
      <c r="CR4" s="457"/>
      <c r="CS4" s="457"/>
      <c r="CT4" s="457"/>
      <c r="CU4" s="457"/>
      <c r="CV4" s="457"/>
      <c r="CW4" s="457"/>
      <c r="CX4" s="457"/>
      <c r="CY4" s="457"/>
      <c r="CZ4" s="457"/>
      <c r="DA4" s="457"/>
      <c r="DB4" s="457"/>
      <c r="DC4" s="457"/>
      <c r="DD4" s="457"/>
      <c r="DE4" s="457"/>
      <c r="DF4" s="457"/>
      <c r="DG4" s="457"/>
      <c r="DH4" s="457"/>
      <c r="DI4" s="457"/>
      <c r="DJ4" s="457"/>
    </row>
    <row r="5" spans="1:114">
      <c r="A5" s="181" t="s">
        <v>1307</v>
      </c>
      <c r="B5" s="181"/>
      <c r="C5" s="397" t="str">
        <f>'Schedule 2_Balance Sheet'!C5</f>
        <v>Roshni Parikh</v>
      </c>
      <c r="D5" s="398"/>
      <c r="E5" s="398"/>
      <c r="F5" s="399"/>
      <c r="AB5" s="456"/>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c r="BW5" s="457"/>
      <c r="BX5" s="457"/>
      <c r="BY5" s="457"/>
      <c r="BZ5" s="457"/>
      <c r="CA5" s="457"/>
      <c r="CB5" s="457"/>
      <c r="CC5" s="457"/>
      <c r="CD5" s="457"/>
      <c r="CE5" s="457"/>
      <c r="CF5" s="457"/>
      <c r="CG5" s="457"/>
      <c r="CH5" s="457"/>
      <c r="CI5" s="457"/>
      <c r="CJ5" s="457"/>
      <c r="CK5" s="457"/>
      <c r="CL5" s="457"/>
      <c r="CM5" s="457"/>
      <c r="CN5" s="457"/>
      <c r="CO5" s="457"/>
      <c r="CP5" s="457"/>
      <c r="CQ5" s="457"/>
      <c r="CR5" s="457"/>
      <c r="CS5" s="457"/>
      <c r="CT5" s="457"/>
      <c r="CU5" s="457"/>
      <c r="CV5" s="457"/>
      <c r="CW5" s="457"/>
      <c r="CX5" s="457"/>
      <c r="CY5" s="457"/>
      <c r="CZ5" s="457"/>
      <c r="DA5" s="457"/>
      <c r="DB5" s="457"/>
      <c r="DC5" s="457"/>
      <c r="DD5" s="457"/>
      <c r="DE5" s="457"/>
      <c r="DF5" s="457"/>
      <c r="DG5" s="457"/>
      <c r="DH5" s="457"/>
      <c r="DI5" s="457"/>
      <c r="DJ5" s="457"/>
    </row>
    <row r="6" spans="1:114">
      <c r="A6" s="181" t="s">
        <v>1288</v>
      </c>
      <c r="B6" s="181"/>
      <c r="C6" s="401">
        <f>'Schedule 2_Balance Sheet'!C6</f>
        <v>45657</v>
      </c>
      <c r="D6" s="398"/>
      <c r="E6" s="398"/>
      <c r="F6" s="399"/>
      <c r="AB6" s="456"/>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c r="BW6" s="457"/>
      <c r="BX6" s="457"/>
      <c r="BY6" s="457"/>
      <c r="BZ6" s="457"/>
      <c r="CA6" s="457"/>
      <c r="CB6" s="457"/>
      <c r="CC6" s="457"/>
      <c r="CD6" s="457"/>
      <c r="CE6" s="457"/>
      <c r="CF6" s="457"/>
      <c r="CG6" s="457"/>
      <c r="CH6" s="457"/>
      <c r="CI6" s="457"/>
      <c r="CJ6" s="457"/>
      <c r="CK6" s="457"/>
      <c r="CL6" s="457"/>
      <c r="CM6" s="457"/>
      <c r="CN6" s="457"/>
      <c r="CO6" s="457"/>
      <c r="CP6" s="457"/>
      <c r="CQ6" s="457"/>
      <c r="CR6" s="457"/>
      <c r="CS6" s="457"/>
      <c r="CT6" s="457"/>
      <c r="CU6" s="457"/>
      <c r="CV6" s="457"/>
      <c r="CW6" s="457"/>
      <c r="CX6" s="457"/>
      <c r="CY6" s="457"/>
      <c r="CZ6" s="457"/>
      <c r="DA6" s="457"/>
      <c r="DB6" s="457"/>
      <c r="DC6" s="457"/>
      <c r="DD6" s="457"/>
      <c r="DE6" s="457"/>
      <c r="DF6" s="457"/>
      <c r="DG6" s="457"/>
      <c r="DH6" s="457"/>
      <c r="DI6" s="457"/>
      <c r="DJ6" s="457"/>
    </row>
    <row r="7" spans="1:114" ht="13.9" thickBot="1">
      <c r="A7" s="179" t="s">
        <v>1495</v>
      </c>
      <c r="B7" s="343"/>
      <c r="C7" s="343"/>
      <c r="D7" s="343"/>
      <c r="E7" s="343"/>
      <c r="F7" s="343"/>
      <c r="G7" s="343"/>
      <c r="H7" s="343"/>
      <c r="AB7" s="456"/>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row>
    <row r="8" spans="1:114" s="459" customFormat="1" ht="16.5" customHeight="1" thickBot="1">
      <c r="A8" s="502"/>
      <c r="B8" s="956"/>
      <c r="C8" s="525" t="s">
        <v>1496</v>
      </c>
      <c r="D8" s="525"/>
      <c r="E8" s="957"/>
      <c r="F8" s="957"/>
      <c r="G8" s="957"/>
      <c r="H8" s="525"/>
      <c r="I8" s="525"/>
      <c r="J8" s="957"/>
      <c r="K8" s="957"/>
      <c r="L8" s="503"/>
      <c r="M8" s="525" t="s">
        <v>1496</v>
      </c>
      <c r="N8" s="525"/>
      <c r="O8" s="957"/>
      <c r="P8" s="503"/>
      <c r="Q8" s="957"/>
      <c r="R8" s="525"/>
      <c r="S8" s="525"/>
      <c r="T8" s="957"/>
      <c r="U8" s="957"/>
      <c r="V8" s="503"/>
      <c r="W8" s="525" t="s">
        <v>1496</v>
      </c>
      <c r="X8" s="525"/>
      <c r="Y8" s="957"/>
      <c r="Z8" s="957"/>
      <c r="AA8" s="957"/>
      <c r="AB8" s="504"/>
      <c r="AC8" s="525"/>
      <c r="AD8" s="525"/>
      <c r="AE8" s="525"/>
      <c r="AF8" s="525"/>
      <c r="AG8" s="958"/>
      <c r="AH8" s="505"/>
    </row>
    <row r="9" spans="1:114" s="460" customFormat="1" ht="27" thickBot="1">
      <c r="A9" s="500" t="s">
        <v>434</v>
      </c>
      <c r="B9" s="501" t="s">
        <v>1497</v>
      </c>
      <c r="C9" s="492">
        <f t="array" ref="C9:AF9">TRANSPOSE(B10:B39)</f>
        <v>45688</v>
      </c>
      <c r="D9" s="493">
        <v>45657</v>
      </c>
      <c r="E9" s="493">
        <v>45626</v>
      </c>
      <c r="F9" s="493">
        <v>45596</v>
      </c>
      <c r="G9" s="493">
        <v>45565</v>
      </c>
      <c r="H9" s="493">
        <v>45535</v>
      </c>
      <c r="I9" s="493">
        <v>45504</v>
      </c>
      <c r="J9" s="493">
        <v>45473</v>
      </c>
      <c r="K9" s="493">
        <v>45443</v>
      </c>
      <c r="L9" s="493">
        <v>45412</v>
      </c>
      <c r="M9" s="493">
        <v>45382</v>
      </c>
      <c r="N9" s="493">
        <v>45351</v>
      </c>
      <c r="O9" s="494">
        <v>45322</v>
      </c>
      <c r="P9" s="493">
        <v>45291</v>
      </c>
      <c r="Q9" s="494">
        <v>45260</v>
      </c>
      <c r="R9" s="493">
        <v>45230</v>
      </c>
      <c r="S9" s="494">
        <v>45199</v>
      </c>
      <c r="T9" s="494">
        <v>45169</v>
      </c>
      <c r="U9" s="494">
        <v>45138</v>
      </c>
      <c r="V9" s="493">
        <v>45107</v>
      </c>
      <c r="W9" s="494">
        <v>45077</v>
      </c>
      <c r="X9" s="494">
        <v>45046</v>
      </c>
      <c r="Y9" s="494">
        <v>45016</v>
      </c>
      <c r="Z9" s="493">
        <v>44985</v>
      </c>
      <c r="AA9" s="494">
        <v>44957</v>
      </c>
      <c r="AB9" s="493">
        <v>44926</v>
      </c>
      <c r="AC9" s="494">
        <v>44895</v>
      </c>
      <c r="AD9" s="494">
        <v>44865</v>
      </c>
      <c r="AE9" s="493">
        <v>44834</v>
      </c>
      <c r="AF9" s="526">
        <v>44804</v>
      </c>
      <c r="AG9" s="491" t="s">
        <v>1498</v>
      </c>
      <c r="AH9" s="495" t="s">
        <v>1499</v>
      </c>
    </row>
    <row r="10" spans="1:114" s="460" customFormat="1">
      <c r="A10" s="482">
        <v>1</v>
      </c>
      <c r="B10" s="518">
        <f>EOMONTH(B11,1)</f>
        <v>45688</v>
      </c>
      <c r="C10" s="959"/>
      <c r="D10" s="959">
        <v>14712847.8099999</v>
      </c>
      <c r="E10" s="959">
        <v>4587063.8200000199</v>
      </c>
      <c r="F10" s="959">
        <v>664560.62999999896</v>
      </c>
      <c r="G10" s="959">
        <v>113953.35</v>
      </c>
      <c r="H10" s="959">
        <v>118613.82</v>
      </c>
      <c r="I10" s="959">
        <v>79632.829999999914</v>
      </c>
      <c r="J10" s="959">
        <v>92673.3100000001</v>
      </c>
      <c r="K10" s="959">
        <v>116420.71</v>
      </c>
      <c r="L10" s="959">
        <v>97158.46</v>
      </c>
      <c r="M10" s="959">
        <v>12807.23</v>
      </c>
      <c r="N10" s="959">
        <v>8463.26</v>
      </c>
      <c r="O10" s="959">
        <v>23945.23</v>
      </c>
      <c r="P10" s="959">
        <v>-10210</v>
      </c>
      <c r="Q10" s="959">
        <v>-1278.3399999999999</v>
      </c>
      <c r="R10" s="959">
        <v>19564.86</v>
      </c>
      <c r="S10" s="959">
        <v>799.4</v>
      </c>
      <c r="T10" s="959">
        <v>9548.52</v>
      </c>
      <c r="U10" s="959">
        <v>325.76</v>
      </c>
      <c r="V10" s="959">
        <v>0</v>
      </c>
      <c r="W10" s="959">
        <v>-41.05</v>
      </c>
      <c r="X10" s="959">
        <v>-25</v>
      </c>
      <c r="Y10" s="959">
        <v>-25</v>
      </c>
      <c r="Z10" s="959">
        <v>-25</v>
      </c>
      <c r="AA10" s="959">
        <v>-25</v>
      </c>
      <c r="AB10" s="959">
        <v>0</v>
      </c>
      <c r="AC10" s="959">
        <v>0</v>
      </c>
      <c r="AD10" s="959"/>
      <c r="AE10" s="959"/>
      <c r="AF10" s="513"/>
      <c r="AG10" s="512">
        <v>0</v>
      </c>
      <c r="AH10" s="481">
        <f t="shared" ref="AH10:AH38" si="0">SUM(C10:AG10)</f>
        <v>20646749.609999921</v>
      </c>
    </row>
    <row r="11" spans="1:114" s="460" customFormat="1">
      <c r="A11" s="482">
        <v>2</v>
      </c>
      <c r="B11" s="483">
        <f>'Schedule 2_Balance Sheet'!C4</f>
        <v>45657</v>
      </c>
      <c r="C11" s="498"/>
      <c r="D11" s="524">
        <v>7423714.0600000499</v>
      </c>
      <c r="E11" s="524">
        <v>12373492.329999899</v>
      </c>
      <c r="F11" s="524">
        <v>6669474.5300000003</v>
      </c>
      <c r="G11" s="524">
        <v>540200.45999999903</v>
      </c>
      <c r="H11" s="524">
        <v>182731.8</v>
      </c>
      <c r="I11" s="524">
        <v>173992.2</v>
      </c>
      <c r="J11" s="524">
        <v>108496.69</v>
      </c>
      <c r="K11" s="524">
        <v>75783.960000000006</v>
      </c>
      <c r="L11" s="524">
        <v>49956.45</v>
      </c>
      <c r="M11" s="524">
        <v>680.74999999999898</v>
      </c>
      <c r="N11" s="524">
        <v>26059.24</v>
      </c>
      <c r="O11" s="524">
        <v>39782.54</v>
      </c>
      <c r="P11" s="524">
        <v>10290.780000000001</v>
      </c>
      <c r="Q11" s="524">
        <v>18384.169999999998</v>
      </c>
      <c r="R11" s="524">
        <v>-2327.9499999999998</v>
      </c>
      <c r="S11" s="524">
        <v>-922.62000000000103</v>
      </c>
      <c r="T11" s="524">
        <v>16814.36</v>
      </c>
      <c r="U11" s="524">
        <v>-1787.77</v>
      </c>
      <c r="V11" s="524">
        <v>-1735.8</v>
      </c>
      <c r="W11" s="524">
        <v>-2010.58</v>
      </c>
      <c r="X11" s="524">
        <v>805.46</v>
      </c>
      <c r="Y11" s="524">
        <v>-1826.14</v>
      </c>
      <c r="Z11" s="524">
        <v>-1594</v>
      </c>
      <c r="AA11" s="524">
        <v>-79.52</v>
      </c>
      <c r="AB11" s="524">
        <v>0</v>
      </c>
      <c r="AC11" s="524">
        <v>142.24999999999901</v>
      </c>
      <c r="AD11" s="524"/>
      <c r="AE11" s="524"/>
      <c r="AF11" s="514"/>
      <c r="AG11" s="510">
        <v>0</v>
      </c>
      <c r="AH11" s="481">
        <f t="shared" si="0"/>
        <v>27698517.649999954</v>
      </c>
    </row>
    <row r="12" spans="1:114" s="459" customFormat="1" ht="15" customHeight="1">
      <c r="A12" s="482">
        <v>3</v>
      </c>
      <c r="B12" s="483">
        <f>EOMONTH(B11,-1)</f>
        <v>45626</v>
      </c>
      <c r="C12" s="498"/>
      <c r="D12" s="498">
        <v>0</v>
      </c>
      <c r="E12" s="471">
        <v>8692291.8899999894</v>
      </c>
      <c r="F12" s="471">
        <v>14885976.979999999</v>
      </c>
      <c r="G12" s="471">
        <v>6994696.6899999995</v>
      </c>
      <c r="H12" s="471">
        <v>1038813.9299999999</v>
      </c>
      <c r="I12" s="471">
        <v>239416.59</v>
      </c>
      <c r="J12" s="471">
        <v>114234.65</v>
      </c>
      <c r="K12" s="471">
        <v>107635.99</v>
      </c>
      <c r="L12" s="471">
        <v>215207.13</v>
      </c>
      <c r="M12" s="471">
        <v>72137.88</v>
      </c>
      <c r="N12" s="471">
        <v>88639.000000000102</v>
      </c>
      <c r="O12" s="471">
        <v>29408.22</v>
      </c>
      <c r="P12" s="471">
        <v>24049.5</v>
      </c>
      <c r="Q12" s="471">
        <v>30412.93</v>
      </c>
      <c r="R12" s="471">
        <v>14588.78</v>
      </c>
      <c r="S12" s="471">
        <v>6563.4</v>
      </c>
      <c r="T12" s="471">
        <v>2765.23</v>
      </c>
      <c r="U12" s="471">
        <v>2545.75</v>
      </c>
      <c r="V12" s="471">
        <v>1058.79</v>
      </c>
      <c r="W12" s="471">
        <v>1882.01</v>
      </c>
      <c r="X12" s="471">
        <v>-5914.59</v>
      </c>
      <c r="Y12" s="471">
        <v>9138.41</v>
      </c>
      <c r="Z12" s="471">
        <v>796.41</v>
      </c>
      <c r="AA12" s="471">
        <v>-2898.66</v>
      </c>
      <c r="AB12" s="471">
        <v>-2280.11</v>
      </c>
      <c r="AC12" s="471">
        <v>-1314.93</v>
      </c>
      <c r="AD12" s="471"/>
      <c r="AE12" s="471"/>
      <c r="AF12" s="506"/>
      <c r="AG12" s="510">
        <v>30963.59</v>
      </c>
      <c r="AH12" s="481">
        <f t="shared" si="0"/>
        <v>32590815.459999982</v>
      </c>
    </row>
    <row r="13" spans="1:114" s="459" customFormat="1" ht="15" customHeight="1">
      <c r="A13" s="482">
        <v>4</v>
      </c>
      <c r="B13" s="483">
        <f t="shared" ref="B13:B39" si="1">EOMONTH(B12,-1)</f>
        <v>45596</v>
      </c>
      <c r="C13" s="498"/>
      <c r="D13" s="496">
        <v>0</v>
      </c>
      <c r="E13" s="498">
        <v>0</v>
      </c>
      <c r="F13" s="471">
        <v>6991038.1900000013</v>
      </c>
      <c r="G13" s="471">
        <v>11483619.120000001</v>
      </c>
      <c r="H13" s="471">
        <v>6055204.9899999909</v>
      </c>
      <c r="I13" s="471">
        <v>1632542.71</v>
      </c>
      <c r="J13" s="471">
        <v>658387.55999999901</v>
      </c>
      <c r="K13" s="471">
        <v>571825.66</v>
      </c>
      <c r="L13" s="471">
        <v>439315.14</v>
      </c>
      <c r="M13" s="471">
        <v>5030.1399999999803</v>
      </c>
      <c r="N13" s="471">
        <v>-7718.8899999999803</v>
      </c>
      <c r="O13" s="471">
        <v>50206.86</v>
      </c>
      <c r="P13" s="471">
        <v>1078.53</v>
      </c>
      <c r="Q13" s="471">
        <v>1427.54</v>
      </c>
      <c r="R13" s="471">
        <v>2082.96</v>
      </c>
      <c r="S13" s="472">
        <v>587.48</v>
      </c>
      <c r="T13" s="472">
        <v>-4724.3599999999997</v>
      </c>
      <c r="U13" s="472">
        <v>-1852.74</v>
      </c>
      <c r="V13" s="471">
        <v>-1234.8</v>
      </c>
      <c r="W13" s="471">
        <v>-1180.97</v>
      </c>
      <c r="X13" s="472">
        <v>-1587.3</v>
      </c>
      <c r="Y13" s="472">
        <v>-2472.13</v>
      </c>
      <c r="Z13" s="471">
        <v>7840.93</v>
      </c>
      <c r="AA13" s="471">
        <v>1971.49</v>
      </c>
      <c r="AB13" s="471">
        <v>-2000.68</v>
      </c>
      <c r="AC13" s="471">
        <v>0</v>
      </c>
      <c r="AD13" s="471"/>
      <c r="AE13" s="471"/>
      <c r="AF13" s="506"/>
      <c r="AG13" s="508">
        <v>-4635.0300000000007</v>
      </c>
      <c r="AH13" s="481">
        <f t="shared" si="0"/>
        <v>27874752.399999995</v>
      </c>
    </row>
    <row r="14" spans="1:114" s="459" customFormat="1" ht="15" customHeight="1">
      <c r="A14" s="482">
        <v>5</v>
      </c>
      <c r="B14" s="483">
        <f t="shared" si="1"/>
        <v>45565</v>
      </c>
      <c r="C14" s="498"/>
      <c r="D14" s="496">
        <v>0</v>
      </c>
      <c r="E14" s="496">
        <v>0</v>
      </c>
      <c r="F14" s="498">
        <v>0</v>
      </c>
      <c r="G14" s="471">
        <v>7792174.2800000003</v>
      </c>
      <c r="H14" s="471">
        <v>11087353.810000001</v>
      </c>
      <c r="I14" s="471">
        <v>5420210.4099999992</v>
      </c>
      <c r="J14" s="471">
        <v>529111.54</v>
      </c>
      <c r="K14" s="471">
        <v>107527.59</v>
      </c>
      <c r="L14" s="471">
        <v>24430</v>
      </c>
      <c r="M14" s="471">
        <v>41486.46</v>
      </c>
      <c r="N14" s="471">
        <v>33020.699999999997</v>
      </c>
      <c r="O14" s="471">
        <v>36665.730000000003</v>
      </c>
      <c r="P14" s="471">
        <v>18304.28</v>
      </c>
      <c r="Q14" s="471">
        <v>5849.89</v>
      </c>
      <c r="R14" s="471">
        <v>-1181.1299999999992</v>
      </c>
      <c r="S14" s="472">
        <v>26964.41</v>
      </c>
      <c r="T14" s="472">
        <v>15768.11</v>
      </c>
      <c r="U14" s="472">
        <v>3788.61</v>
      </c>
      <c r="V14" s="471">
        <v>-7641.96</v>
      </c>
      <c r="W14" s="471">
        <v>0</v>
      </c>
      <c r="X14" s="472">
        <v>20.2</v>
      </c>
      <c r="Y14" s="472">
        <v>2693.04</v>
      </c>
      <c r="Z14" s="471">
        <v>10601.74</v>
      </c>
      <c r="AA14" s="471">
        <v>6957.02</v>
      </c>
      <c r="AB14" s="471">
        <v>7448.02</v>
      </c>
      <c r="AC14" s="471">
        <v>10862.72</v>
      </c>
      <c r="AD14" s="471"/>
      <c r="AE14" s="471"/>
      <c r="AF14" s="506"/>
      <c r="AG14" s="509">
        <v>-7829.5300000000025</v>
      </c>
      <c r="AH14" s="481">
        <f t="shared" si="0"/>
        <v>25164585.939999994</v>
      </c>
    </row>
    <row r="15" spans="1:114" s="459" customFormat="1" ht="15" customHeight="1">
      <c r="A15" s="482">
        <v>6</v>
      </c>
      <c r="B15" s="483">
        <f t="shared" si="1"/>
        <v>45535</v>
      </c>
      <c r="C15" s="498"/>
      <c r="D15" s="496">
        <v>0</v>
      </c>
      <c r="E15" s="496">
        <v>0</v>
      </c>
      <c r="F15" s="496">
        <v>0</v>
      </c>
      <c r="G15" s="498">
        <v>0</v>
      </c>
      <c r="H15" s="471">
        <v>8690082.250000041</v>
      </c>
      <c r="I15" s="471">
        <v>14127431.5200001</v>
      </c>
      <c r="J15" s="471">
        <v>6676018.1099999696</v>
      </c>
      <c r="K15" s="471">
        <v>2144524.5599999996</v>
      </c>
      <c r="L15" s="471">
        <v>405098.13</v>
      </c>
      <c r="M15" s="471">
        <v>111065.23</v>
      </c>
      <c r="N15" s="471">
        <v>33433.589999999997</v>
      </c>
      <c r="O15" s="471">
        <v>4578.67</v>
      </c>
      <c r="P15" s="471">
        <v>43594.41</v>
      </c>
      <c r="Q15" s="471">
        <v>9730.66</v>
      </c>
      <c r="R15" s="471">
        <v>45368.47</v>
      </c>
      <c r="S15" s="472">
        <v>22843.360000000001</v>
      </c>
      <c r="T15" s="472">
        <v>13801.27</v>
      </c>
      <c r="U15" s="472">
        <v>22177.05</v>
      </c>
      <c r="V15" s="471">
        <v>20059.78</v>
      </c>
      <c r="W15" s="471">
        <v>12042.05</v>
      </c>
      <c r="X15" s="472">
        <v>12579.3</v>
      </c>
      <c r="Y15" s="472">
        <v>7535.75</v>
      </c>
      <c r="Z15" s="471">
        <v>19135.11</v>
      </c>
      <c r="AA15" s="471">
        <v>19417.73</v>
      </c>
      <c r="AB15" s="471">
        <v>5949.21</v>
      </c>
      <c r="AC15" s="471">
        <v>8848.52</v>
      </c>
      <c r="AD15" s="471"/>
      <c r="AE15" s="471"/>
      <c r="AF15" s="506"/>
      <c r="AG15" s="509">
        <v>-41786.17</v>
      </c>
      <c r="AH15" s="481">
        <f t="shared" si="0"/>
        <v>32413528.56000011</v>
      </c>
    </row>
    <row r="16" spans="1:114" s="459" customFormat="1" ht="15" customHeight="1">
      <c r="A16" s="482">
        <v>7</v>
      </c>
      <c r="B16" s="483">
        <f t="shared" si="1"/>
        <v>45504</v>
      </c>
      <c r="C16" s="498"/>
      <c r="D16" s="496">
        <v>0</v>
      </c>
      <c r="E16" s="496">
        <v>0</v>
      </c>
      <c r="F16" s="499">
        <v>0</v>
      </c>
      <c r="G16" s="496">
        <v>0</v>
      </c>
      <c r="H16" s="498">
        <v>0</v>
      </c>
      <c r="I16" s="471">
        <v>5696063.6999999797</v>
      </c>
      <c r="J16" s="471">
        <v>9995259.0000000298</v>
      </c>
      <c r="K16" s="471">
        <v>5075084.4399999799</v>
      </c>
      <c r="L16" s="471">
        <v>2073812.87</v>
      </c>
      <c r="M16" s="471">
        <v>71818.86</v>
      </c>
      <c r="N16" s="471">
        <v>48791.6</v>
      </c>
      <c r="O16" s="471">
        <v>30418.7</v>
      </c>
      <c r="P16" s="471">
        <v>27407.93</v>
      </c>
      <c r="Q16" s="471">
        <v>24439.38</v>
      </c>
      <c r="R16" s="471">
        <v>38911.5</v>
      </c>
      <c r="S16" s="472">
        <v>39804.51</v>
      </c>
      <c r="T16" s="472">
        <v>17502.060000000001</v>
      </c>
      <c r="U16" s="472">
        <v>14791.84</v>
      </c>
      <c r="V16" s="471">
        <v>24554.1</v>
      </c>
      <c r="W16" s="471">
        <v>27078</v>
      </c>
      <c r="X16" s="472">
        <v>25501.75</v>
      </c>
      <c r="Y16" s="472">
        <v>14948.59</v>
      </c>
      <c r="Z16" s="471">
        <v>8830.2999999999993</v>
      </c>
      <c r="AA16" s="471">
        <v>20058.84</v>
      </c>
      <c r="AB16" s="471">
        <v>-1009.05</v>
      </c>
      <c r="AC16" s="471">
        <v>13767.38</v>
      </c>
      <c r="AD16" s="471"/>
      <c r="AE16" s="471"/>
      <c r="AF16" s="506"/>
      <c r="AG16" s="509">
        <v>-27313.16</v>
      </c>
      <c r="AH16" s="481">
        <f t="shared" si="0"/>
        <v>23260523.139999989</v>
      </c>
    </row>
    <row r="17" spans="1:34" s="459" customFormat="1" ht="15" customHeight="1">
      <c r="A17" s="482">
        <v>8</v>
      </c>
      <c r="B17" s="483">
        <f t="shared" si="1"/>
        <v>45473</v>
      </c>
      <c r="C17" s="498"/>
      <c r="D17" s="496">
        <v>0</v>
      </c>
      <c r="E17" s="496">
        <v>0</v>
      </c>
      <c r="F17" s="496">
        <v>0</v>
      </c>
      <c r="G17" s="496">
        <v>0</v>
      </c>
      <c r="H17" s="496">
        <v>0</v>
      </c>
      <c r="I17" s="498">
        <v>0</v>
      </c>
      <c r="J17" s="471">
        <v>7083566.0800000196</v>
      </c>
      <c r="K17" s="471">
        <v>11195444.76</v>
      </c>
      <c r="L17" s="471">
        <v>4857908.2</v>
      </c>
      <c r="M17" s="471">
        <v>222401.24</v>
      </c>
      <c r="N17" s="471">
        <v>117705.75</v>
      </c>
      <c r="O17" s="471">
        <v>109233.06</v>
      </c>
      <c r="P17" s="471">
        <v>62618.03</v>
      </c>
      <c r="Q17" s="471">
        <v>41040.85</v>
      </c>
      <c r="R17" s="471">
        <v>49302.86</v>
      </c>
      <c r="S17" s="472">
        <v>58837.64</v>
      </c>
      <c r="T17" s="472">
        <v>45089.440000000002</v>
      </c>
      <c r="U17" s="472">
        <v>31487.41</v>
      </c>
      <c r="V17" s="471">
        <v>37436.42</v>
      </c>
      <c r="W17" s="471">
        <v>20945.099999999999</v>
      </c>
      <c r="X17" s="472">
        <v>25819.97</v>
      </c>
      <c r="Y17" s="472">
        <v>50503.89</v>
      </c>
      <c r="Z17" s="471">
        <v>29279.05</v>
      </c>
      <c r="AA17" s="471">
        <v>26092.5</v>
      </c>
      <c r="AB17" s="471">
        <v>15623.09</v>
      </c>
      <c r="AC17" s="471">
        <v>40105.120000000003</v>
      </c>
      <c r="AD17" s="471"/>
      <c r="AE17" s="471"/>
      <c r="AF17" s="506"/>
      <c r="AG17" s="509">
        <v>82254.22</v>
      </c>
      <c r="AH17" s="481">
        <f t="shared" si="0"/>
        <v>24202694.680000022</v>
      </c>
    </row>
    <row r="18" spans="1:34" s="459" customFormat="1" ht="15" customHeight="1">
      <c r="A18" s="482">
        <v>9</v>
      </c>
      <c r="B18" s="483">
        <f t="shared" si="1"/>
        <v>45443</v>
      </c>
      <c r="C18" s="498"/>
      <c r="D18" s="496">
        <v>0</v>
      </c>
      <c r="E18" s="496">
        <v>0</v>
      </c>
      <c r="F18" s="496">
        <v>0</v>
      </c>
      <c r="G18" s="496">
        <v>0</v>
      </c>
      <c r="H18" s="496">
        <v>0</v>
      </c>
      <c r="I18" s="496">
        <v>0</v>
      </c>
      <c r="J18" s="498">
        <v>0</v>
      </c>
      <c r="K18" s="471">
        <v>7672561.2200000202</v>
      </c>
      <c r="L18" s="471">
        <v>12607395.750000101</v>
      </c>
      <c r="M18" s="471">
        <v>5706669.0099999998</v>
      </c>
      <c r="N18" s="471">
        <v>521671.2</v>
      </c>
      <c r="O18" s="471">
        <v>324030.37</v>
      </c>
      <c r="P18" s="471">
        <v>278938.08</v>
      </c>
      <c r="Q18" s="471">
        <v>71956.899999999994</v>
      </c>
      <c r="R18" s="471">
        <v>120679.59</v>
      </c>
      <c r="S18" s="472">
        <v>85806.16</v>
      </c>
      <c r="T18" s="472">
        <v>74870.69</v>
      </c>
      <c r="U18" s="472">
        <v>33847.15</v>
      </c>
      <c r="V18" s="471">
        <v>28491.7</v>
      </c>
      <c r="W18" s="471">
        <v>32940.080000000002</v>
      </c>
      <c r="X18" s="472">
        <v>9891.16</v>
      </c>
      <c r="Y18" s="472">
        <v>7981.9</v>
      </c>
      <c r="Z18" s="471">
        <v>1913.54</v>
      </c>
      <c r="AA18" s="471">
        <v>4334.62</v>
      </c>
      <c r="AB18" s="471">
        <v>0</v>
      </c>
      <c r="AC18" s="471">
        <v>0</v>
      </c>
      <c r="AD18" s="471"/>
      <c r="AE18" s="471"/>
      <c r="AF18" s="506"/>
      <c r="AG18" s="509">
        <v>23881.53</v>
      </c>
      <c r="AH18" s="481">
        <f t="shared" si="0"/>
        <v>27607860.650000118</v>
      </c>
    </row>
    <row r="19" spans="1:34" s="459" customFormat="1" ht="15" customHeight="1">
      <c r="A19" s="482">
        <v>10</v>
      </c>
      <c r="B19" s="483">
        <f t="shared" si="1"/>
        <v>45412</v>
      </c>
      <c r="C19" s="498"/>
      <c r="D19" s="496">
        <v>0</v>
      </c>
      <c r="E19" s="496">
        <v>0</v>
      </c>
      <c r="F19" s="496">
        <v>0</v>
      </c>
      <c r="G19" s="496">
        <v>0</v>
      </c>
      <c r="H19" s="496">
        <v>0</v>
      </c>
      <c r="I19" s="496">
        <v>0</v>
      </c>
      <c r="J19" s="496">
        <v>0</v>
      </c>
      <c r="K19" s="498">
        <v>0</v>
      </c>
      <c r="L19" s="471">
        <v>5189564.74</v>
      </c>
      <c r="M19" s="471">
        <v>12660586.380000001</v>
      </c>
      <c r="N19" s="471">
        <v>4570076.1800000099</v>
      </c>
      <c r="O19" s="471">
        <v>430556.86</v>
      </c>
      <c r="P19" s="471">
        <v>79436.44</v>
      </c>
      <c r="Q19" s="471">
        <v>80454.92</v>
      </c>
      <c r="R19" s="471">
        <v>68658.210000000006</v>
      </c>
      <c r="S19" s="472">
        <v>93497.279999999999</v>
      </c>
      <c r="T19" s="472">
        <v>113056.11</v>
      </c>
      <c r="U19" s="472">
        <v>63990.64</v>
      </c>
      <c r="V19" s="471">
        <v>71145.75</v>
      </c>
      <c r="W19" s="471">
        <v>49755.15</v>
      </c>
      <c r="X19" s="472">
        <v>23591.55</v>
      </c>
      <c r="Y19" s="472">
        <v>16652.64</v>
      </c>
      <c r="Z19" s="471">
        <v>19176</v>
      </c>
      <c r="AA19" s="471">
        <v>5979.04</v>
      </c>
      <c r="AB19" s="471">
        <v>432.61999999999898</v>
      </c>
      <c r="AC19" s="471">
        <v>7515.2999999999993</v>
      </c>
      <c r="AD19" s="471"/>
      <c r="AE19" s="471"/>
      <c r="AF19" s="506"/>
      <c r="AG19" s="509">
        <v>14463.939999999999</v>
      </c>
      <c r="AH19" s="481">
        <f t="shared" si="0"/>
        <v>23558589.750000019</v>
      </c>
    </row>
    <row r="20" spans="1:34" s="459" customFormat="1" ht="15" customHeight="1">
      <c r="A20" s="482">
        <v>11</v>
      </c>
      <c r="B20" s="483">
        <f t="shared" si="1"/>
        <v>45382</v>
      </c>
      <c r="C20" s="498"/>
      <c r="D20" s="496">
        <v>0</v>
      </c>
      <c r="E20" s="496">
        <v>0</v>
      </c>
      <c r="F20" s="496">
        <v>0</v>
      </c>
      <c r="G20" s="496">
        <v>0</v>
      </c>
      <c r="H20" s="496">
        <v>0</v>
      </c>
      <c r="I20" s="496">
        <v>0</v>
      </c>
      <c r="J20" s="496">
        <v>0</v>
      </c>
      <c r="K20" s="496">
        <v>0</v>
      </c>
      <c r="L20" s="498">
        <v>0</v>
      </c>
      <c r="M20" s="471">
        <v>7540050.4199999897</v>
      </c>
      <c r="N20" s="471">
        <v>14931890.180000104</v>
      </c>
      <c r="O20" s="471">
        <v>5901921.8799999999</v>
      </c>
      <c r="P20" s="471">
        <v>397186.83999999898</v>
      </c>
      <c r="Q20" s="471">
        <v>102065.94000000021</v>
      </c>
      <c r="R20" s="471">
        <v>148432.29999999999</v>
      </c>
      <c r="S20" s="472">
        <v>72085.849999999904</v>
      </c>
      <c r="T20" s="472">
        <v>55209.99</v>
      </c>
      <c r="U20" s="472">
        <v>68291.839999999997</v>
      </c>
      <c r="V20" s="471">
        <v>63512.49</v>
      </c>
      <c r="W20" s="471">
        <v>51464.43</v>
      </c>
      <c r="X20" s="472">
        <v>36314.089999999997</v>
      </c>
      <c r="Y20" s="472">
        <v>30325.07</v>
      </c>
      <c r="Z20" s="471">
        <v>24774.92</v>
      </c>
      <c r="AA20" s="471">
        <v>4805.91</v>
      </c>
      <c r="AB20" s="471">
        <v>214.78</v>
      </c>
      <c r="AC20" s="471">
        <v>1822.17</v>
      </c>
      <c r="AD20" s="471"/>
      <c r="AE20" s="471"/>
      <c r="AF20" s="506"/>
      <c r="AG20" s="509">
        <v>14062.609999999999</v>
      </c>
      <c r="AH20" s="481">
        <f t="shared" si="0"/>
        <v>29444431.710000098</v>
      </c>
    </row>
    <row r="21" spans="1:34" s="459" customFormat="1" ht="15" customHeight="1">
      <c r="A21" s="482">
        <v>12</v>
      </c>
      <c r="B21" s="483">
        <f t="shared" si="1"/>
        <v>45351</v>
      </c>
      <c r="C21" s="498"/>
      <c r="D21" s="496">
        <v>0</v>
      </c>
      <c r="E21" s="496">
        <v>0</v>
      </c>
      <c r="F21" s="496">
        <v>0</v>
      </c>
      <c r="G21" s="496">
        <v>0</v>
      </c>
      <c r="H21" s="496">
        <v>0</v>
      </c>
      <c r="I21" s="496">
        <v>0</v>
      </c>
      <c r="J21" s="496">
        <v>0</v>
      </c>
      <c r="K21" s="496">
        <v>0</v>
      </c>
      <c r="L21" s="496">
        <v>0</v>
      </c>
      <c r="M21" s="498">
        <v>0</v>
      </c>
      <c r="N21" s="471">
        <v>3966083.6100000199</v>
      </c>
      <c r="O21" s="471">
        <v>13171599.689999901</v>
      </c>
      <c r="P21" s="471">
        <v>6375983.0700000301</v>
      </c>
      <c r="Q21" s="471">
        <v>1108358.1100000001</v>
      </c>
      <c r="R21" s="471">
        <v>206338.81</v>
      </c>
      <c r="S21" s="472">
        <v>188095.9</v>
      </c>
      <c r="T21" s="472">
        <v>127783.96</v>
      </c>
      <c r="U21" s="472">
        <v>245529.3</v>
      </c>
      <c r="V21" s="471">
        <v>56713.88</v>
      </c>
      <c r="W21" s="471">
        <v>143994.84</v>
      </c>
      <c r="X21" s="472">
        <v>238674</v>
      </c>
      <c r="Y21" s="472">
        <v>5112.2299999999996</v>
      </c>
      <c r="Z21" s="471">
        <v>34977.130000000005</v>
      </c>
      <c r="AA21" s="471">
        <v>5626.35</v>
      </c>
      <c r="AB21" s="471">
        <v>5556</v>
      </c>
      <c r="AC21" s="471">
        <v>11452.58</v>
      </c>
      <c r="AD21" s="471"/>
      <c r="AE21" s="471"/>
      <c r="AF21" s="506"/>
      <c r="AG21" s="509">
        <v>24023.78</v>
      </c>
      <c r="AH21" s="481">
        <f t="shared" si="0"/>
        <v>25915903.23999995</v>
      </c>
    </row>
    <row r="22" spans="1:34" s="459" customFormat="1" ht="15" customHeight="1">
      <c r="A22" s="482">
        <v>13</v>
      </c>
      <c r="B22" s="483">
        <f t="shared" si="1"/>
        <v>45322</v>
      </c>
      <c r="C22" s="498"/>
      <c r="D22" s="496">
        <v>0</v>
      </c>
      <c r="E22" s="496">
        <v>0</v>
      </c>
      <c r="F22" s="496">
        <v>0</v>
      </c>
      <c r="G22" s="496">
        <v>0</v>
      </c>
      <c r="H22" s="496">
        <v>0</v>
      </c>
      <c r="I22" s="496">
        <v>0</v>
      </c>
      <c r="J22" s="496">
        <v>0</v>
      </c>
      <c r="K22" s="496">
        <v>0</v>
      </c>
      <c r="L22" s="496">
        <v>0</v>
      </c>
      <c r="M22" s="496">
        <v>0</v>
      </c>
      <c r="N22" s="498">
        <v>0</v>
      </c>
      <c r="O22" s="471">
        <v>5366188.5200000098</v>
      </c>
      <c r="P22" s="471">
        <v>10578526.220000001</v>
      </c>
      <c r="Q22" s="471">
        <v>6099673.4800000293</v>
      </c>
      <c r="R22" s="471">
        <v>1036899.89</v>
      </c>
      <c r="S22" s="472">
        <v>425519.50999999902</v>
      </c>
      <c r="T22" s="472">
        <v>442358.26</v>
      </c>
      <c r="U22" s="472">
        <v>352959.05</v>
      </c>
      <c r="V22" s="471">
        <v>123437.52</v>
      </c>
      <c r="W22" s="471">
        <v>140836.54999999999</v>
      </c>
      <c r="X22" s="472">
        <v>75295.63</v>
      </c>
      <c r="Y22" s="472">
        <v>84228.6</v>
      </c>
      <c r="Z22" s="471">
        <v>67585.27</v>
      </c>
      <c r="AA22" s="471">
        <v>63288.5</v>
      </c>
      <c r="AB22" s="471">
        <v>53658.46</v>
      </c>
      <c r="AC22" s="471">
        <v>11820.31</v>
      </c>
      <c r="AD22" s="471"/>
      <c r="AE22" s="471"/>
      <c r="AF22" s="506"/>
      <c r="AG22" s="509">
        <v>13541.52</v>
      </c>
      <c r="AH22" s="481">
        <f t="shared" si="0"/>
        <v>24935817.29000004</v>
      </c>
    </row>
    <row r="23" spans="1:34" s="459" customFormat="1" ht="15" customHeight="1">
      <c r="A23" s="482">
        <v>14</v>
      </c>
      <c r="B23" s="483">
        <f t="shared" si="1"/>
        <v>45291</v>
      </c>
      <c r="C23" s="498"/>
      <c r="D23" s="496">
        <v>0</v>
      </c>
      <c r="E23" s="496">
        <v>0</v>
      </c>
      <c r="F23" s="496">
        <v>0</v>
      </c>
      <c r="G23" s="496">
        <v>0</v>
      </c>
      <c r="H23" s="496">
        <v>0</v>
      </c>
      <c r="I23" s="496">
        <v>0</v>
      </c>
      <c r="J23" s="496">
        <v>0</v>
      </c>
      <c r="K23" s="496">
        <v>0</v>
      </c>
      <c r="L23" s="496">
        <v>0</v>
      </c>
      <c r="M23" s="496">
        <v>0</v>
      </c>
      <c r="N23" s="496">
        <v>0</v>
      </c>
      <c r="O23" s="498">
        <v>0</v>
      </c>
      <c r="P23" s="471">
        <v>6493047.5099999802</v>
      </c>
      <c r="Q23" s="471">
        <v>11851495.969999999</v>
      </c>
      <c r="R23" s="471">
        <v>5668101.3800000399</v>
      </c>
      <c r="S23" s="472">
        <v>311988.5</v>
      </c>
      <c r="T23" s="472">
        <v>139201.21</v>
      </c>
      <c r="U23" s="472">
        <v>133469.78</v>
      </c>
      <c r="V23" s="471">
        <v>169254</v>
      </c>
      <c r="W23" s="471">
        <v>193658.45</v>
      </c>
      <c r="X23" s="472">
        <v>108548.8</v>
      </c>
      <c r="Y23" s="472">
        <v>143069.54999999999</v>
      </c>
      <c r="Z23" s="471">
        <v>62116.57</v>
      </c>
      <c r="AA23" s="471">
        <v>81463.06</v>
      </c>
      <c r="AB23" s="471">
        <v>43966.43</v>
      </c>
      <c r="AC23" s="471">
        <v>51596.15</v>
      </c>
      <c r="AD23" s="471"/>
      <c r="AE23" s="471"/>
      <c r="AF23" s="506"/>
      <c r="AG23" s="509">
        <v>77253.400000000009</v>
      </c>
      <c r="AH23" s="481">
        <f t="shared" si="0"/>
        <v>25528230.760000017</v>
      </c>
    </row>
    <row r="24" spans="1:34" s="459" customFormat="1" ht="15" customHeight="1">
      <c r="A24" s="482">
        <v>15</v>
      </c>
      <c r="B24" s="483">
        <f t="shared" si="1"/>
        <v>45260</v>
      </c>
      <c r="C24" s="498"/>
      <c r="D24" s="496">
        <v>0</v>
      </c>
      <c r="E24" s="496">
        <v>0</v>
      </c>
      <c r="F24" s="496">
        <v>0</v>
      </c>
      <c r="G24" s="496">
        <v>0</v>
      </c>
      <c r="H24" s="496">
        <v>0</v>
      </c>
      <c r="I24" s="496">
        <v>0</v>
      </c>
      <c r="J24" s="496">
        <v>0</v>
      </c>
      <c r="K24" s="496">
        <v>0</v>
      </c>
      <c r="L24" s="496">
        <v>0</v>
      </c>
      <c r="M24" s="496">
        <v>0</v>
      </c>
      <c r="N24" s="496">
        <v>0</v>
      </c>
      <c r="O24" s="498">
        <v>0</v>
      </c>
      <c r="P24" s="498">
        <v>0</v>
      </c>
      <c r="Q24" s="471">
        <v>4976692.7900000196</v>
      </c>
      <c r="R24" s="471">
        <v>10995306.92</v>
      </c>
      <c r="S24" s="472">
        <v>4266537.6800000099</v>
      </c>
      <c r="T24" s="472">
        <v>370375.25</v>
      </c>
      <c r="U24" s="472">
        <v>260186.1</v>
      </c>
      <c r="V24" s="471">
        <v>72496.08</v>
      </c>
      <c r="W24" s="471">
        <v>131658.93</v>
      </c>
      <c r="X24" s="472">
        <v>92527.42</v>
      </c>
      <c r="Y24" s="472">
        <v>79520.94</v>
      </c>
      <c r="Z24" s="471">
        <v>15564.83</v>
      </c>
      <c r="AA24" s="471">
        <v>11415.96</v>
      </c>
      <c r="AB24" s="471">
        <v>18609.560000000001</v>
      </c>
      <c r="AC24" s="471">
        <v>29596.13</v>
      </c>
      <c r="AD24" s="471"/>
      <c r="AE24" s="471"/>
      <c r="AF24" s="506"/>
      <c r="AG24" s="509">
        <v>29944</v>
      </c>
      <c r="AH24" s="481">
        <f t="shared" si="0"/>
        <v>21350432.59000003</v>
      </c>
    </row>
    <row r="25" spans="1:34" s="459" customFormat="1" ht="15" customHeight="1">
      <c r="A25" s="482">
        <v>16</v>
      </c>
      <c r="B25" s="483">
        <f t="shared" si="1"/>
        <v>45230</v>
      </c>
      <c r="C25" s="498"/>
      <c r="D25" s="496">
        <v>0</v>
      </c>
      <c r="E25" s="496">
        <v>0</v>
      </c>
      <c r="F25" s="496">
        <v>0</v>
      </c>
      <c r="G25" s="496">
        <v>0</v>
      </c>
      <c r="H25" s="496">
        <v>0</v>
      </c>
      <c r="I25" s="496">
        <v>0</v>
      </c>
      <c r="J25" s="496">
        <v>0</v>
      </c>
      <c r="K25" s="496">
        <v>0</v>
      </c>
      <c r="L25" s="496">
        <v>0</v>
      </c>
      <c r="M25" s="496">
        <v>0</v>
      </c>
      <c r="N25" s="496">
        <v>0</v>
      </c>
      <c r="O25" s="497">
        <v>0</v>
      </c>
      <c r="P25" s="496">
        <v>0</v>
      </c>
      <c r="Q25" s="498">
        <v>0</v>
      </c>
      <c r="R25" s="471">
        <v>6440553.4700000603</v>
      </c>
      <c r="S25" s="472">
        <v>11288380.460000001</v>
      </c>
      <c r="T25" s="472">
        <v>6628254.7199999997</v>
      </c>
      <c r="U25" s="472">
        <v>669106.34</v>
      </c>
      <c r="V25" s="471">
        <v>189524.21</v>
      </c>
      <c r="W25" s="471">
        <v>290330.32</v>
      </c>
      <c r="X25" s="472">
        <v>266204.15000000002</v>
      </c>
      <c r="Y25" s="472">
        <v>103123.62</v>
      </c>
      <c r="Z25" s="471">
        <v>49447.41</v>
      </c>
      <c r="AA25" s="471">
        <v>55956.87</v>
      </c>
      <c r="AB25" s="471">
        <v>34650.629999999997</v>
      </c>
      <c r="AC25" s="471">
        <v>24044.13</v>
      </c>
      <c r="AD25" s="471"/>
      <c r="AE25" s="471"/>
      <c r="AF25" s="506"/>
      <c r="AG25" s="509">
        <v>30938.729999999996</v>
      </c>
      <c r="AH25" s="481">
        <f t="shared" si="0"/>
        <v>26070515.060000058</v>
      </c>
    </row>
    <row r="26" spans="1:34" s="459" customFormat="1" ht="15" customHeight="1">
      <c r="A26" s="482">
        <v>17</v>
      </c>
      <c r="B26" s="483">
        <f t="shared" si="1"/>
        <v>45199</v>
      </c>
      <c r="C26" s="498"/>
      <c r="D26" s="496">
        <v>0</v>
      </c>
      <c r="E26" s="496">
        <v>0</v>
      </c>
      <c r="F26" s="496">
        <v>0</v>
      </c>
      <c r="G26" s="496">
        <v>0</v>
      </c>
      <c r="H26" s="496">
        <v>0</v>
      </c>
      <c r="I26" s="496">
        <v>0</v>
      </c>
      <c r="J26" s="496">
        <v>0</v>
      </c>
      <c r="K26" s="496">
        <v>0</v>
      </c>
      <c r="L26" s="496">
        <v>0</v>
      </c>
      <c r="M26" s="496">
        <v>0</v>
      </c>
      <c r="N26" s="496">
        <v>0</v>
      </c>
      <c r="O26" s="497">
        <v>0</v>
      </c>
      <c r="P26" s="496">
        <v>0</v>
      </c>
      <c r="Q26" s="496">
        <v>0</v>
      </c>
      <c r="R26" s="498">
        <v>0</v>
      </c>
      <c r="S26" s="472">
        <v>6458435.8600000702</v>
      </c>
      <c r="T26" s="472">
        <v>11571369.51</v>
      </c>
      <c r="U26" s="472">
        <v>6608059.3100000303</v>
      </c>
      <c r="V26" s="471">
        <v>1072492.27</v>
      </c>
      <c r="W26" s="471">
        <v>192334.87</v>
      </c>
      <c r="X26" s="472">
        <v>127004.3</v>
      </c>
      <c r="Y26" s="472">
        <v>130239.36</v>
      </c>
      <c r="Z26" s="471">
        <v>47099.13</v>
      </c>
      <c r="AA26" s="471">
        <v>68719.350000000006</v>
      </c>
      <c r="AB26" s="471">
        <v>67426.47</v>
      </c>
      <c r="AC26" s="471">
        <v>28752.68</v>
      </c>
      <c r="AD26" s="471"/>
      <c r="AE26" s="471"/>
      <c r="AF26" s="514"/>
      <c r="AG26" s="509">
        <v>173796.27000000002</v>
      </c>
      <c r="AH26" s="481">
        <f t="shared" si="0"/>
        <v>26545729.380000103</v>
      </c>
    </row>
    <row r="27" spans="1:34" s="459" customFormat="1" ht="15" customHeight="1">
      <c r="A27" s="482">
        <v>18</v>
      </c>
      <c r="B27" s="483">
        <f t="shared" si="1"/>
        <v>45169</v>
      </c>
      <c r="C27" s="498"/>
      <c r="D27" s="496">
        <v>0</v>
      </c>
      <c r="E27" s="496">
        <v>0</v>
      </c>
      <c r="F27" s="496">
        <v>0</v>
      </c>
      <c r="G27" s="496">
        <v>0</v>
      </c>
      <c r="H27" s="496">
        <v>0</v>
      </c>
      <c r="I27" s="496">
        <v>0</v>
      </c>
      <c r="J27" s="496">
        <v>0</v>
      </c>
      <c r="K27" s="496">
        <v>0</v>
      </c>
      <c r="L27" s="496">
        <v>0</v>
      </c>
      <c r="M27" s="496">
        <v>0</v>
      </c>
      <c r="N27" s="496">
        <v>0</v>
      </c>
      <c r="O27" s="497">
        <v>0</v>
      </c>
      <c r="P27" s="496">
        <v>0</v>
      </c>
      <c r="Q27" s="497">
        <v>0</v>
      </c>
      <c r="R27" s="496">
        <v>0</v>
      </c>
      <c r="S27" s="498">
        <v>0</v>
      </c>
      <c r="T27" s="472">
        <v>4751236.4099999797</v>
      </c>
      <c r="U27" s="472">
        <v>9732932.8900000099</v>
      </c>
      <c r="V27" s="471">
        <v>5271908.23999999</v>
      </c>
      <c r="W27" s="471">
        <v>383735.94</v>
      </c>
      <c r="X27" s="472">
        <v>83103.59</v>
      </c>
      <c r="Y27" s="472">
        <v>42703.55</v>
      </c>
      <c r="Z27" s="471">
        <v>52664.62</v>
      </c>
      <c r="AA27" s="471">
        <v>42737.67</v>
      </c>
      <c r="AB27" s="471">
        <v>37875.5</v>
      </c>
      <c r="AC27" s="471">
        <v>28726.34</v>
      </c>
      <c r="AD27" s="471"/>
      <c r="AE27" s="471"/>
      <c r="AF27" s="506"/>
      <c r="AG27" s="515">
        <v>292060.83999999991</v>
      </c>
      <c r="AH27" s="481">
        <f t="shared" si="0"/>
        <v>20719685.589999985</v>
      </c>
    </row>
    <row r="28" spans="1:34" s="459" customFormat="1" ht="15" customHeight="1">
      <c r="A28" s="482">
        <v>19</v>
      </c>
      <c r="B28" s="483">
        <f t="shared" si="1"/>
        <v>45138</v>
      </c>
      <c r="C28" s="498"/>
      <c r="D28" s="496">
        <v>0</v>
      </c>
      <c r="E28" s="496">
        <v>0</v>
      </c>
      <c r="F28" s="496">
        <v>0</v>
      </c>
      <c r="G28" s="496">
        <v>0</v>
      </c>
      <c r="H28" s="496">
        <v>0</v>
      </c>
      <c r="I28" s="496">
        <v>0</v>
      </c>
      <c r="J28" s="496">
        <v>0</v>
      </c>
      <c r="K28" s="496">
        <v>0</v>
      </c>
      <c r="L28" s="496">
        <v>0</v>
      </c>
      <c r="M28" s="496">
        <v>0</v>
      </c>
      <c r="N28" s="496">
        <v>0</v>
      </c>
      <c r="O28" s="497">
        <v>0</v>
      </c>
      <c r="P28" s="496">
        <v>0</v>
      </c>
      <c r="Q28" s="497">
        <v>0</v>
      </c>
      <c r="R28" s="496">
        <v>0</v>
      </c>
      <c r="S28" s="496">
        <v>0</v>
      </c>
      <c r="T28" s="498">
        <v>0</v>
      </c>
      <c r="U28" s="472">
        <v>5409288.1200000606</v>
      </c>
      <c r="V28" s="471">
        <v>10561717.12000001</v>
      </c>
      <c r="W28" s="471">
        <v>6579582.0100000398</v>
      </c>
      <c r="X28" s="472">
        <v>2505238.7200000002</v>
      </c>
      <c r="Y28" s="472">
        <v>375245.82</v>
      </c>
      <c r="Z28" s="471">
        <v>116233.56</v>
      </c>
      <c r="AA28" s="471">
        <v>80476.08</v>
      </c>
      <c r="AB28" s="471">
        <v>73901.25</v>
      </c>
      <c r="AC28" s="471">
        <v>56652.22</v>
      </c>
      <c r="AD28" s="471"/>
      <c r="AE28" s="471"/>
      <c r="AF28" s="506"/>
      <c r="AG28" s="510">
        <v>109398.56</v>
      </c>
      <c r="AH28" s="481">
        <f t="shared" si="0"/>
        <v>25867733.460000105</v>
      </c>
    </row>
    <row r="29" spans="1:34" s="459" customFormat="1" ht="15" customHeight="1">
      <c r="A29" s="482">
        <v>20</v>
      </c>
      <c r="B29" s="483">
        <f t="shared" si="1"/>
        <v>45107</v>
      </c>
      <c r="C29" s="498"/>
      <c r="D29" s="496">
        <v>0</v>
      </c>
      <c r="E29" s="496">
        <v>0</v>
      </c>
      <c r="F29" s="496">
        <v>0</v>
      </c>
      <c r="G29" s="496">
        <v>0</v>
      </c>
      <c r="H29" s="496">
        <v>0</v>
      </c>
      <c r="I29" s="496">
        <v>0</v>
      </c>
      <c r="J29" s="496">
        <v>0</v>
      </c>
      <c r="K29" s="496">
        <v>0</v>
      </c>
      <c r="L29" s="496">
        <v>0</v>
      </c>
      <c r="M29" s="496">
        <v>0</v>
      </c>
      <c r="N29" s="496">
        <v>0</v>
      </c>
      <c r="O29" s="497">
        <v>0</v>
      </c>
      <c r="P29" s="496">
        <v>0</v>
      </c>
      <c r="Q29" s="497">
        <v>0</v>
      </c>
      <c r="R29" s="496">
        <v>0</v>
      </c>
      <c r="S29" s="497">
        <v>0</v>
      </c>
      <c r="T29" s="496">
        <v>0</v>
      </c>
      <c r="U29" s="498">
        <v>0</v>
      </c>
      <c r="V29" s="471">
        <v>4249646.1000000099</v>
      </c>
      <c r="W29" s="471">
        <v>8770526.7600000296</v>
      </c>
      <c r="X29" s="472">
        <v>3746086.79999999</v>
      </c>
      <c r="Y29" s="472">
        <v>1715969.28</v>
      </c>
      <c r="Z29" s="471">
        <v>286943.38</v>
      </c>
      <c r="AA29" s="471">
        <v>120987.56</v>
      </c>
      <c r="AB29" s="471">
        <v>16034.51</v>
      </c>
      <c r="AC29" s="471">
        <v>11421.44</v>
      </c>
      <c r="AD29" s="471"/>
      <c r="AE29" s="471"/>
      <c r="AF29" s="506"/>
      <c r="AG29" s="509">
        <v>152251.84000000003</v>
      </c>
      <c r="AH29" s="481">
        <f t="shared" si="0"/>
        <v>19069867.670000032</v>
      </c>
    </row>
    <row r="30" spans="1:34" s="459" customFormat="1" ht="15" customHeight="1">
      <c r="A30" s="482">
        <v>21</v>
      </c>
      <c r="B30" s="483">
        <f t="shared" si="1"/>
        <v>45077</v>
      </c>
      <c r="C30" s="498"/>
      <c r="D30" s="496">
        <v>0</v>
      </c>
      <c r="E30" s="496">
        <v>0</v>
      </c>
      <c r="F30" s="496">
        <v>0</v>
      </c>
      <c r="G30" s="496">
        <v>0</v>
      </c>
      <c r="H30" s="496">
        <v>0</v>
      </c>
      <c r="I30" s="496">
        <v>0</v>
      </c>
      <c r="J30" s="496">
        <v>0</v>
      </c>
      <c r="K30" s="496">
        <v>0</v>
      </c>
      <c r="L30" s="496">
        <v>0</v>
      </c>
      <c r="M30" s="496">
        <v>0</v>
      </c>
      <c r="N30" s="496">
        <v>0</v>
      </c>
      <c r="O30" s="497">
        <v>0</v>
      </c>
      <c r="P30" s="496">
        <v>0</v>
      </c>
      <c r="Q30" s="497">
        <v>0</v>
      </c>
      <c r="R30" s="496">
        <v>0</v>
      </c>
      <c r="S30" s="497">
        <v>0</v>
      </c>
      <c r="T30" s="497">
        <v>0</v>
      </c>
      <c r="U30" s="497">
        <v>0</v>
      </c>
      <c r="V30" s="496">
        <v>0</v>
      </c>
      <c r="W30" s="471">
        <v>5574948.2400000598</v>
      </c>
      <c r="X30" s="472">
        <v>7689310.1700000204</v>
      </c>
      <c r="Y30" s="472">
        <v>4638337.49</v>
      </c>
      <c r="Z30" s="471">
        <v>1314465.01</v>
      </c>
      <c r="AA30" s="471">
        <v>395469.320000001</v>
      </c>
      <c r="AB30" s="471">
        <v>90278.3</v>
      </c>
      <c r="AC30" s="471">
        <v>58037.93</v>
      </c>
      <c r="AD30" s="471"/>
      <c r="AE30" s="471"/>
      <c r="AF30" s="506"/>
      <c r="AG30" s="509">
        <v>65244.53</v>
      </c>
      <c r="AH30" s="481">
        <f t="shared" si="0"/>
        <v>19826090.990000084</v>
      </c>
    </row>
    <row r="31" spans="1:34" s="459" customFormat="1" ht="15" customHeight="1">
      <c r="A31" s="482">
        <v>22</v>
      </c>
      <c r="B31" s="483">
        <f t="shared" si="1"/>
        <v>45046</v>
      </c>
      <c r="C31" s="498"/>
      <c r="D31" s="496">
        <v>0</v>
      </c>
      <c r="E31" s="496">
        <v>0</v>
      </c>
      <c r="F31" s="496">
        <v>0</v>
      </c>
      <c r="G31" s="496">
        <v>0</v>
      </c>
      <c r="H31" s="496">
        <v>0</v>
      </c>
      <c r="I31" s="496">
        <v>0</v>
      </c>
      <c r="J31" s="496">
        <v>0</v>
      </c>
      <c r="K31" s="496">
        <v>0</v>
      </c>
      <c r="L31" s="496">
        <v>0</v>
      </c>
      <c r="M31" s="496">
        <v>0</v>
      </c>
      <c r="N31" s="496">
        <v>0</v>
      </c>
      <c r="O31" s="497">
        <v>0</v>
      </c>
      <c r="P31" s="496">
        <v>0</v>
      </c>
      <c r="Q31" s="497">
        <v>0</v>
      </c>
      <c r="R31" s="496">
        <v>0</v>
      </c>
      <c r="S31" s="497">
        <v>0</v>
      </c>
      <c r="T31" s="497">
        <v>0</v>
      </c>
      <c r="U31" s="497">
        <v>0</v>
      </c>
      <c r="V31" s="496">
        <v>0</v>
      </c>
      <c r="W31" s="496">
        <v>0</v>
      </c>
      <c r="X31" s="472">
        <v>5732860.0200000005</v>
      </c>
      <c r="Y31" s="472">
        <v>9920355.0300000105</v>
      </c>
      <c r="Z31" s="471">
        <v>4998075.8500000099</v>
      </c>
      <c r="AA31" s="471">
        <v>2190715.4700000002</v>
      </c>
      <c r="AB31" s="471">
        <v>308522.84000000003</v>
      </c>
      <c r="AC31" s="471">
        <v>237945.65</v>
      </c>
      <c r="AD31" s="471"/>
      <c r="AE31" s="471"/>
      <c r="AF31" s="506"/>
      <c r="AG31" s="509">
        <v>111811.28</v>
      </c>
      <c r="AH31" s="481">
        <f t="shared" si="0"/>
        <v>23500286.140000019</v>
      </c>
    </row>
    <row r="32" spans="1:34" s="459" customFormat="1" ht="15" customHeight="1">
      <c r="A32" s="482">
        <v>23</v>
      </c>
      <c r="B32" s="483">
        <f t="shared" si="1"/>
        <v>45016</v>
      </c>
      <c r="C32" s="498"/>
      <c r="D32" s="496">
        <v>0</v>
      </c>
      <c r="E32" s="496">
        <v>0</v>
      </c>
      <c r="F32" s="496">
        <v>0</v>
      </c>
      <c r="G32" s="496">
        <v>0</v>
      </c>
      <c r="H32" s="496">
        <v>0</v>
      </c>
      <c r="I32" s="496">
        <v>0</v>
      </c>
      <c r="J32" s="496">
        <v>0</v>
      </c>
      <c r="K32" s="496">
        <v>0</v>
      </c>
      <c r="L32" s="496">
        <v>0</v>
      </c>
      <c r="M32" s="496">
        <v>0</v>
      </c>
      <c r="N32" s="496">
        <v>0</v>
      </c>
      <c r="O32" s="497">
        <v>0</v>
      </c>
      <c r="P32" s="496">
        <v>0</v>
      </c>
      <c r="Q32" s="497">
        <v>0</v>
      </c>
      <c r="R32" s="496">
        <v>0</v>
      </c>
      <c r="S32" s="497">
        <v>0</v>
      </c>
      <c r="T32" s="497">
        <v>0</v>
      </c>
      <c r="U32" s="497">
        <v>0</v>
      </c>
      <c r="V32" s="496">
        <v>0</v>
      </c>
      <c r="W32" s="497">
        <v>0</v>
      </c>
      <c r="X32" s="496">
        <v>0</v>
      </c>
      <c r="Y32" s="472">
        <v>4329423.7000000104</v>
      </c>
      <c r="Z32" s="471">
        <v>8023070.55999998</v>
      </c>
      <c r="AA32" s="471">
        <v>5250612.8200000199</v>
      </c>
      <c r="AB32" s="471">
        <v>848918.44</v>
      </c>
      <c r="AC32" s="471">
        <v>164897.43</v>
      </c>
      <c r="AD32" s="471"/>
      <c r="AE32" s="471"/>
      <c r="AF32" s="506"/>
      <c r="AG32" s="509">
        <v>121907.43</v>
      </c>
      <c r="AH32" s="481">
        <f t="shared" si="0"/>
        <v>18738830.38000001</v>
      </c>
    </row>
    <row r="33" spans="1:79" s="459" customFormat="1" ht="15" customHeight="1">
      <c r="A33" s="482">
        <v>24</v>
      </c>
      <c r="B33" s="483">
        <f t="shared" si="1"/>
        <v>44985</v>
      </c>
      <c r="C33" s="498"/>
      <c r="D33" s="496">
        <v>0</v>
      </c>
      <c r="E33" s="496">
        <v>0</v>
      </c>
      <c r="F33" s="496">
        <v>0</v>
      </c>
      <c r="G33" s="496">
        <v>0</v>
      </c>
      <c r="H33" s="496">
        <v>0</v>
      </c>
      <c r="I33" s="496">
        <v>0</v>
      </c>
      <c r="J33" s="496">
        <v>0</v>
      </c>
      <c r="K33" s="496">
        <v>0</v>
      </c>
      <c r="L33" s="496">
        <v>0</v>
      </c>
      <c r="M33" s="496">
        <v>0</v>
      </c>
      <c r="N33" s="496">
        <v>0</v>
      </c>
      <c r="O33" s="497">
        <v>0</v>
      </c>
      <c r="P33" s="496">
        <v>0</v>
      </c>
      <c r="Q33" s="497">
        <v>0</v>
      </c>
      <c r="R33" s="496">
        <v>0</v>
      </c>
      <c r="S33" s="497">
        <v>0</v>
      </c>
      <c r="T33" s="497">
        <v>0</v>
      </c>
      <c r="U33" s="497">
        <v>0</v>
      </c>
      <c r="V33" s="496">
        <v>0</v>
      </c>
      <c r="W33" s="497">
        <v>0</v>
      </c>
      <c r="X33" s="497">
        <v>0</v>
      </c>
      <c r="Y33" s="496">
        <v>0</v>
      </c>
      <c r="Z33" s="471">
        <v>3528227.79999999</v>
      </c>
      <c r="AA33" s="471">
        <v>8128942.809999981</v>
      </c>
      <c r="AB33" s="471">
        <v>5806587.5499999896</v>
      </c>
      <c r="AC33" s="471">
        <v>2487200.81</v>
      </c>
      <c r="AD33" s="471"/>
      <c r="AE33" s="471"/>
      <c r="AF33" s="506"/>
      <c r="AG33" s="509">
        <v>246017.37</v>
      </c>
      <c r="AH33" s="481">
        <f t="shared" si="0"/>
        <v>20196976.339999959</v>
      </c>
    </row>
    <row r="34" spans="1:79" s="459" customFormat="1" ht="15" customHeight="1">
      <c r="A34" s="482">
        <v>25</v>
      </c>
      <c r="B34" s="483">
        <f t="shared" si="1"/>
        <v>44957</v>
      </c>
      <c r="C34" s="498"/>
      <c r="D34" s="496">
        <v>0</v>
      </c>
      <c r="E34" s="496">
        <v>0</v>
      </c>
      <c r="F34" s="496">
        <v>0</v>
      </c>
      <c r="G34" s="496">
        <v>0</v>
      </c>
      <c r="H34" s="496">
        <v>0</v>
      </c>
      <c r="I34" s="496">
        <v>0</v>
      </c>
      <c r="J34" s="496">
        <v>0</v>
      </c>
      <c r="K34" s="496">
        <v>0</v>
      </c>
      <c r="L34" s="496">
        <v>0</v>
      </c>
      <c r="M34" s="496">
        <v>0</v>
      </c>
      <c r="N34" s="496">
        <v>0</v>
      </c>
      <c r="O34" s="497">
        <v>0</v>
      </c>
      <c r="P34" s="496">
        <v>0</v>
      </c>
      <c r="Q34" s="497">
        <v>0</v>
      </c>
      <c r="R34" s="496">
        <v>0</v>
      </c>
      <c r="S34" s="497">
        <v>0</v>
      </c>
      <c r="T34" s="497">
        <v>0</v>
      </c>
      <c r="U34" s="497">
        <v>0</v>
      </c>
      <c r="V34" s="496">
        <v>0</v>
      </c>
      <c r="W34" s="497">
        <v>0</v>
      </c>
      <c r="X34" s="497">
        <v>0</v>
      </c>
      <c r="Y34" s="497">
        <v>0</v>
      </c>
      <c r="Z34" s="496">
        <v>0</v>
      </c>
      <c r="AA34" s="471">
        <v>3568379.8999999994</v>
      </c>
      <c r="AB34" s="471">
        <v>7561389.5600000005</v>
      </c>
      <c r="AC34" s="471">
        <v>4192434.94</v>
      </c>
      <c r="AD34" s="471"/>
      <c r="AE34" s="471"/>
      <c r="AF34" s="506"/>
      <c r="AG34" s="509">
        <v>668684.93999999994</v>
      </c>
      <c r="AH34" s="481">
        <f t="shared" si="0"/>
        <v>15990889.34</v>
      </c>
    </row>
    <row r="35" spans="1:79" s="459" customFormat="1" ht="15" customHeight="1">
      <c r="A35" s="482">
        <v>26</v>
      </c>
      <c r="B35" s="483">
        <f t="shared" si="1"/>
        <v>44926</v>
      </c>
      <c r="C35" s="498"/>
      <c r="D35" s="496">
        <v>0</v>
      </c>
      <c r="E35" s="496">
        <v>0</v>
      </c>
      <c r="F35" s="496">
        <v>0</v>
      </c>
      <c r="G35" s="496">
        <v>0</v>
      </c>
      <c r="H35" s="496">
        <v>0</v>
      </c>
      <c r="I35" s="496">
        <v>0</v>
      </c>
      <c r="J35" s="496">
        <v>0</v>
      </c>
      <c r="K35" s="496">
        <v>0</v>
      </c>
      <c r="L35" s="496">
        <v>0</v>
      </c>
      <c r="M35" s="496">
        <v>0</v>
      </c>
      <c r="N35" s="496">
        <v>0</v>
      </c>
      <c r="O35" s="497">
        <v>0</v>
      </c>
      <c r="P35" s="496">
        <v>0</v>
      </c>
      <c r="Q35" s="497">
        <v>0</v>
      </c>
      <c r="R35" s="496">
        <v>0</v>
      </c>
      <c r="S35" s="497">
        <v>0</v>
      </c>
      <c r="T35" s="497">
        <v>0</v>
      </c>
      <c r="U35" s="497">
        <v>0</v>
      </c>
      <c r="V35" s="496">
        <v>0</v>
      </c>
      <c r="W35" s="497">
        <v>0</v>
      </c>
      <c r="X35" s="497">
        <v>0</v>
      </c>
      <c r="Y35" s="497">
        <v>0</v>
      </c>
      <c r="Z35" s="496">
        <v>0</v>
      </c>
      <c r="AA35" s="496">
        <v>0</v>
      </c>
      <c r="AB35" s="471">
        <v>4650308.7400000207</v>
      </c>
      <c r="AC35" s="471">
        <v>7318911.7700000396</v>
      </c>
      <c r="AD35" s="471"/>
      <c r="AE35" s="471"/>
      <c r="AF35" s="506"/>
      <c r="AG35" s="509">
        <v>679112.33</v>
      </c>
      <c r="AH35" s="481">
        <f t="shared" si="0"/>
        <v>12648332.840000061</v>
      </c>
    </row>
    <row r="36" spans="1:79" s="459" customFormat="1" ht="15" customHeight="1">
      <c r="A36" s="482">
        <v>27</v>
      </c>
      <c r="B36" s="483">
        <f t="shared" si="1"/>
        <v>44895</v>
      </c>
      <c r="C36" s="498"/>
      <c r="D36" s="496">
        <v>0</v>
      </c>
      <c r="E36" s="496">
        <v>0</v>
      </c>
      <c r="F36" s="496">
        <v>0</v>
      </c>
      <c r="G36" s="496">
        <v>0</v>
      </c>
      <c r="H36" s="496">
        <v>0</v>
      </c>
      <c r="I36" s="496">
        <v>0</v>
      </c>
      <c r="J36" s="496">
        <v>0</v>
      </c>
      <c r="K36" s="496">
        <v>0</v>
      </c>
      <c r="L36" s="496">
        <v>0</v>
      </c>
      <c r="M36" s="496">
        <v>0</v>
      </c>
      <c r="N36" s="496">
        <v>0</v>
      </c>
      <c r="O36" s="497">
        <v>0</v>
      </c>
      <c r="P36" s="496">
        <v>0</v>
      </c>
      <c r="Q36" s="497">
        <v>0</v>
      </c>
      <c r="R36" s="496">
        <v>0</v>
      </c>
      <c r="S36" s="497">
        <v>0</v>
      </c>
      <c r="T36" s="497">
        <v>0</v>
      </c>
      <c r="U36" s="497">
        <v>0</v>
      </c>
      <c r="V36" s="496">
        <v>0</v>
      </c>
      <c r="W36" s="497">
        <v>0</v>
      </c>
      <c r="X36" s="497">
        <v>0</v>
      </c>
      <c r="Y36" s="497">
        <v>0</v>
      </c>
      <c r="Z36" s="496">
        <v>0</v>
      </c>
      <c r="AA36" s="497">
        <v>0</v>
      </c>
      <c r="AB36" s="496">
        <v>0</v>
      </c>
      <c r="AC36" s="471">
        <v>4443524.2500000298</v>
      </c>
      <c r="AD36" s="471"/>
      <c r="AE36" s="471"/>
      <c r="AF36" s="506"/>
      <c r="AG36" s="509">
        <v>1516752.76</v>
      </c>
      <c r="AH36" s="481">
        <f t="shared" si="0"/>
        <v>5960277.0100000296</v>
      </c>
    </row>
    <row r="37" spans="1:79" s="459" customFormat="1" ht="15" customHeight="1">
      <c r="A37" s="482">
        <v>28</v>
      </c>
      <c r="B37" s="483">
        <f t="shared" si="1"/>
        <v>44865</v>
      </c>
      <c r="C37" s="498"/>
      <c r="D37" s="496"/>
      <c r="E37" s="496"/>
      <c r="F37" s="496"/>
      <c r="G37" s="496"/>
      <c r="H37" s="496"/>
      <c r="I37" s="496"/>
      <c r="J37" s="496"/>
      <c r="K37" s="496"/>
      <c r="L37" s="496"/>
      <c r="M37" s="496"/>
      <c r="N37" s="496"/>
      <c r="O37" s="497"/>
      <c r="P37" s="496"/>
      <c r="Q37" s="497"/>
      <c r="R37" s="496"/>
      <c r="S37" s="497"/>
      <c r="T37" s="497"/>
      <c r="U37" s="497"/>
      <c r="V37" s="496"/>
      <c r="W37" s="497"/>
      <c r="X37" s="497"/>
      <c r="Y37" s="497"/>
      <c r="Z37" s="496"/>
      <c r="AA37" s="497"/>
      <c r="AB37" s="496"/>
      <c r="AC37" s="496"/>
      <c r="AD37" s="471"/>
      <c r="AE37" s="471"/>
      <c r="AF37" s="506"/>
      <c r="AG37" s="509"/>
      <c r="AH37" s="481">
        <f t="shared" si="0"/>
        <v>0</v>
      </c>
    </row>
    <row r="38" spans="1:79" s="459" customFormat="1" ht="15" customHeight="1">
      <c r="A38" s="482">
        <v>29</v>
      </c>
      <c r="B38" s="483">
        <f t="shared" si="1"/>
        <v>44834</v>
      </c>
      <c r="C38" s="498"/>
      <c r="D38" s="496"/>
      <c r="E38" s="496"/>
      <c r="F38" s="496"/>
      <c r="G38" s="496"/>
      <c r="H38" s="496"/>
      <c r="I38" s="496"/>
      <c r="J38" s="496"/>
      <c r="K38" s="496"/>
      <c r="L38" s="496"/>
      <c r="M38" s="496"/>
      <c r="N38" s="496"/>
      <c r="O38" s="497"/>
      <c r="P38" s="496"/>
      <c r="Q38" s="497"/>
      <c r="R38" s="496"/>
      <c r="S38" s="497"/>
      <c r="T38" s="497"/>
      <c r="U38" s="497"/>
      <c r="V38" s="496"/>
      <c r="W38" s="497"/>
      <c r="X38" s="497"/>
      <c r="Y38" s="497"/>
      <c r="Z38" s="496"/>
      <c r="AA38" s="497"/>
      <c r="AB38" s="496"/>
      <c r="AC38" s="496"/>
      <c r="AD38" s="496"/>
      <c r="AE38" s="471"/>
      <c r="AF38" s="506"/>
      <c r="AG38" s="509"/>
      <c r="AH38" s="481">
        <f t="shared" si="0"/>
        <v>0</v>
      </c>
    </row>
    <row r="39" spans="1:79" s="459" customFormat="1" ht="15" customHeight="1">
      <c r="A39" s="482">
        <v>30</v>
      </c>
      <c r="B39" s="483">
        <f t="shared" si="1"/>
        <v>44804</v>
      </c>
      <c r="C39" s="498"/>
      <c r="D39" s="496"/>
      <c r="E39" s="496"/>
      <c r="F39" s="496"/>
      <c r="G39" s="496"/>
      <c r="H39" s="496"/>
      <c r="I39" s="496"/>
      <c r="J39" s="496"/>
      <c r="K39" s="496"/>
      <c r="L39" s="496"/>
      <c r="M39" s="496"/>
      <c r="N39" s="496"/>
      <c r="O39" s="497"/>
      <c r="P39" s="496"/>
      <c r="Q39" s="497"/>
      <c r="R39" s="496"/>
      <c r="S39" s="497"/>
      <c r="T39" s="497"/>
      <c r="U39" s="497"/>
      <c r="V39" s="496"/>
      <c r="W39" s="497"/>
      <c r="X39" s="497"/>
      <c r="Y39" s="497"/>
      <c r="Z39" s="496"/>
      <c r="AA39" s="497"/>
      <c r="AB39" s="496"/>
      <c r="AC39" s="496"/>
      <c r="AD39" s="496"/>
      <c r="AE39" s="496"/>
      <c r="AF39" s="506"/>
      <c r="AG39" s="509"/>
      <c r="AH39" s="481">
        <f>SUM(C39:AG39)</f>
        <v>0</v>
      </c>
    </row>
    <row r="40" spans="1:79" s="459" customFormat="1" ht="31.35" customHeight="1" thickBot="1">
      <c r="A40" s="482">
        <v>31</v>
      </c>
      <c r="B40" s="483" t="s">
        <v>1498</v>
      </c>
      <c r="C40" s="517"/>
      <c r="D40" s="498"/>
      <c r="E40" s="496"/>
      <c r="F40" s="496"/>
      <c r="G40" s="496"/>
      <c r="H40" s="496"/>
      <c r="I40" s="496"/>
      <c r="J40" s="496"/>
      <c r="K40" s="496"/>
      <c r="L40" s="496"/>
      <c r="M40" s="496"/>
      <c r="N40" s="496"/>
      <c r="O40" s="496"/>
      <c r="P40" s="497"/>
      <c r="Q40" s="496"/>
      <c r="R40" s="497"/>
      <c r="S40" s="496"/>
      <c r="T40" s="497"/>
      <c r="U40" s="497"/>
      <c r="V40" s="497"/>
      <c r="W40" s="496"/>
      <c r="X40" s="497"/>
      <c r="Y40" s="497"/>
      <c r="Z40" s="497"/>
      <c r="AA40" s="496"/>
      <c r="AB40" s="497"/>
      <c r="AC40" s="496"/>
      <c r="AD40" s="496"/>
      <c r="AE40" s="496"/>
      <c r="AF40" s="527"/>
      <c r="AG40" s="508"/>
      <c r="AH40" s="481">
        <f>SUM(C40:AG40)</f>
        <v>0</v>
      </c>
    </row>
    <row r="41" spans="1:79" s="459" customFormat="1" ht="40.35" customHeight="1">
      <c r="A41" s="484">
        <v>32</v>
      </c>
      <c r="B41" s="960" t="s">
        <v>1500</v>
      </c>
      <c r="C41" s="961">
        <f>SUM(C10:C40)</f>
        <v>0</v>
      </c>
      <c r="D41" s="961">
        <f>SUM(D10:D40)</f>
        <v>22136561.869999949</v>
      </c>
      <c r="E41" s="961">
        <f t="shared" ref="E41:AC41" si="2">SUM(E10:E40)</f>
        <v>25652848.03999991</v>
      </c>
      <c r="F41" s="961">
        <f t="shared" si="2"/>
        <v>29211050.329999998</v>
      </c>
      <c r="G41" s="961">
        <f t="shared" si="2"/>
        <v>26924643.899999999</v>
      </c>
      <c r="H41" s="961">
        <f t="shared" si="2"/>
        <v>27172800.600000031</v>
      </c>
      <c r="I41" s="961">
        <f t="shared" si="2"/>
        <v>27369289.960000079</v>
      </c>
      <c r="J41" s="961">
        <f t="shared" si="2"/>
        <v>25257746.94000002</v>
      </c>
      <c r="K41" s="961">
        <f t="shared" si="2"/>
        <v>27066808.890000001</v>
      </c>
      <c r="L41" s="961">
        <f t="shared" si="2"/>
        <v>25959846.870000102</v>
      </c>
      <c r="M41" s="961">
        <f t="shared" si="2"/>
        <v>26444733.59999999</v>
      </c>
      <c r="N41" s="961">
        <f t="shared" si="2"/>
        <v>24338115.420000136</v>
      </c>
      <c r="O41" s="961">
        <f t="shared" si="2"/>
        <v>25518536.329999913</v>
      </c>
      <c r="P41" s="961">
        <f t="shared" si="2"/>
        <v>24380251.620000008</v>
      </c>
      <c r="Q41" s="961">
        <f t="shared" si="2"/>
        <v>24420705.19000005</v>
      </c>
      <c r="R41" s="961">
        <f t="shared" si="2"/>
        <v>24851280.920000099</v>
      </c>
      <c r="S41" s="961">
        <f t="shared" si="2"/>
        <v>23345824.780000079</v>
      </c>
      <c r="T41" s="961">
        <f t="shared" si="2"/>
        <v>24390280.73999998</v>
      </c>
      <c r="U41" s="961">
        <f t="shared" si="2"/>
        <v>23649136.4300001</v>
      </c>
      <c r="V41" s="961">
        <f t="shared" si="2"/>
        <v>22002835.890000008</v>
      </c>
      <c r="W41" s="961">
        <f t="shared" si="2"/>
        <v>22594481.130000129</v>
      </c>
      <c r="X41" s="961">
        <f t="shared" si="2"/>
        <v>20791850.190000013</v>
      </c>
      <c r="Y41" s="961">
        <f t="shared" si="2"/>
        <v>21702785.19000002</v>
      </c>
      <c r="Z41" s="961">
        <f t="shared" si="2"/>
        <v>18717200.119999979</v>
      </c>
      <c r="AA41" s="961">
        <f t="shared" si="2"/>
        <v>20151405.690000001</v>
      </c>
      <c r="AB41" s="961">
        <f t="shared" si="2"/>
        <v>19642062.120000012</v>
      </c>
      <c r="AC41" s="961">
        <f t="shared" si="2"/>
        <v>19238763.29000007</v>
      </c>
      <c r="AD41" s="961">
        <f>SUM(AD10:AD40)</f>
        <v>0</v>
      </c>
      <c r="AE41" s="961">
        <f>SUM(AE10:AE40)</f>
        <v>0</v>
      </c>
      <c r="AF41" s="961">
        <f>SUM(AF10:AF40)</f>
        <v>0</v>
      </c>
      <c r="AG41" s="519">
        <f>SUM(AG10:AG40)</f>
        <v>4396801.58</v>
      </c>
      <c r="AH41" s="962">
        <f>SUM(AH10:AH40)</f>
        <v>627328647.63000047</v>
      </c>
    </row>
    <row r="42" spans="1:79" s="459" customFormat="1" ht="40.35" customHeight="1">
      <c r="A42" s="485">
        <v>33</v>
      </c>
      <c r="B42" s="486" t="s">
        <v>1501</v>
      </c>
      <c r="C42" s="473"/>
      <c r="D42" s="471"/>
      <c r="E42" s="471"/>
      <c r="F42" s="471"/>
      <c r="G42" s="474"/>
      <c r="H42" s="471"/>
      <c r="I42" s="471"/>
      <c r="J42" s="471"/>
      <c r="K42" s="471"/>
      <c r="L42" s="471"/>
      <c r="M42" s="471"/>
      <c r="N42" s="471"/>
      <c r="O42" s="472"/>
      <c r="P42" s="471"/>
      <c r="Q42" s="472"/>
      <c r="R42" s="471"/>
      <c r="S42" s="472"/>
      <c r="T42" s="472"/>
      <c r="U42" s="472"/>
      <c r="V42" s="471"/>
      <c r="W42" s="472"/>
      <c r="X42" s="472"/>
      <c r="Y42" s="472"/>
      <c r="Z42" s="471"/>
      <c r="AA42" s="472"/>
      <c r="AB42" s="471"/>
      <c r="AC42" s="472"/>
      <c r="AD42" s="472"/>
      <c r="AE42" s="471"/>
      <c r="AF42" s="529"/>
      <c r="AG42" s="474"/>
      <c r="AH42" s="481">
        <f>SUM(C42:AG42)</f>
        <v>0</v>
      </c>
    </row>
    <row r="43" spans="1:79" s="459" customFormat="1" ht="40.35" customHeight="1">
      <c r="A43" s="485">
        <v>34</v>
      </c>
      <c r="B43" s="486" t="s">
        <v>1502</v>
      </c>
      <c r="C43" s="461"/>
      <c r="D43" s="462"/>
      <c r="E43" s="462"/>
      <c r="F43" s="462"/>
      <c r="G43" s="462"/>
      <c r="H43" s="462"/>
      <c r="I43" s="462"/>
      <c r="J43" s="462"/>
      <c r="K43" s="462"/>
      <c r="L43" s="462"/>
      <c r="M43" s="462"/>
      <c r="N43" s="462"/>
      <c r="O43" s="463"/>
      <c r="P43" s="462"/>
      <c r="Q43" s="463"/>
      <c r="R43" s="462"/>
      <c r="S43" s="463"/>
      <c r="T43" s="463"/>
      <c r="U43" s="463"/>
      <c r="V43" s="462"/>
      <c r="W43" s="463"/>
      <c r="X43" s="463"/>
      <c r="Y43" s="463"/>
      <c r="Z43" s="462"/>
      <c r="AA43" s="463"/>
      <c r="AB43" s="462"/>
      <c r="AC43" s="463"/>
      <c r="AD43" s="511"/>
      <c r="AE43" s="594"/>
      <c r="AF43" s="530"/>
      <c r="AG43" s="528"/>
      <c r="AH43" s="464"/>
    </row>
    <row r="44" spans="1:79" s="459" customFormat="1" ht="40.35" customHeight="1">
      <c r="A44" s="485">
        <v>35</v>
      </c>
      <c r="B44" s="487" t="s">
        <v>1503</v>
      </c>
      <c r="C44" s="473"/>
      <c r="D44" s="471"/>
      <c r="E44" s="471"/>
      <c r="F44" s="471"/>
      <c r="G44" s="474"/>
      <c r="H44" s="471"/>
      <c r="I44" s="471"/>
      <c r="J44" s="471"/>
      <c r="K44" s="471"/>
      <c r="L44" s="471"/>
      <c r="M44" s="471"/>
      <c r="N44" s="471"/>
      <c r="O44" s="472"/>
      <c r="P44" s="471"/>
      <c r="Q44" s="472"/>
      <c r="R44" s="471"/>
      <c r="S44" s="472"/>
      <c r="T44" s="472"/>
      <c r="U44" s="472"/>
      <c r="V44" s="471"/>
      <c r="W44" s="472"/>
      <c r="X44" s="472"/>
      <c r="Y44" s="472"/>
      <c r="Z44" s="471"/>
      <c r="AA44" s="472"/>
      <c r="AB44" s="471"/>
      <c r="AC44" s="472"/>
      <c r="AD44" s="472"/>
      <c r="AE44" s="471"/>
      <c r="AF44" s="529"/>
      <c r="AG44" s="474"/>
      <c r="AH44" s="477">
        <f>SUM(C44:AG44)</f>
        <v>0</v>
      </c>
    </row>
    <row r="45" spans="1:79" s="459" customFormat="1" ht="39.6">
      <c r="A45" s="485">
        <v>36</v>
      </c>
      <c r="B45" s="488" t="s">
        <v>1504</v>
      </c>
      <c r="C45" s="475">
        <f>SUM(C41:C44)</f>
        <v>0</v>
      </c>
      <c r="D45" s="475">
        <f>SUM(D41:D44)</f>
        <v>22136561.869999949</v>
      </c>
      <c r="E45" s="476">
        <f t="shared" ref="E45:AB45" si="3">SUM(E41:E44)</f>
        <v>25652848.03999991</v>
      </c>
      <c r="F45" s="476">
        <f>SUM(F41:F44)</f>
        <v>29211050.329999998</v>
      </c>
      <c r="G45" s="476">
        <f t="shared" si="3"/>
        <v>26924643.899999999</v>
      </c>
      <c r="H45" s="476">
        <f t="shared" si="3"/>
        <v>27172800.600000031</v>
      </c>
      <c r="I45" s="476">
        <f t="shared" si="3"/>
        <v>27369289.960000079</v>
      </c>
      <c r="J45" s="476">
        <f t="shared" si="3"/>
        <v>25257746.94000002</v>
      </c>
      <c r="K45" s="476">
        <f t="shared" si="3"/>
        <v>27066808.890000001</v>
      </c>
      <c r="L45" s="476">
        <f t="shared" si="3"/>
        <v>25959846.870000102</v>
      </c>
      <c r="M45" s="476">
        <f t="shared" si="3"/>
        <v>26444733.59999999</v>
      </c>
      <c r="N45" s="476">
        <f t="shared" si="3"/>
        <v>24338115.420000136</v>
      </c>
      <c r="O45" s="476">
        <f t="shared" si="3"/>
        <v>25518536.329999913</v>
      </c>
      <c r="P45" s="476">
        <f t="shared" si="3"/>
        <v>24380251.620000008</v>
      </c>
      <c r="Q45" s="476">
        <f t="shared" si="3"/>
        <v>24420705.19000005</v>
      </c>
      <c r="R45" s="476">
        <f t="shared" si="3"/>
        <v>24851280.920000099</v>
      </c>
      <c r="S45" s="476">
        <f t="shared" si="3"/>
        <v>23345824.780000079</v>
      </c>
      <c r="T45" s="476">
        <f t="shared" si="3"/>
        <v>24390280.73999998</v>
      </c>
      <c r="U45" s="476">
        <f t="shared" si="3"/>
        <v>23649136.4300001</v>
      </c>
      <c r="V45" s="476">
        <f t="shared" si="3"/>
        <v>22002835.890000008</v>
      </c>
      <c r="W45" s="476">
        <f t="shared" si="3"/>
        <v>22594481.130000129</v>
      </c>
      <c r="X45" s="476">
        <f t="shared" si="3"/>
        <v>20791850.190000013</v>
      </c>
      <c r="Y45" s="476">
        <f t="shared" si="3"/>
        <v>21702785.19000002</v>
      </c>
      <c r="Z45" s="476">
        <f t="shared" si="3"/>
        <v>18717200.119999979</v>
      </c>
      <c r="AA45" s="476">
        <f t="shared" si="3"/>
        <v>20151405.690000001</v>
      </c>
      <c r="AB45" s="476">
        <f t="shared" si="3"/>
        <v>19642062.120000012</v>
      </c>
      <c r="AC45" s="476">
        <f t="shared" ref="AC45:AH45" si="4">SUM(AC41:AC44)</f>
        <v>19238763.29000007</v>
      </c>
      <c r="AD45" s="476">
        <f t="shared" si="4"/>
        <v>0</v>
      </c>
      <c r="AE45" s="476">
        <f t="shared" si="4"/>
        <v>0</v>
      </c>
      <c r="AF45" s="476">
        <f t="shared" si="4"/>
        <v>0</v>
      </c>
      <c r="AG45" s="478">
        <f t="shared" si="4"/>
        <v>4396801.58</v>
      </c>
      <c r="AH45" s="477">
        <f t="shared" si="4"/>
        <v>627328647.63000047</v>
      </c>
    </row>
    <row r="46" spans="1:79" s="459" customFormat="1" ht="53.25" customHeight="1">
      <c r="A46" s="485">
        <v>37</v>
      </c>
      <c r="B46" s="488" t="s">
        <v>1505</v>
      </c>
      <c r="C46" s="473"/>
      <c r="D46" s="471">
        <v>2702245.2911047991</v>
      </c>
      <c r="E46" s="471">
        <v>704969.0514928404</v>
      </c>
      <c r="F46" s="471">
        <v>427209.17327027343</v>
      </c>
      <c r="G46" s="474">
        <v>274057.63308212149</v>
      </c>
      <c r="H46" s="471">
        <v>272428.4092658555</v>
      </c>
      <c r="I46" s="471">
        <v>406507.03452917619</v>
      </c>
      <c r="J46" s="471">
        <v>85154.264247236497</v>
      </c>
      <c r="K46" s="471">
        <v>72124.468488901621</v>
      </c>
      <c r="L46" s="471">
        <v>59812.592091657483</v>
      </c>
      <c r="M46" s="471">
        <v>47401.810199912303</v>
      </c>
      <c r="N46" s="471">
        <v>29692.148358350078</v>
      </c>
      <c r="O46" s="472">
        <v>19029.05568470696</v>
      </c>
      <c r="P46" s="471">
        <v>11831.746960966013</v>
      </c>
      <c r="Q46" s="472">
        <v>4914.8283443459177</v>
      </c>
      <c r="R46" s="471">
        <v>564351.34217283677</v>
      </c>
      <c r="S46" s="472">
        <v>0</v>
      </c>
      <c r="T46" s="472">
        <v>-3.481542546191191E-9</v>
      </c>
      <c r="U46" s="472">
        <v>3.4800060923878426E-9</v>
      </c>
      <c r="V46" s="471">
        <v>0</v>
      </c>
      <c r="W46" s="472">
        <v>-3.3462178263853155E-9</v>
      </c>
      <c r="X46" s="472">
        <v>6.3669944606804584E-9</v>
      </c>
      <c r="Y46" s="472">
        <v>0</v>
      </c>
      <c r="Z46" s="471">
        <v>3.120816395952243E-9</v>
      </c>
      <c r="AA46" s="472">
        <v>6.0264270023273265E-9</v>
      </c>
      <c r="AB46" s="471">
        <v>-6.1586656894726188E-9</v>
      </c>
      <c r="AC46" s="472">
        <v>6.2435156867767749E-9</v>
      </c>
      <c r="AD46" s="472">
        <v>6.0264270023273265E-9</v>
      </c>
      <c r="AE46" s="471">
        <v>-6.1586656894726188E-9</v>
      </c>
      <c r="AF46" s="529">
        <v>6.2435156867767749E-9</v>
      </c>
      <c r="AG46" s="474">
        <v>-8.2219367587455635E-9</v>
      </c>
      <c r="AH46" s="477">
        <f>SUM(C46:AG46)</f>
        <v>5681728.8492939891</v>
      </c>
    </row>
    <row r="47" spans="1:79" s="459" customFormat="1" ht="40.35" customHeight="1" thickBot="1">
      <c r="A47" s="489">
        <v>38</v>
      </c>
      <c r="B47" s="490" t="s">
        <v>1506</v>
      </c>
      <c r="C47" s="479">
        <f>SUM(C45:C46)</f>
        <v>0</v>
      </c>
      <c r="D47" s="479">
        <f t="shared" ref="D47:AC47" si="5">SUM(D45:D46)</f>
        <v>24838807.161104746</v>
      </c>
      <c r="E47" s="479">
        <f t="shared" si="5"/>
        <v>26357817.09149275</v>
      </c>
      <c r="F47" s="479">
        <f t="shared" si="5"/>
        <v>29638259.503270272</v>
      </c>
      <c r="G47" s="479">
        <f t="shared" si="5"/>
        <v>27198701.53308212</v>
      </c>
      <c r="H47" s="479">
        <f t="shared" si="5"/>
        <v>27445229.009265888</v>
      </c>
      <c r="I47" s="479">
        <f t="shared" si="5"/>
        <v>27775796.994529255</v>
      </c>
      <c r="J47" s="479">
        <f t="shared" si="5"/>
        <v>25342901.204247255</v>
      </c>
      <c r="K47" s="479">
        <f t="shared" si="5"/>
        <v>27138933.358488902</v>
      </c>
      <c r="L47" s="479">
        <f t="shared" si="5"/>
        <v>26019659.462091759</v>
      </c>
      <c r="M47" s="479">
        <f t="shared" si="5"/>
        <v>26492135.410199903</v>
      </c>
      <c r="N47" s="479">
        <f t="shared" si="5"/>
        <v>24367807.568358485</v>
      </c>
      <c r="O47" s="479">
        <f t="shared" si="5"/>
        <v>25537565.385684621</v>
      </c>
      <c r="P47" s="479">
        <f t="shared" si="5"/>
        <v>24392083.366960976</v>
      </c>
      <c r="Q47" s="479">
        <f t="shared" si="5"/>
        <v>24425620.018344395</v>
      </c>
      <c r="R47" s="479">
        <f t="shared" si="5"/>
        <v>25415632.262172934</v>
      </c>
      <c r="S47" s="479">
        <f t="shared" si="5"/>
        <v>23345824.780000079</v>
      </c>
      <c r="T47" s="479">
        <f t="shared" si="5"/>
        <v>24390280.739999976</v>
      </c>
      <c r="U47" s="479">
        <f t="shared" si="5"/>
        <v>23649136.430000104</v>
      </c>
      <c r="V47" s="479">
        <f t="shared" si="5"/>
        <v>22002835.890000008</v>
      </c>
      <c r="W47" s="479">
        <f t="shared" si="5"/>
        <v>22594481.130000126</v>
      </c>
      <c r="X47" s="479">
        <f t="shared" si="5"/>
        <v>20791850.19000002</v>
      </c>
      <c r="Y47" s="479">
        <f t="shared" si="5"/>
        <v>21702785.19000002</v>
      </c>
      <c r="Z47" s="479">
        <f t="shared" si="5"/>
        <v>18717200.119999982</v>
      </c>
      <c r="AA47" s="479">
        <f t="shared" si="5"/>
        <v>20151405.690000009</v>
      </c>
      <c r="AB47" s="479">
        <f t="shared" si="5"/>
        <v>19642062.120000005</v>
      </c>
      <c r="AC47" s="479">
        <f t="shared" si="5"/>
        <v>19238763.290000077</v>
      </c>
      <c r="AD47" s="479">
        <f>SUM(AD45:AD46)</f>
        <v>6.0264270023273265E-9</v>
      </c>
      <c r="AE47" s="479">
        <f>SUM(AE45:AE46)</f>
        <v>-6.1586656894726188E-9</v>
      </c>
      <c r="AF47" s="479">
        <f>SUM(AF45:AF46)</f>
        <v>6.2435156867767749E-9</v>
      </c>
      <c r="AG47" s="507">
        <f>SUM(AG45:AG46)</f>
        <v>4396801.5799999917</v>
      </c>
      <c r="AH47" s="480">
        <f>SUM(AH45:AH46)</f>
        <v>633010376.47929442</v>
      </c>
    </row>
    <row r="48" spans="1:79">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row>
    <row r="49" spans="33:79">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row>
    <row r="50" spans="33:79">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row>
    <row r="51" spans="33:79">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row>
    <row r="52" spans="33:79">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row>
    <row r="53" spans="33:79">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row>
    <row r="54" spans="33:79">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c r="BW54" s="457"/>
      <c r="BX54" s="457"/>
      <c r="BY54" s="457"/>
      <c r="BZ54" s="457"/>
      <c r="CA54" s="457"/>
    </row>
    <row r="55" spans="33:79">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c r="BW55" s="457"/>
      <c r="BX55" s="457"/>
      <c r="BY55" s="457"/>
      <c r="BZ55" s="457"/>
      <c r="CA55" s="457"/>
    </row>
    <row r="56" spans="33:79">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c r="BW56" s="457"/>
      <c r="BX56" s="457"/>
      <c r="BY56" s="457"/>
      <c r="BZ56" s="457"/>
      <c r="CA56" s="457"/>
    </row>
    <row r="57" spans="33:79">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c r="BW57" s="457"/>
      <c r="BX57" s="457"/>
      <c r="BY57" s="457"/>
      <c r="BZ57" s="457"/>
      <c r="CA57" s="457"/>
    </row>
    <row r="58" spans="33:79">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c r="BW58" s="457"/>
      <c r="BX58" s="457"/>
      <c r="BY58" s="457"/>
      <c r="BZ58" s="457"/>
      <c r="CA58" s="457"/>
    </row>
    <row r="59" spans="33:79">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c r="BW59" s="457"/>
      <c r="BX59" s="457"/>
      <c r="BY59" s="457"/>
      <c r="BZ59" s="457"/>
      <c r="CA59" s="457"/>
    </row>
    <row r="60" spans="33:79">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c r="BW60" s="457"/>
      <c r="BX60" s="457"/>
      <c r="BY60" s="457"/>
      <c r="BZ60" s="457"/>
      <c r="CA60" s="457"/>
    </row>
    <row r="61" spans="33:79">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c r="BW61" s="457"/>
      <c r="BX61" s="457"/>
      <c r="BY61" s="457"/>
      <c r="BZ61" s="457"/>
      <c r="CA61" s="457"/>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4">
    <pageSetUpPr fitToPage="1"/>
  </sheetPr>
  <dimension ref="A1:E19"/>
  <sheetViews>
    <sheetView tabSelected="1" topLeftCell="B1" zoomScale="90" zoomScaleNormal="90" workbookViewId="0">
      <selection activeCell="L6" sqref="L6"/>
    </sheetView>
  </sheetViews>
  <sheetFormatPr defaultRowHeight="13.15"/>
  <cols>
    <col min="1" max="1" width="20.28515625" customWidth="1"/>
    <col min="3" max="3" width="29.28515625" customWidth="1"/>
    <col min="5" max="5" width="14.28515625" customWidth="1"/>
  </cols>
  <sheetData>
    <row r="1" spans="1:5" ht="17.45">
      <c r="A1" s="101" t="s">
        <v>1511</v>
      </c>
      <c r="B1" s="102"/>
      <c r="C1" s="102"/>
      <c r="E1" s="40"/>
    </row>
    <row r="2" spans="1:5" ht="17.45">
      <c r="A2" s="34"/>
    </row>
    <row r="3" spans="1:5" ht="15.6">
      <c r="A3" s="17" t="s">
        <v>1512</v>
      </c>
    </row>
    <row r="5" spans="1:5">
      <c r="C5" s="35"/>
    </row>
    <row r="6" spans="1:5" ht="24.6">
      <c r="A6" s="39"/>
    </row>
    <row r="7" spans="1:5" ht="15.6" thickBot="1">
      <c r="A7" s="36" t="s">
        <v>1513</v>
      </c>
      <c r="B7" s="36"/>
      <c r="C7" s="963" t="str">
        <f>'Schedule 2_Balance Sheet'!C2</f>
        <v>Tufts Associated Health Plans, Inc. (TAHMO)</v>
      </c>
      <c r="D7" s="963"/>
      <c r="E7" s="964"/>
    </row>
    <row r="8" spans="1:5" ht="15.6" thickBot="1">
      <c r="A8" s="36" t="s">
        <v>1514</v>
      </c>
      <c r="B8" s="36"/>
      <c r="C8" s="965" t="str">
        <f>'Schedule 2_Balance Sheet'!C3</f>
        <v>01/01/2024 - 12/31/2024</v>
      </c>
      <c r="D8" s="963"/>
      <c r="E8" s="964"/>
    </row>
    <row r="9" spans="1:5" ht="15">
      <c r="A9" s="37"/>
    </row>
    <row r="11" spans="1:5" ht="44.25" customHeight="1">
      <c r="A11" s="817" t="s">
        <v>1515</v>
      </c>
      <c r="B11" s="818"/>
      <c r="C11" s="818"/>
      <c r="D11" s="818"/>
      <c r="E11" s="818"/>
    </row>
    <row r="12" spans="1:5" ht="96.75" customHeight="1">
      <c r="A12" s="817" t="s">
        <v>1516</v>
      </c>
      <c r="B12" s="818"/>
      <c r="C12" s="818"/>
      <c r="D12" s="818"/>
      <c r="E12" s="818"/>
    </row>
    <row r="14" spans="1:5" ht="13.9" thickBot="1">
      <c r="A14" s="38" t="s">
        <v>1517</v>
      </c>
      <c r="B14" s="966" t="s">
        <v>1518</v>
      </c>
      <c r="C14" s="966"/>
      <c r="D14" s="38"/>
      <c r="E14" s="700">
        <v>45775</v>
      </c>
    </row>
    <row r="15" spans="1:5">
      <c r="A15" s="38"/>
      <c r="B15" s="38" t="s">
        <v>1519</v>
      </c>
      <c r="C15" s="38"/>
      <c r="D15" s="38"/>
      <c r="E15" s="38" t="s">
        <v>1520</v>
      </c>
    </row>
    <row r="16" spans="1:5">
      <c r="A16" s="38"/>
      <c r="B16" s="38"/>
      <c r="C16" s="38"/>
      <c r="D16" s="38"/>
      <c r="E16" s="38"/>
    </row>
    <row r="17" spans="2:5">
      <c r="B17" s="38"/>
      <c r="C17" s="38"/>
      <c r="D17" s="38"/>
      <c r="E17" s="38"/>
    </row>
    <row r="18" spans="2:5" ht="16.149999999999999" thickBot="1">
      <c r="B18" s="967" t="s">
        <v>1521</v>
      </c>
      <c r="C18" s="966"/>
      <c r="D18" s="38"/>
      <c r="E18" s="701" t="s">
        <v>1522</v>
      </c>
    </row>
    <row r="19" spans="2:5">
      <c r="B19" s="38" t="s">
        <v>1523</v>
      </c>
      <c r="C19" s="38"/>
      <c r="D19" s="38"/>
      <c r="E19" s="38" t="s">
        <v>1524</v>
      </c>
    </row>
  </sheetData>
  <protectedRanges>
    <protectedRange password="CC6C" sqref="C7:E8" name="Schedule 10_Plan Name"/>
  </protectedRanges>
  <mergeCells count="2">
    <mergeCell ref="A12:E12"/>
    <mergeCell ref="A11:E11"/>
  </mergeCells>
  <phoneticPr fontId="33" type="noConversion"/>
  <conditionalFormatting sqref="C7:D8">
    <cfRule type="cellIs" dxfId="0" priority="1" stopIfTrue="1" operator="equal">
      <formula>0</formula>
    </cfRule>
  </conditionalFormatting>
  <pageMargins left="0.75" right="0.75" top="1" bottom="1" header="0.5" footer="0.5"/>
  <pageSetup orientation="landscape" r:id="rId1"/>
  <headerFooter alignWithMargins="0">
    <oddFooter>&amp;CPage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130"/>
  <sheetViews>
    <sheetView topLeftCell="A35" zoomScale="80" zoomScaleNormal="80" workbookViewId="0">
      <selection activeCell="G25" sqref="G25"/>
    </sheetView>
  </sheetViews>
  <sheetFormatPr defaultColWidth="9.28515625" defaultRowHeight="13.15"/>
  <cols>
    <col min="1" max="1" width="66.28515625" style="136" customWidth="1"/>
    <col min="2" max="5" width="32.5703125" style="136" customWidth="1"/>
    <col min="6" max="16384" width="9.28515625" style="136"/>
  </cols>
  <sheetData>
    <row r="1" spans="1:14" ht="15.6">
      <c r="A1" s="249" t="s">
        <v>1525</v>
      </c>
    </row>
    <row r="5" spans="1:14">
      <c r="A5" s="243" t="s">
        <v>1526</v>
      </c>
      <c r="B5" s="244"/>
      <c r="C5" s="245" t="s">
        <v>1527</v>
      </c>
      <c r="D5" s="246" t="str">
        <f>'Schedule 2_Balance Sheet'!C2</f>
        <v>Tufts Associated Health Plans, Inc. (TAHMO)</v>
      </c>
      <c r="E5" s="246"/>
    </row>
    <row r="6" spans="1:14">
      <c r="A6" s="42"/>
      <c r="B6" s="43"/>
      <c r="C6" s="240"/>
      <c r="D6" s="840"/>
      <c r="E6" s="841"/>
    </row>
    <row r="7" spans="1:14" ht="13.9" thickBot="1"/>
    <row r="8" spans="1:14" ht="31.5" customHeight="1" thickTop="1">
      <c r="A8" s="842" t="s">
        <v>1528</v>
      </c>
      <c r="B8" s="843"/>
      <c r="C8" s="843"/>
      <c r="D8" s="843"/>
      <c r="E8" s="844"/>
      <c r="F8" s="714"/>
      <c r="G8" s="714"/>
      <c r="H8" s="714"/>
      <c r="I8" s="714"/>
      <c r="J8" s="714"/>
      <c r="K8" s="714"/>
      <c r="L8" s="714"/>
      <c r="M8" s="714"/>
      <c r="N8" s="714"/>
    </row>
    <row r="9" spans="1:14">
      <c r="A9" s="248"/>
      <c r="B9" s="241"/>
      <c r="C9" s="241"/>
      <c r="D9" s="241"/>
      <c r="E9" s="242"/>
    </row>
    <row r="10" spans="1:14">
      <c r="A10" s="819" t="s">
        <v>1529</v>
      </c>
      <c r="B10" s="822"/>
      <c r="C10" s="823"/>
      <c r="D10" s="823"/>
      <c r="E10" s="824"/>
    </row>
    <row r="11" spans="1:14">
      <c r="A11" s="820"/>
      <c r="B11" s="825"/>
      <c r="C11" s="826"/>
      <c r="D11" s="826"/>
      <c r="E11" s="827"/>
    </row>
    <row r="12" spans="1:14">
      <c r="A12" s="820"/>
      <c r="B12" s="825"/>
      <c r="C12" s="826"/>
      <c r="D12" s="826"/>
      <c r="E12" s="827"/>
    </row>
    <row r="13" spans="1:14">
      <c r="A13" s="820"/>
      <c r="B13" s="825"/>
      <c r="C13" s="826"/>
      <c r="D13" s="826"/>
      <c r="E13" s="827"/>
    </row>
    <row r="14" spans="1:14">
      <c r="A14" s="820"/>
      <c r="B14" s="825"/>
      <c r="C14" s="826"/>
      <c r="D14" s="826"/>
      <c r="E14" s="827"/>
    </row>
    <row r="15" spans="1:14">
      <c r="A15" s="820"/>
      <c r="B15" s="825"/>
      <c r="C15" s="826"/>
      <c r="D15" s="826"/>
      <c r="E15" s="827"/>
    </row>
    <row r="16" spans="1:14">
      <c r="A16" s="820"/>
      <c r="B16" s="825"/>
      <c r="C16" s="826"/>
      <c r="D16" s="826"/>
      <c r="E16" s="827"/>
    </row>
    <row r="17" spans="1:5">
      <c r="A17" s="820"/>
      <c r="B17" s="825"/>
      <c r="C17" s="826"/>
      <c r="D17" s="826"/>
      <c r="E17" s="827"/>
    </row>
    <row r="18" spans="1:5">
      <c r="A18" s="820"/>
      <c r="B18" s="825"/>
      <c r="C18" s="826"/>
      <c r="D18" s="826"/>
      <c r="E18" s="827"/>
    </row>
    <row r="19" spans="1:5">
      <c r="A19" s="820"/>
      <c r="B19" s="825"/>
      <c r="C19" s="826"/>
      <c r="D19" s="826"/>
      <c r="E19" s="827"/>
    </row>
    <row r="20" spans="1:5">
      <c r="A20" s="821"/>
      <c r="B20" s="828"/>
      <c r="C20" s="829"/>
      <c r="D20" s="829"/>
      <c r="E20" s="830"/>
    </row>
    <row r="21" spans="1:5">
      <c r="A21" s="819" t="s">
        <v>1530</v>
      </c>
      <c r="B21" s="831" t="s">
        <v>1531</v>
      </c>
      <c r="C21" s="845"/>
      <c r="D21" s="845"/>
      <c r="E21" s="846"/>
    </row>
    <row r="22" spans="1:5">
      <c r="A22" s="820"/>
      <c r="B22" s="847"/>
      <c r="C22" s="848"/>
      <c r="D22" s="848"/>
      <c r="E22" s="849"/>
    </row>
    <row r="23" spans="1:5">
      <c r="A23" s="820"/>
      <c r="B23" s="847"/>
      <c r="C23" s="848"/>
      <c r="D23" s="848"/>
      <c r="E23" s="849"/>
    </row>
    <row r="24" spans="1:5">
      <c r="A24" s="820"/>
      <c r="B24" s="847"/>
      <c r="C24" s="848"/>
      <c r="D24" s="848"/>
      <c r="E24" s="849"/>
    </row>
    <row r="25" spans="1:5">
      <c r="A25" s="820"/>
      <c r="B25" s="847"/>
      <c r="C25" s="848"/>
      <c r="D25" s="848"/>
      <c r="E25" s="849"/>
    </row>
    <row r="26" spans="1:5">
      <c r="A26" s="820"/>
      <c r="B26" s="847"/>
      <c r="C26" s="848"/>
      <c r="D26" s="848"/>
      <c r="E26" s="849"/>
    </row>
    <row r="27" spans="1:5">
      <c r="A27" s="820"/>
      <c r="B27" s="847"/>
      <c r="C27" s="848"/>
      <c r="D27" s="848"/>
      <c r="E27" s="849"/>
    </row>
    <row r="28" spans="1:5">
      <c r="A28" s="820"/>
      <c r="B28" s="847"/>
      <c r="C28" s="848"/>
      <c r="D28" s="848"/>
      <c r="E28" s="849"/>
    </row>
    <row r="29" spans="1:5">
      <c r="A29" s="820"/>
      <c r="B29" s="847"/>
      <c r="C29" s="848"/>
      <c r="D29" s="848"/>
      <c r="E29" s="849"/>
    </row>
    <row r="30" spans="1:5">
      <c r="A30" s="820"/>
      <c r="B30" s="847"/>
      <c r="C30" s="848"/>
      <c r="D30" s="848"/>
      <c r="E30" s="849"/>
    </row>
    <row r="31" spans="1:5">
      <c r="A31" s="821"/>
      <c r="B31" s="850"/>
      <c r="C31" s="851"/>
      <c r="D31" s="851"/>
      <c r="E31" s="852"/>
    </row>
    <row r="32" spans="1:5">
      <c r="A32" s="819" t="s">
        <v>1532</v>
      </c>
      <c r="B32" s="853" t="s">
        <v>1533</v>
      </c>
      <c r="C32" s="854"/>
      <c r="D32" s="854"/>
      <c r="E32" s="855"/>
    </row>
    <row r="33" spans="1:5">
      <c r="A33" s="820"/>
      <c r="B33" s="856"/>
      <c r="C33" s="857"/>
      <c r="D33" s="857"/>
      <c r="E33" s="858"/>
    </row>
    <row r="34" spans="1:5">
      <c r="A34" s="820"/>
      <c r="B34" s="856"/>
      <c r="C34" s="857"/>
      <c r="D34" s="857"/>
      <c r="E34" s="858"/>
    </row>
    <row r="35" spans="1:5">
      <c r="A35" s="820"/>
      <c r="B35" s="856"/>
      <c r="C35" s="857"/>
      <c r="D35" s="857"/>
      <c r="E35" s="858"/>
    </row>
    <row r="36" spans="1:5">
      <c r="A36" s="820"/>
      <c r="B36" s="856"/>
      <c r="C36" s="857"/>
      <c r="D36" s="857"/>
      <c r="E36" s="858"/>
    </row>
    <row r="37" spans="1:5">
      <c r="A37" s="820"/>
      <c r="B37" s="856"/>
      <c r="C37" s="857"/>
      <c r="D37" s="857"/>
      <c r="E37" s="858"/>
    </row>
    <row r="38" spans="1:5">
      <c r="A38" s="820"/>
      <c r="B38" s="856"/>
      <c r="C38" s="857"/>
      <c r="D38" s="857"/>
      <c r="E38" s="858"/>
    </row>
    <row r="39" spans="1:5">
      <c r="A39" s="820"/>
      <c r="B39" s="856"/>
      <c r="C39" s="857"/>
      <c r="D39" s="857"/>
      <c r="E39" s="858"/>
    </row>
    <row r="40" spans="1:5">
      <c r="A40" s="820"/>
      <c r="B40" s="856"/>
      <c r="C40" s="857"/>
      <c r="D40" s="857"/>
      <c r="E40" s="858"/>
    </row>
    <row r="41" spans="1:5">
      <c r="A41" s="820"/>
      <c r="B41" s="856"/>
      <c r="C41" s="857"/>
      <c r="D41" s="857"/>
      <c r="E41" s="858"/>
    </row>
    <row r="42" spans="1:5">
      <c r="A42" s="821"/>
      <c r="B42" s="859"/>
      <c r="C42" s="860"/>
      <c r="D42" s="860"/>
      <c r="E42" s="861"/>
    </row>
    <row r="43" spans="1:5">
      <c r="A43" s="819" t="s">
        <v>1534</v>
      </c>
      <c r="B43" s="822"/>
      <c r="C43" s="823"/>
      <c r="D43" s="823"/>
      <c r="E43" s="824"/>
    </row>
    <row r="44" spans="1:5">
      <c r="A44" s="820"/>
      <c r="B44" s="825"/>
      <c r="C44" s="826"/>
      <c r="D44" s="826"/>
      <c r="E44" s="827"/>
    </row>
    <row r="45" spans="1:5">
      <c r="A45" s="820"/>
      <c r="B45" s="825"/>
      <c r="C45" s="826"/>
      <c r="D45" s="826"/>
      <c r="E45" s="827"/>
    </row>
    <row r="46" spans="1:5">
      <c r="A46" s="820"/>
      <c r="B46" s="825"/>
      <c r="C46" s="826"/>
      <c r="D46" s="826"/>
      <c r="E46" s="827"/>
    </row>
    <row r="47" spans="1:5">
      <c r="A47" s="820"/>
      <c r="B47" s="825"/>
      <c r="C47" s="826"/>
      <c r="D47" s="826"/>
      <c r="E47" s="827"/>
    </row>
    <row r="48" spans="1:5">
      <c r="A48" s="820"/>
      <c r="B48" s="825"/>
      <c r="C48" s="826"/>
      <c r="D48" s="826"/>
      <c r="E48" s="827"/>
    </row>
    <row r="49" spans="1:5">
      <c r="A49" s="820"/>
      <c r="B49" s="825"/>
      <c r="C49" s="826"/>
      <c r="D49" s="826"/>
      <c r="E49" s="827"/>
    </row>
    <row r="50" spans="1:5">
      <c r="A50" s="820"/>
      <c r="B50" s="825"/>
      <c r="C50" s="826"/>
      <c r="D50" s="826"/>
      <c r="E50" s="827"/>
    </row>
    <row r="51" spans="1:5">
      <c r="A51" s="820"/>
      <c r="B51" s="825"/>
      <c r="C51" s="826"/>
      <c r="D51" s="826"/>
      <c r="E51" s="827"/>
    </row>
    <row r="52" spans="1:5">
      <c r="A52" s="820"/>
      <c r="B52" s="825"/>
      <c r="C52" s="826"/>
      <c r="D52" s="826"/>
      <c r="E52" s="827"/>
    </row>
    <row r="53" spans="1:5">
      <c r="A53" s="821"/>
      <c r="B53" s="828"/>
      <c r="C53" s="829"/>
      <c r="D53" s="829"/>
      <c r="E53" s="830"/>
    </row>
    <row r="54" spans="1:5" ht="12.4" customHeight="1">
      <c r="A54" s="819" t="s">
        <v>1535</v>
      </c>
      <c r="B54" s="822"/>
      <c r="C54" s="823"/>
      <c r="D54" s="823"/>
      <c r="E54" s="824"/>
    </row>
    <row r="55" spans="1:5">
      <c r="A55" s="820"/>
      <c r="B55" s="825"/>
      <c r="C55" s="826"/>
      <c r="D55" s="826"/>
      <c r="E55" s="827"/>
    </row>
    <row r="56" spans="1:5">
      <c r="A56" s="820"/>
      <c r="B56" s="825"/>
      <c r="C56" s="826"/>
      <c r="D56" s="826"/>
      <c r="E56" s="827"/>
    </row>
    <row r="57" spans="1:5">
      <c r="A57" s="820"/>
      <c r="B57" s="825"/>
      <c r="C57" s="826"/>
      <c r="D57" s="826"/>
      <c r="E57" s="827"/>
    </row>
    <row r="58" spans="1:5">
      <c r="A58" s="820"/>
      <c r="B58" s="825"/>
      <c r="C58" s="826"/>
      <c r="D58" s="826"/>
      <c r="E58" s="827"/>
    </row>
    <row r="59" spans="1:5">
      <c r="A59" s="820"/>
      <c r="B59" s="825"/>
      <c r="C59" s="826"/>
      <c r="D59" s="826"/>
      <c r="E59" s="827"/>
    </row>
    <row r="60" spans="1:5">
      <c r="A60" s="820"/>
      <c r="B60" s="825"/>
      <c r="C60" s="826"/>
      <c r="D60" s="826"/>
      <c r="E60" s="827"/>
    </row>
    <row r="61" spans="1:5">
      <c r="A61" s="820"/>
      <c r="B61" s="825"/>
      <c r="C61" s="826"/>
      <c r="D61" s="826"/>
      <c r="E61" s="827"/>
    </row>
    <row r="62" spans="1:5">
      <c r="A62" s="820"/>
      <c r="B62" s="825"/>
      <c r="C62" s="826"/>
      <c r="D62" s="826"/>
      <c r="E62" s="827"/>
    </row>
    <row r="63" spans="1:5">
      <c r="A63" s="820"/>
      <c r="B63" s="825"/>
      <c r="C63" s="826"/>
      <c r="D63" s="826"/>
      <c r="E63" s="827"/>
    </row>
    <row r="64" spans="1:5">
      <c r="A64" s="821"/>
      <c r="B64" s="828"/>
      <c r="C64" s="829"/>
      <c r="D64" s="829"/>
      <c r="E64" s="830"/>
    </row>
    <row r="65" spans="1:5">
      <c r="A65" s="819" t="s">
        <v>1536</v>
      </c>
      <c r="B65" s="831" t="s">
        <v>1537</v>
      </c>
      <c r="C65" s="832"/>
      <c r="D65" s="832"/>
      <c r="E65" s="833"/>
    </row>
    <row r="66" spans="1:5">
      <c r="A66" s="820"/>
      <c r="B66" s="834"/>
      <c r="C66" s="835"/>
      <c r="D66" s="835"/>
      <c r="E66" s="836"/>
    </row>
    <row r="67" spans="1:5">
      <c r="A67" s="820"/>
      <c r="B67" s="834"/>
      <c r="C67" s="835"/>
      <c r="D67" s="835"/>
      <c r="E67" s="836"/>
    </row>
    <row r="68" spans="1:5">
      <c r="A68" s="820"/>
      <c r="B68" s="834"/>
      <c r="C68" s="835"/>
      <c r="D68" s="835"/>
      <c r="E68" s="836"/>
    </row>
    <row r="69" spans="1:5">
      <c r="A69" s="820"/>
      <c r="B69" s="834"/>
      <c r="C69" s="835"/>
      <c r="D69" s="835"/>
      <c r="E69" s="836"/>
    </row>
    <row r="70" spans="1:5">
      <c r="A70" s="820"/>
      <c r="B70" s="834"/>
      <c r="C70" s="835"/>
      <c r="D70" s="835"/>
      <c r="E70" s="836"/>
    </row>
    <row r="71" spans="1:5">
      <c r="A71" s="820"/>
      <c r="B71" s="834"/>
      <c r="C71" s="835"/>
      <c r="D71" s="835"/>
      <c r="E71" s="836"/>
    </row>
    <row r="72" spans="1:5">
      <c r="A72" s="820"/>
      <c r="B72" s="834"/>
      <c r="C72" s="835"/>
      <c r="D72" s="835"/>
      <c r="E72" s="836"/>
    </row>
    <row r="73" spans="1:5">
      <c r="A73" s="820"/>
      <c r="B73" s="834"/>
      <c r="C73" s="835"/>
      <c r="D73" s="835"/>
      <c r="E73" s="836"/>
    </row>
    <row r="74" spans="1:5">
      <c r="A74" s="820"/>
      <c r="B74" s="834"/>
      <c r="C74" s="835"/>
      <c r="D74" s="835"/>
      <c r="E74" s="836"/>
    </row>
    <row r="75" spans="1:5">
      <c r="A75" s="821"/>
      <c r="B75" s="837"/>
      <c r="C75" s="838"/>
      <c r="D75" s="838"/>
      <c r="E75" s="839"/>
    </row>
    <row r="76" spans="1:5">
      <c r="A76" s="819" t="s">
        <v>1538</v>
      </c>
      <c r="B76" s="822"/>
      <c r="C76" s="823"/>
      <c r="D76" s="823"/>
      <c r="E76" s="824"/>
    </row>
    <row r="77" spans="1:5">
      <c r="A77" s="820"/>
      <c r="B77" s="825"/>
      <c r="C77" s="826"/>
      <c r="D77" s="826"/>
      <c r="E77" s="827"/>
    </row>
    <row r="78" spans="1:5">
      <c r="A78" s="820"/>
      <c r="B78" s="825"/>
      <c r="C78" s="826"/>
      <c r="D78" s="826"/>
      <c r="E78" s="827"/>
    </row>
    <row r="79" spans="1:5">
      <c r="A79" s="820"/>
      <c r="B79" s="825"/>
      <c r="C79" s="826"/>
      <c r="D79" s="826"/>
      <c r="E79" s="827"/>
    </row>
    <row r="80" spans="1:5">
      <c r="A80" s="820"/>
      <c r="B80" s="825"/>
      <c r="C80" s="826"/>
      <c r="D80" s="826"/>
      <c r="E80" s="827"/>
    </row>
    <row r="81" spans="1:5">
      <c r="A81" s="820"/>
      <c r="B81" s="825"/>
      <c r="C81" s="826"/>
      <c r="D81" s="826"/>
      <c r="E81" s="827"/>
    </row>
    <row r="82" spans="1:5">
      <c r="A82" s="820"/>
      <c r="B82" s="825"/>
      <c r="C82" s="826"/>
      <c r="D82" s="826"/>
      <c r="E82" s="827"/>
    </row>
    <row r="83" spans="1:5">
      <c r="A83" s="820"/>
      <c r="B83" s="825"/>
      <c r="C83" s="826"/>
      <c r="D83" s="826"/>
      <c r="E83" s="827"/>
    </row>
    <row r="84" spans="1:5">
      <c r="A84" s="820"/>
      <c r="B84" s="825"/>
      <c r="C84" s="826"/>
      <c r="D84" s="826"/>
      <c r="E84" s="827"/>
    </row>
    <row r="85" spans="1:5">
      <c r="A85" s="820"/>
      <c r="B85" s="825"/>
      <c r="C85" s="826"/>
      <c r="D85" s="826"/>
      <c r="E85" s="827"/>
    </row>
    <row r="86" spans="1:5">
      <c r="A86" s="821"/>
      <c r="B86" s="828"/>
      <c r="C86" s="829"/>
      <c r="D86" s="829"/>
      <c r="E86" s="830"/>
    </row>
    <row r="87" spans="1:5">
      <c r="A87" s="819" t="s">
        <v>1539</v>
      </c>
      <c r="B87" s="822"/>
      <c r="C87" s="823"/>
      <c r="D87" s="823"/>
      <c r="E87" s="824"/>
    </row>
    <row r="88" spans="1:5">
      <c r="A88" s="820"/>
      <c r="B88" s="825"/>
      <c r="C88" s="826"/>
      <c r="D88" s="826"/>
      <c r="E88" s="827"/>
    </row>
    <row r="89" spans="1:5">
      <c r="A89" s="820"/>
      <c r="B89" s="825"/>
      <c r="C89" s="826"/>
      <c r="D89" s="826"/>
      <c r="E89" s="827"/>
    </row>
    <row r="90" spans="1:5">
      <c r="A90" s="820"/>
      <c r="B90" s="825"/>
      <c r="C90" s="826"/>
      <c r="D90" s="826"/>
      <c r="E90" s="827"/>
    </row>
    <row r="91" spans="1:5">
      <c r="A91" s="820"/>
      <c r="B91" s="825"/>
      <c r="C91" s="826"/>
      <c r="D91" s="826"/>
      <c r="E91" s="827"/>
    </row>
    <row r="92" spans="1:5">
      <c r="A92" s="820"/>
      <c r="B92" s="825"/>
      <c r="C92" s="826"/>
      <c r="D92" s="826"/>
      <c r="E92" s="827"/>
    </row>
    <row r="93" spans="1:5">
      <c r="A93" s="820"/>
      <c r="B93" s="825"/>
      <c r="C93" s="826"/>
      <c r="D93" s="826"/>
      <c r="E93" s="827"/>
    </row>
    <row r="94" spans="1:5">
      <c r="A94" s="820"/>
      <c r="B94" s="825"/>
      <c r="C94" s="826"/>
      <c r="D94" s="826"/>
      <c r="E94" s="827"/>
    </row>
    <row r="95" spans="1:5">
      <c r="A95" s="820"/>
      <c r="B95" s="825"/>
      <c r="C95" s="826"/>
      <c r="D95" s="826"/>
      <c r="E95" s="827"/>
    </row>
    <row r="96" spans="1:5">
      <c r="A96" s="820"/>
      <c r="B96" s="825"/>
      <c r="C96" s="826"/>
      <c r="D96" s="826"/>
      <c r="E96" s="827"/>
    </row>
    <row r="97" spans="1:5">
      <c r="A97" s="821"/>
      <c r="B97" s="828"/>
      <c r="C97" s="829"/>
      <c r="D97" s="829"/>
      <c r="E97" s="830"/>
    </row>
    <row r="98" spans="1:5">
      <c r="A98" s="819" t="s">
        <v>1540</v>
      </c>
      <c r="B98" s="822"/>
      <c r="C98" s="823"/>
      <c r="D98" s="823"/>
      <c r="E98" s="824"/>
    </row>
    <row r="99" spans="1:5">
      <c r="A99" s="820"/>
      <c r="B99" s="825"/>
      <c r="C99" s="826"/>
      <c r="D99" s="826"/>
      <c r="E99" s="827"/>
    </row>
    <row r="100" spans="1:5">
      <c r="A100" s="820"/>
      <c r="B100" s="825"/>
      <c r="C100" s="826"/>
      <c r="D100" s="826"/>
      <c r="E100" s="827"/>
    </row>
    <row r="101" spans="1:5">
      <c r="A101" s="820"/>
      <c r="B101" s="825"/>
      <c r="C101" s="826"/>
      <c r="D101" s="826"/>
      <c r="E101" s="827"/>
    </row>
    <row r="102" spans="1:5">
      <c r="A102" s="820"/>
      <c r="B102" s="825"/>
      <c r="C102" s="826"/>
      <c r="D102" s="826"/>
      <c r="E102" s="827"/>
    </row>
    <row r="103" spans="1:5">
      <c r="A103" s="820"/>
      <c r="B103" s="825"/>
      <c r="C103" s="826"/>
      <c r="D103" s="826"/>
      <c r="E103" s="827"/>
    </row>
    <row r="104" spans="1:5">
      <c r="A104" s="820"/>
      <c r="B104" s="825"/>
      <c r="C104" s="826"/>
      <c r="D104" s="826"/>
      <c r="E104" s="827"/>
    </row>
    <row r="105" spans="1:5">
      <c r="A105" s="820"/>
      <c r="B105" s="825"/>
      <c r="C105" s="826"/>
      <c r="D105" s="826"/>
      <c r="E105" s="827"/>
    </row>
    <row r="106" spans="1:5">
      <c r="A106" s="820"/>
      <c r="B106" s="825"/>
      <c r="C106" s="826"/>
      <c r="D106" s="826"/>
      <c r="E106" s="827"/>
    </row>
    <row r="107" spans="1:5">
      <c r="A107" s="820"/>
      <c r="B107" s="825"/>
      <c r="C107" s="826"/>
      <c r="D107" s="826"/>
      <c r="E107" s="827"/>
    </row>
    <row r="108" spans="1:5">
      <c r="A108" s="821"/>
      <c r="B108" s="828"/>
      <c r="C108" s="829"/>
      <c r="D108" s="829"/>
      <c r="E108" s="830"/>
    </row>
    <row r="109" spans="1:5">
      <c r="A109" s="819" t="s">
        <v>1541</v>
      </c>
      <c r="B109" s="822"/>
      <c r="C109" s="823"/>
      <c r="D109" s="823"/>
      <c r="E109" s="824"/>
    </row>
    <row r="110" spans="1:5">
      <c r="A110" s="820"/>
      <c r="B110" s="825"/>
      <c r="C110" s="826"/>
      <c r="D110" s="826"/>
      <c r="E110" s="827"/>
    </row>
    <row r="111" spans="1:5">
      <c r="A111" s="820"/>
      <c r="B111" s="825"/>
      <c r="C111" s="826"/>
      <c r="D111" s="826"/>
      <c r="E111" s="827"/>
    </row>
    <row r="112" spans="1:5">
      <c r="A112" s="820"/>
      <c r="B112" s="825"/>
      <c r="C112" s="826"/>
      <c r="D112" s="826"/>
      <c r="E112" s="827"/>
    </row>
    <row r="113" spans="1:5">
      <c r="A113" s="820"/>
      <c r="B113" s="825"/>
      <c r="C113" s="826"/>
      <c r="D113" s="826"/>
      <c r="E113" s="827"/>
    </row>
    <row r="114" spans="1:5">
      <c r="A114" s="820"/>
      <c r="B114" s="825"/>
      <c r="C114" s="826"/>
      <c r="D114" s="826"/>
      <c r="E114" s="827"/>
    </row>
    <row r="115" spans="1:5">
      <c r="A115" s="820"/>
      <c r="B115" s="825"/>
      <c r="C115" s="826"/>
      <c r="D115" s="826"/>
      <c r="E115" s="827"/>
    </row>
    <row r="116" spans="1:5">
      <c r="A116" s="820"/>
      <c r="B116" s="825"/>
      <c r="C116" s="826"/>
      <c r="D116" s="826"/>
      <c r="E116" s="827"/>
    </row>
    <row r="117" spans="1:5">
      <c r="A117" s="820"/>
      <c r="B117" s="825"/>
      <c r="C117" s="826"/>
      <c r="D117" s="826"/>
      <c r="E117" s="827"/>
    </row>
    <row r="118" spans="1:5">
      <c r="A118" s="820"/>
      <c r="B118" s="825"/>
      <c r="C118" s="826"/>
      <c r="D118" s="826"/>
      <c r="E118" s="827"/>
    </row>
    <row r="119" spans="1:5">
      <c r="A119" s="821"/>
      <c r="B119" s="828"/>
      <c r="C119" s="829"/>
      <c r="D119" s="829"/>
      <c r="E119" s="830"/>
    </row>
    <row r="120" spans="1:5">
      <c r="A120" s="819" t="s">
        <v>1542</v>
      </c>
      <c r="B120" s="822"/>
      <c r="C120" s="823"/>
      <c r="D120" s="823"/>
      <c r="E120" s="824"/>
    </row>
    <row r="121" spans="1:5">
      <c r="A121" s="820"/>
      <c r="B121" s="825"/>
      <c r="C121" s="826"/>
      <c r="D121" s="826"/>
      <c r="E121" s="827"/>
    </row>
    <row r="122" spans="1:5">
      <c r="A122" s="820"/>
      <c r="B122" s="825"/>
      <c r="C122" s="826"/>
      <c r="D122" s="826"/>
      <c r="E122" s="827"/>
    </row>
    <row r="123" spans="1:5">
      <c r="A123" s="820"/>
      <c r="B123" s="825"/>
      <c r="C123" s="826"/>
      <c r="D123" s="826"/>
      <c r="E123" s="827"/>
    </row>
    <row r="124" spans="1:5">
      <c r="A124" s="820"/>
      <c r="B124" s="825"/>
      <c r="C124" s="826"/>
      <c r="D124" s="826"/>
      <c r="E124" s="827"/>
    </row>
    <row r="125" spans="1:5">
      <c r="A125" s="820"/>
      <c r="B125" s="825"/>
      <c r="C125" s="826"/>
      <c r="D125" s="826"/>
      <c r="E125" s="827"/>
    </row>
    <row r="126" spans="1:5">
      <c r="A126" s="820"/>
      <c r="B126" s="825"/>
      <c r="C126" s="826"/>
      <c r="D126" s="826"/>
      <c r="E126" s="827"/>
    </row>
    <row r="127" spans="1:5">
      <c r="A127" s="820"/>
      <c r="B127" s="825"/>
      <c r="C127" s="826"/>
      <c r="D127" s="826"/>
      <c r="E127" s="827"/>
    </row>
    <row r="128" spans="1:5">
      <c r="A128" s="820"/>
      <c r="B128" s="825"/>
      <c r="C128" s="826"/>
      <c r="D128" s="826"/>
      <c r="E128" s="827"/>
    </row>
    <row r="129" spans="1:5">
      <c r="A129" s="820"/>
      <c r="B129" s="825"/>
      <c r="C129" s="826"/>
      <c r="D129" s="826"/>
      <c r="E129" s="827"/>
    </row>
    <row r="130" spans="1:5">
      <c r="A130" s="821"/>
      <c r="B130" s="828"/>
      <c r="C130" s="829"/>
      <c r="D130" s="829"/>
      <c r="E130" s="830"/>
    </row>
  </sheetData>
  <mergeCells count="24">
    <mergeCell ref="D6:E6"/>
    <mergeCell ref="A8:E8"/>
    <mergeCell ref="B10:E20"/>
    <mergeCell ref="A10:A20"/>
    <mergeCell ref="A43:A53"/>
    <mergeCell ref="B43:E53"/>
    <mergeCell ref="A21:A31"/>
    <mergeCell ref="B21:E31"/>
    <mergeCell ref="A32:A42"/>
    <mergeCell ref="B32:E42"/>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s>
  <phoneticPr fontId="8" type="noConversion"/>
  <printOptions horizontalCentered="1"/>
  <pageMargins left="0.75" right="0.75" top="1" bottom="1" header="0.5" footer="0.5"/>
  <pageSetup scale="6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D14"/>
  <sheetViews>
    <sheetView zoomScale="60" zoomScaleNormal="60" workbookViewId="0">
      <selection activeCell="D14" sqref="D14"/>
    </sheetView>
  </sheetViews>
  <sheetFormatPr defaultColWidth="8.7109375" defaultRowHeight="13.15"/>
  <cols>
    <col min="1" max="1" width="11.28515625" style="668" customWidth="1"/>
    <col min="2" max="2" width="12.5703125" style="668" customWidth="1"/>
    <col min="3" max="3" width="15.140625" style="668" bestFit="1" customWidth="1"/>
    <col min="4" max="4" width="97.85546875" style="668" customWidth="1"/>
    <col min="5" max="16384" width="8.7109375" style="668"/>
  </cols>
  <sheetData>
    <row r="1" spans="1:4">
      <c r="A1" s="968" t="s">
        <v>1543</v>
      </c>
      <c r="B1" s="968"/>
      <c r="C1" s="968"/>
      <c r="D1" s="968"/>
    </row>
    <row r="2" spans="1:4">
      <c r="A2" s="227"/>
      <c r="B2" s="665"/>
      <c r="C2" s="665"/>
      <c r="D2" s="665"/>
    </row>
    <row r="3" spans="1:4" ht="26.45">
      <c r="A3" s="666" t="s">
        <v>1544</v>
      </c>
      <c r="B3" s="667" t="s">
        <v>1545</v>
      </c>
      <c r="C3" s="667" t="s">
        <v>1546</v>
      </c>
      <c r="D3" s="667" t="s">
        <v>1547</v>
      </c>
    </row>
    <row r="4" spans="1:4">
      <c r="A4" s="125" t="s">
        <v>437</v>
      </c>
      <c r="B4" s="669"/>
      <c r="C4" s="669"/>
      <c r="D4" s="670"/>
    </row>
    <row r="5" spans="1:4" ht="26.45">
      <c r="A5" s="671">
        <v>1.1000000000000001</v>
      </c>
      <c r="B5" s="672">
        <v>44708</v>
      </c>
      <c r="C5" s="674" t="s">
        <v>1548</v>
      </c>
      <c r="D5" s="673" t="s">
        <v>1549</v>
      </c>
    </row>
    <row r="6" spans="1:4">
      <c r="A6" s="969"/>
      <c r="B6" s="968"/>
      <c r="C6" s="683" t="s">
        <v>1529</v>
      </c>
      <c r="D6" s="683" t="s">
        <v>1550</v>
      </c>
    </row>
    <row r="7" spans="1:4" ht="118.9">
      <c r="A7" s="969"/>
      <c r="B7" s="968"/>
      <c r="C7" s="683" t="s">
        <v>1532</v>
      </c>
      <c r="D7" s="970" t="s">
        <v>1551</v>
      </c>
    </row>
    <row r="8" spans="1:4" ht="118.9">
      <c r="A8" s="969"/>
      <c r="B8" s="968"/>
      <c r="C8" s="683" t="s">
        <v>1536</v>
      </c>
      <c r="D8" s="970" t="s">
        <v>1552</v>
      </c>
    </row>
    <row r="9" spans="1:4" ht="26.45">
      <c r="A9" s="969"/>
      <c r="B9" s="968"/>
      <c r="C9" s="683" t="s">
        <v>1539</v>
      </c>
      <c r="D9" s="970" t="s">
        <v>1553</v>
      </c>
    </row>
    <row r="10" spans="1:4">
      <c r="A10" s="969"/>
      <c r="B10" s="968"/>
      <c r="C10" s="683" t="s">
        <v>1541</v>
      </c>
      <c r="D10" s="683" t="s">
        <v>1554</v>
      </c>
    </row>
    <row r="11" spans="1:4">
      <c r="A11" s="969"/>
      <c r="B11" s="968"/>
      <c r="C11" s="683" t="s">
        <v>1542</v>
      </c>
      <c r="D11" s="683" t="s">
        <v>1554</v>
      </c>
    </row>
    <row r="12" spans="1:4" ht="66">
      <c r="A12" s="971">
        <v>1.2</v>
      </c>
      <c r="B12" s="972">
        <v>44930</v>
      </c>
      <c r="C12" s="684" t="s">
        <v>1548</v>
      </c>
      <c r="D12" s="687" t="s">
        <v>1555</v>
      </c>
    </row>
    <row r="13" spans="1:4">
      <c r="A13" s="968"/>
      <c r="B13" s="683"/>
      <c r="C13" s="683" t="s">
        <v>1529</v>
      </c>
      <c r="D13" s="685" t="s">
        <v>1556</v>
      </c>
    </row>
    <row r="14" spans="1:4" ht="39.6">
      <c r="A14" s="968"/>
      <c r="B14" s="682"/>
      <c r="C14" s="682" t="s">
        <v>1532</v>
      </c>
      <c r="D14" s="686" t="s">
        <v>1557</v>
      </c>
    </row>
  </sheetData>
  <sheetProtection algorithmName="SHA-512" hashValue="Fm8boKge9OaqHfc8krX3IY0jiByVM+JhzXE+hN86NeYkHer8lcR7cu+35xLX7cHaU6uCBKe/l8f/eIc1UA9zdA==" saltValue="Ppx7C/AiGazgwz4mbSIVpQ==" spinCount="100000" sheet="1" objects="1" scenarios="1"/>
  <pageMargins left="0.7" right="0.7" top="0.75" bottom="0.75" header="0.3" footer="0.3"/>
  <pageSetup scale="70"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28"/>
  <sheetViews>
    <sheetView workbookViewId="0"/>
  </sheetViews>
  <sheetFormatPr defaultRowHeight="13.15"/>
  <cols>
    <col min="4" max="4" width="31.5703125" customWidth="1"/>
    <col min="5" max="5" width="16.28515625" customWidth="1"/>
    <col min="6" max="6" width="13.5703125" bestFit="1" customWidth="1"/>
    <col min="7" max="7" width="12" bestFit="1" customWidth="1"/>
  </cols>
  <sheetData>
    <row r="1" spans="2:5">
      <c r="B1" s="1" t="s">
        <v>1558</v>
      </c>
      <c r="C1" s="2"/>
      <c r="D1" s="2"/>
      <c r="E1" s="41"/>
    </row>
    <row r="2" spans="2:5">
      <c r="E2" s="3"/>
    </row>
    <row r="3" spans="2:5">
      <c r="B3" s="4" t="s">
        <v>1559</v>
      </c>
      <c r="C3" s="2"/>
      <c r="D3" s="2"/>
      <c r="E3" s="5">
        <v>1500000</v>
      </c>
    </row>
    <row r="7" spans="2:5">
      <c r="B7" s="4" t="s">
        <v>1560</v>
      </c>
      <c r="C7" s="2"/>
      <c r="D7" s="6"/>
      <c r="E7" s="2"/>
    </row>
    <row r="9" spans="2:5">
      <c r="B9" s="7" t="s">
        <v>1561</v>
      </c>
      <c r="C9" s="136"/>
      <c r="D9" s="136"/>
    </row>
    <row r="10" spans="2:5">
      <c r="B10" s="136"/>
      <c r="C10" s="136"/>
      <c r="D10" s="136"/>
    </row>
    <row r="11" spans="2:5">
      <c r="B11" s="136" t="s">
        <v>1562</v>
      </c>
      <c r="C11" s="136"/>
      <c r="D11" s="3">
        <v>310</v>
      </c>
    </row>
    <row r="12" spans="2:5">
      <c r="B12" s="136" t="s">
        <v>1563</v>
      </c>
      <c r="C12" s="136"/>
      <c r="D12" s="973">
        <v>134408.60215053763</v>
      </c>
    </row>
    <row r="13" spans="2:5">
      <c r="B13" s="136"/>
      <c r="C13" s="136"/>
      <c r="D13" s="136"/>
    </row>
    <row r="14" spans="2:5">
      <c r="B14" s="136" t="s">
        <v>1564</v>
      </c>
      <c r="C14" s="136"/>
      <c r="D14" s="136"/>
      <c r="E14" s="3">
        <f>D11*D12</f>
        <v>41666666.666666664</v>
      </c>
    </row>
    <row r="15" spans="2:5">
      <c r="B15" s="136"/>
      <c r="C15" s="136"/>
      <c r="D15" s="136"/>
    </row>
    <row r="16" spans="2:5">
      <c r="B16" s="136" t="s">
        <v>1565</v>
      </c>
      <c r="C16" s="136"/>
      <c r="D16" s="136"/>
      <c r="E16" s="3">
        <f>E14*1.5</f>
        <v>62500000</v>
      </c>
    </row>
    <row r="18" spans="1:256" ht="13.9" thickBot="1">
      <c r="A18" s="8"/>
      <c r="B18" s="136" t="s">
        <v>1566</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9" thickTop="1">
      <c r="A19" s="8"/>
      <c r="B19" s="136"/>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36" t="s">
        <v>1567</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36"/>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9" thickBot="1">
      <c r="A22" s="8"/>
      <c r="B22" s="4" t="s">
        <v>1568</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9" thickTop="1">
      <c r="A23" s="8"/>
      <c r="B23" s="136"/>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1569</v>
      </c>
    </row>
    <row r="26" spans="1:256">
      <c r="B26" s="136" t="s">
        <v>1570</v>
      </c>
    </row>
    <row r="27" spans="1:256">
      <c r="B27" s="136" t="s">
        <v>1571</v>
      </c>
    </row>
    <row r="28" spans="1:256">
      <c r="B28" s="136" t="s">
        <v>1572</v>
      </c>
    </row>
  </sheetData>
  <phoneticPr fontId="8" type="noConversion"/>
  <pageMargins left="0.7" right="0.7" top="0.75" bottom="0.7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4"/>
  <sheetViews>
    <sheetView zoomScale="60" zoomScaleNormal="60" workbookViewId="0"/>
  </sheetViews>
  <sheetFormatPr defaultColWidth="9.28515625" defaultRowHeight="13.15"/>
  <cols>
    <col min="1" max="1" width="17.5703125" style="262" customWidth="1"/>
    <col min="2" max="2" width="63.5703125" style="260" customWidth="1"/>
    <col min="3" max="3" width="84" style="260" customWidth="1"/>
    <col min="4" max="16384" width="9.28515625" style="260"/>
  </cols>
  <sheetData>
    <row r="1" spans="1:3" s="257" customFormat="1" ht="27" thickBot="1">
      <c r="A1" s="254" t="s">
        <v>36</v>
      </c>
      <c r="B1" s="255" t="s">
        <v>37</v>
      </c>
      <c r="C1" s="256" t="s">
        <v>38</v>
      </c>
    </row>
    <row r="2" spans="1:3" ht="40.15" thickBot="1">
      <c r="A2" s="85"/>
      <c r="B2" s="258" t="s">
        <v>39</v>
      </c>
      <c r="C2" s="259" t="s">
        <v>40</v>
      </c>
    </row>
    <row r="3" spans="1:3" ht="39.6">
      <c r="A3" s="263" t="s">
        <v>41</v>
      </c>
      <c r="B3" s="875" t="s">
        <v>42</v>
      </c>
      <c r="C3" s="264" t="s">
        <v>43</v>
      </c>
    </row>
    <row r="4" spans="1:3" ht="39.6">
      <c r="A4" s="263" t="s">
        <v>44</v>
      </c>
      <c r="B4" s="875" t="s">
        <v>45</v>
      </c>
      <c r="C4" s="264" t="s">
        <v>46</v>
      </c>
    </row>
    <row r="5" spans="1:3" ht="39.6">
      <c r="A5" s="263" t="s">
        <v>47</v>
      </c>
      <c r="B5" s="875" t="s">
        <v>48</v>
      </c>
      <c r="C5" s="264" t="s">
        <v>49</v>
      </c>
    </row>
    <row r="6" spans="1:3" ht="26.45">
      <c r="A6" s="263">
        <v>1</v>
      </c>
      <c r="B6" s="875" t="s">
        <v>50</v>
      </c>
      <c r="C6" s="264" t="s">
        <v>51</v>
      </c>
    </row>
    <row r="7" spans="1:3" ht="26.45">
      <c r="A7" s="263">
        <v>2</v>
      </c>
      <c r="B7" s="875" t="s">
        <v>52</v>
      </c>
      <c r="C7" s="264" t="s">
        <v>53</v>
      </c>
    </row>
    <row r="8" spans="1:3" ht="27" thickBot="1">
      <c r="A8" s="263">
        <v>3</v>
      </c>
      <c r="B8" s="875" t="s">
        <v>54</v>
      </c>
      <c r="C8" s="264" t="s">
        <v>55</v>
      </c>
    </row>
    <row r="9" spans="1:3" ht="27" thickBot="1">
      <c r="A9" s="85"/>
      <c r="B9" s="258" t="s">
        <v>56</v>
      </c>
      <c r="C9" s="259" t="s">
        <v>57</v>
      </c>
    </row>
    <row r="10" spans="1:3">
      <c r="A10" s="252"/>
      <c r="B10" s="876" t="s">
        <v>58</v>
      </c>
      <c r="C10" s="877"/>
    </row>
    <row r="11" spans="1:3" ht="39.6">
      <c r="A11" s="265">
        <f>'Schedule 2_Balance Sheet'!B11</f>
        <v>1</v>
      </c>
      <c r="B11" s="878" t="s">
        <v>59</v>
      </c>
      <c r="C11" s="143" t="s">
        <v>60</v>
      </c>
    </row>
    <row r="12" spans="1:3" ht="52.9">
      <c r="A12" s="266">
        <f>'Schedule 2_Balance Sheet'!B12</f>
        <v>2</v>
      </c>
      <c r="B12" s="878" t="s">
        <v>61</v>
      </c>
      <c r="C12" s="879" t="s">
        <v>62</v>
      </c>
    </row>
    <row r="13" spans="1:3">
      <c r="A13" s="266">
        <f>'Schedule 2_Balance Sheet'!B13</f>
        <v>3</v>
      </c>
      <c r="B13" s="878" t="s">
        <v>63</v>
      </c>
      <c r="C13" s="879" t="s">
        <v>64</v>
      </c>
    </row>
    <row r="14" spans="1:3">
      <c r="A14" s="266">
        <f>'Schedule 2_Balance Sheet'!B14</f>
        <v>4</v>
      </c>
      <c r="B14" s="878" t="s">
        <v>65</v>
      </c>
      <c r="C14" s="879" t="s">
        <v>66</v>
      </c>
    </row>
    <row r="15" spans="1:3" ht="26.45">
      <c r="A15" s="266">
        <f>'Schedule 2_Balance Sheet'!B15</f>
        <v>5</v>
      </c>
      <c r="B15" s="878" t="s">
        <v>67</v>
      </c>
      <c r="C15" s="879" t="s">
        <v>68</v>
      </c>
    </row>
    <row r="16" spans="1:3">
      <c r="A16" s="266">
        <f>'Schedule 2_Balance Sheet'!B16</f>
        <v>6</v>
      </c>
      <c r="B16" s="878" t="s">
        <v>69</v>
      </c>
      <c r="C16" s="880" t="s">
        <v>70</v>
      </c>
    </row>
    <row r="17" spans="1:3">
      <c r="A17" s="267" t="s">
        <v>71</v>
      </c>
      <c r="B17" s="878" t="s">
        <v>72</v>
      </c>
      <c r="C17" s="879" t="s">
        <v>73</v>
      </c>
    </row>
    <row r="18" spans="1:3">
      <c r="A18" s="268">
        <v>11</v>
      </c>
      <c r="B18" s="875" t="s">
        <v>74</v>
      </c>
      <c r="C18" s="881" t="s">
        <v>75</v>
      </c>
    </row>
    <row r="19" spans="1:3">
      <c r="A19" s="266">
        <v>12</v>
      </c>
      <c r="B19" s="878" t="s">
        <v>76</v>
      </c>
      <c r="C19" s="879" t="s">
        <v>77</v>
      </c>
    </row>
    <row r="20" spans="1:3" ht="39.6">
      <c r="A20" s="266">
        <v>13</v>
      </c>
      <c r="B20" s="878" t="s">
        <v>78</v>
      </c>
      <c r="C20" s="880" t="s">
        <v>79</v>
      </c>
    </row>
    <row r="21" spans="1:3">
      <c r="A21" s="266">
        <v>14</v>
      </c>
      <c r="B21" s="878" t="s">
        <v>80</v>
      </c>
      <c r="C21" s="880" t="s">
        <v>81</v>
      </c>
    </row>
    <row r="22" spans="1:3">
      <c r="A22" s="266">
        <v>15</v>
      </c>
      <c r="B22" s="878" t="s">
        <v>82</v>
      </c>
      <c r="C22" s="880" t="s">
        <v>83</v>
      </c>
    </row>
    <row r="23" spans="1:3">
      <c r="A23" s="266">
        <v>16</v>
      </c>
      <c r="B23" s="878" t="s">
        <v>84</v>
      </c>
      <c r="C23" s="880" t="s">
        <v>85</v>
      </c>
    </row>
    <row r="24" spans="1:3" ht="39.6">
      <c r="A24" s="266">
        <v>17</v>
      </c>
      <c r="B24" s="878" t="s">
        <v>86</v>
      </c>
      <c r="C24" s="880" t="s">
        <v>87</v>
      </c>
    </row>
    <row r="25" spans="1:3">
      <c r="A25" s="266" t="s">
        <v>88</v>
      </c>
      <c r="B25" s="878" t="s">
        <v>89</v>
      </c>
      <c r="C25" s="880" t="s">
        <v>90</v>
      </c>
    </row>
    <row r="26" spans="1:3">
      <c r="A26" s="268">
        <v>21</v>
      </c>
      <c r="B26" s="875" t="s">
        <v>91</v>
      </c>
      <c r="C26" s="881" t="s">
        <v>92</v>
      </c>
    </row>
    <row r="27" spans="1:3">
      <c r="A27" s="266">
        <v>22</v>
      </c>
      <c r="B27" s="878" t="s">
        <v>93</v>
      </c>
      <c r="C27" s="880" t="s">
        <v>94</v>
      </c>
    </row>
    <row r="28" spans="1:3" ht="39.6">
      <c r="A28" s="266">
        <v>23</v>
      </c>
      <c r="B28" s="878" t="s">
        <v>95</v>
      </c>
      <c r="C28" s="880" t="s">
        <v>96</v>
      </c>
    </row>
    <row r="29" spans="1:3" ht="39.6">
      <c r="A29" s="266">
        <v>24</v>
      </c>
      <c r="B29" s="878" t="s">
        <v>97</v>
      </c>
      <c r="C29" s="882" t="s">
        <v>98</v>
      </c>
    </row>
    <row r="30" spans="1:3" ht="39" customHeight="1">
      <c r="A30" s="266">
        <v>25</v>
      </c>
      <c r="B30" s="878" t="s">
        <v>99</v>
      </c>
      <c r="C30" s="880" t="s">
        <v>100</v>
      </c>
    </row>
    <row r="31" spans="1:3" ht="16.899999999999999" customHeight="1">
      <c r="A31" s="266">
        <v>26</v>
      </c>
      <c r="B31" s="878" t="s">
        <v>101</v>
      </c>
      <c r="C31" s="880" t="s">
        <v>102</v>
      </c>
    </row>
    <row r="32" spans="1:3" ht="28.9" customHeight="1">
      <c r="A32" s="266" t="s">
        <v>103</v>
      </c>
      <c r="B32" s="878" t="s">
        <v>104</v>
      </c>
      <c r="C32" s="880" t="s">
        <v>105</v>
      </c>
    </row>
    <row r="33" spans="1:3">
      <c r="A33" s="268">
        <v>30</v>
      </c>
      <c r="B33" s="875" t="s">
        <v>106</v>
      </c>
      <c r="C33" s="882" t="s">
        <v>107</v>
      </c>
    </row>
    <row r="34" spans="1:3">
      <c r="A34" s="266">
        <v>31</v>
      </c>
      <c r="B34" s="878" t="s">
        <v>108</v>
      </c>
      <c r="C34" s="880" t="s">
        <v>109</v>
      </c>
    </row>
    <row r="35" spans="1:3">
      <c r="A35" s="253"/>
      <c r="B35" s="86" t="s">
        <v>110</v>
      </c>
      <c r="C35" s="883"/>
    </row>
    <row r="36" spans="1:3" ht="39.6">
      <c r="A36" s="266">
        <v>32</v>
      </c>
      <c r="B36" s="878" t="s">
        <v>111</v>
      </c>
      <c r="C36" s="880" t="s">
        <v>112</v>
      </c>
    </row>
    <row r="37" spans="1:3">
      <c r="A37" s="266">
        <v>33</v>
      </c>
      <c r="B37" s="878" t="s">
        <v>113</v>
      </c>
      <c r="C37" s="880" t="s">
        <v>114</v>
      </c>
    </row>
    <row r="38" spans="1:3">
      <c r="A38" s="266">
        <v>34</v>
      </c>
      <c r="B38" s="878" t="s">
        <v>115</v>
      </c>
      <c r="C38" s="880" t="s">
        <v>116</v>
      </c>
    </row>
    <row r="39" spans="1:3">
      <c r="A39" s="266">
        <v>35</v>
      </c>
      <c r="B39" s="878" t="s">
        <v>117</v>
      </c>
      <c r="C39" s="880" t="s">
        <v>118</v>
      </c>
    </row>
    <row r="40" spans="1:3">
      <c r="A40" s="266">
        <v>36</v>
      </c>
      <c r="B40" s="878" t="s">
        <v>119</v>
      </c>
      <c r="C40" s="880" t="s">
        <v>120</v>
      </c>
    </row>
    <row r="41" spans="1:3">
      <c r="A41" s="266">
        <v>37</v>
      </c>
      <c r="B41" s="878" t="s">
        <v>121</v>
      </c>
      <c r="C41" s="880" t="s">
        <v>122</v>
      </c>
    </row>
    <row r="42" spans="1:3" ht="26.45">
      <c r="A42" s="266">
        <v>38</v>
      </c>
      <c r="B42" s="878" t="s">
        <v>123</v>
      </c>
      <c r="C42" s="880" t="s">
        <v>124</v>
      </c>
    </row>
    <row r="43" spans="1:3">
      <c r="A43" s="266">
        <v>39</v>
      </c>
      <c r="B43" s="878" t="s">
        <v>125</v>
      </c>
      <c r="C43" s="880" t="s">
        <v>126</v>
      </c>
    </row>
    <row r="44" spans="1:3" ht="39.6">
      <c r="A44" s="266">
        <v>40</v>
      </c>
      <c r="B44" s="878" t="s">
        <v>127</v>
      </c>
      <c r="C44" s="880" t="s">
        <v>128</v>
      </c>
    </row>
    <row r="45" spans="1:3">
      <c r="A45" s="266" t="s">
        <v>129</v>
      </c>
      <c r="B45" s="878" t="s">
        <v>130</v>
      </c>
      <c r="C45" s="880" t="s">
        <v>131</v>
      </c>
    </row>
    <row r="46" spans="1:3">
      <c r="A46" s="266">
        <v>45</v>
      </c>
      <c r="B46" s="878" t="s">
        <v>132</v>
      </c>
      <c r="C46" s="880" t="s">
        <v>133</v>
      </c>
    </row>
    <row r="47" spans="1:3" ht="39.6">
      <c r="A47" s="266">
        <v>46</v>
      </c>
      <c r="B47" s="878" t="s">
        <v>134</v>
      </c>
      <c r="C47" s="880" t="s">
        <v>135</v>
      </c>
    </row>
    <row r="48" spans="1:3" ht="39.6">
      <c r="A48" s="266">
        <v>47</v>
      </c>
      <c r="B48" s="878" t="s">
        <v>136</v>
      </c>
      <c r="C48" s="880" t="s">
        <v>137</v>
      </c>
    </row>
    <row r="49" spans="1:3">
      <c r="A49" s="266" t="s">
        <v>138</v>
      </c>
      <c r="B49" s="878" t="s">
        <v>139</v>
      </c>
      <c r="C49" s="880" t="s">
        <v>140</v>
      </c>
    </row>
    <row r="50" spans="1:3">
      <c r="A50" s="266">
        <v>52</v>
      </c>
      <c r="B50" s="878" t="s">
        <v>141</v>
      </c>
      <c r="C50" s="880" t="s">
        <v>142</v>
      </c>
    </row>
    <row r="51" spans="1:3">
      <c r="A51" s="266">
        <v>53</v>
      </c>
      <c r="B51" s="878" t="s">
        <v>143</v>
      </c>
      <c r="C51" s="880" t="s">
        <v>144</v>
      </c>
    </row>
    <row r="52" spans="1:3">
      <c r="A52" s="253"/>
      <c r="B52" s="86" t="s">
        <v>145</v>
      </c>
      <c r="C52" s="883"/>
    </row>
    <row r="53" spans="1:3" ht="26.45">
      <c r="A53" s="266">
        <v>54</v>
      </c>
      <c r="B53" s="878" t="s">
        <v>146</v>
      </c>
      <c r="C53" s="880" t="s">
        <v>147</v>
      </c>
    </row>
    <row r="54" spans="1:3">
      <c r="A54" s="266">
        <v>55</v>
      </c>
      <c r="B54" s="878" t="s">
        <v>148</v>
      </c>
      <c r="C54" s="880" t="s">
        <v>149</v>
      </c>
    </row>
    <row r="55" spans="1:3" ht="52.9">
      <c r="A55" s="266">
        <v>56</v>
      </c>
      <c r="B55" s="878" t="s">
        <v>150</v>
      </c>
      <c r="C55" s="880" t="s">
        <v>151</v>
      </c>
    </row>
    <row r="56" spans="1:3">
      <c r="A56" s="266">
        <v>57</v>
      </c>
      <c r="B56" s="878" t="s">
        <v>152</v>
      </c>
      <c r="C56" s="882" t="s">
        <v>153</v>
      </c>
    </row>
    <row r="57" spans="1:3">
      <c r="A57" s="266" t="s">
        <v>154</v>
      </c>
      <c r="B57" s="878" t="s">
        <v>155</v>
      </c>
      <c r="C57" s="882" t="s">
        <v>156</v>
      </c>
    </row>
    <row r="58" spans="1:3" ht="26.45">
      <c r="A58" s="266">
        <v>62</v>
      </c>
      <c r="B58" s="878" t="s">
        <v>157</v>
      </c>
      <c r="C58" s="880" t="s">
        <v>158</v>
      </c>
    </row>
    <row r="59" spans="1:3" ht="28.35" customHeight="1">
      <c r="A59" s="268">
        <v>63</v>
      </c>
      <c r="B59" s="875" t="s">
        <v>159</v>
      </c>
      <c r="C59" s="882" t="s">
        <v>160</v>
      </c>
    </row>
    <row r="60" spans="1:3" ht="28.35" customHeight="1">
      <c r="A60" s="268">
        <v>64</v>
      </c>
      <c r="B60" s="875" t="s">
        <v>161</v>
      </c>
      <c r="C60" s="882" t="s">
        <v>162</v>
      </c>
    </row>
    <row r="61" spans="1:3">
      <c r="A61" s="268">
        <v>65</v>
      </c>
      <c r="B61" s="875" t="s">
        <v>163</v>
      </c>
      <c r="C61" s="882" t="s">
        <v>164</v>
      </c>
    </row>
    <row r="62" spans="1:3" ht="27.6" customHeight="1" thickBot="1">
      <c r="A62" s="269">
        <v>66</v>
      </c>
      <c r="B62" s="884" t="s">
        <v>165</v>
      </c>
      <c r="C62" s="885" t="s">
        <v>166</v>
      </c>
    </row>
    <row r="63" spans="1:3" ht="40.15" thickBot="1">
      <c r="A63" s="85"/>
      <c r="B63" s="261" t="s">
        <v>167</v>
      </c>
      <c r="C63" s="523" t="s">
        <v>168</v>
      </c>
    </row>
    <row r="64" spans="1:3">
      <c r="A64" s="253"/>
      <c r="B64" s="86" t="s">
        <v>169</v>
      </c>
      <c r="C64" s="634" t="s">
        <v>170</v>
      </c>
    </row>
    <row r="65" spans="1:3" ht="26.45">
      <c r="A65" s="266">
        <v>1</v>
      </c>
      <c r="B65" s="141" t="s">
        <v>171</v>
      </c>
      <c r="C65" s="142" t="s">
        <v>172</v>
      </c>
    </row>
    <row r="66" spans="1:3" ht="52.9">
      <c r="A66" s="266">
        <v>2</v>
      </c>
      <c r="B66" s="141" t="s">
        <v>173</v>
      </c>
      <c r="C66" s="142" t="s">
        <v>174</v>
      </c>
    </row>
    <row r="67" spans="1:3" ht="26.45">
      <c r="A67" s="266">
        <v>3</v>
      </c>
      <c r="B67" s="141" t="s">
        <v>175</v>
      </c>
      <c r="C67" s="142" t="s">
        <v>176</v>
      </c>
    </row>
    <row r="68" spans="1:3" ht="26.45">
      <c r="A68" s="266">
        <v>4</v>
      </c>
      <c r="B68" s="141" t="s">
        <v>177</v>
      </c>
      <c r="C68" s="142" t="s">
        <v>178</v>
      </c>
    </row>
    <row r="69" spans="1:3">
      <c r="A69" s="266">
        <v>5</v>
      </c>
      <c r="B69" s="141" t="s">
        <v>179</v>
      </c>
      <c r="C69" s="142" t="s">
        <v>180</v>
      </c>
    </row>
    <row r="70" spans="1:3" ht="26.45">
      <c r="A70" s="266">
        <v>6</v>
      </c>
      <c r="B70" s="141" t="s">
        <v>181</v>
      </c>
      <c r="C70" s="142" t="s">
        <v>182</v>
      </c>
    </row>
    <row r="71" spans="1:3" ht="26.45">
      <c r="A71" s="266">
        <v>7</v>
      </c>
      <c r="B71" s="141" t="s">
        <v>183</v>
      </c>
      <c r="C71" s="879" t="s">
        <v>184</v>
      </c>
    </row>
    <row r="72" spans="1:3">
      <c r="A72" s="266">
        <v>8</v>
      </c>
      <c r="B72" s="141" t="s">
        <v>185</v>
      </c>
      <c r="C72" s="879" t="s">
        <v>186</v>
      </c>
    </row>
    <row r="73" spans="1:3" ht="26.45">
      <c r="A73" s="266">
        <v>9</v>
      </c>
      <c r="B73" s="141" t="s">
        <v>187</v>
      </c>
      <c r="C73" s="574" t="s">
        <v>188</v>
      </c>
    </row>
    <row r="74" spans="1:3">
      <c r="A74" s="266">
        <v>10</v>
      </c>
      <c r="B74" s="141" t="s">
        <v>189</v>
      </c>
      <c r="C74" s="142" t="s">
        <v>190</v>
      </c>
    </row>
    <row r="75" spans="1:3">
      <c r="A75" s="266">
        <v>11</v>
      </c>
      <c r="B75" s="141" t="s">
        <v>191</v>
      </c>
      <c r="C75" s="142" t="s">
        <v>192</v>
      </c>
    </row>
    <row r="76" spans="1:3">
      <c r="A76" s="270">
        <v>12</v>
      </c>
      <c r="B76" s="141" t="s">
        <v>193</v>
      </c>
      <c r="C76" s="142" t="s">
        <v>194</v>
      </c>
    </row>
    <row r="77" spans="1:3">
      <c r="A77" s="253"/>
      <c r="B77" s="87" t="s">
        <v>195</v>
      </c>
      <c r="C77" s="634" t="s">
        <v>196</v>
      </c>
    </row>
    <row r="78" spans="1:3">
      <c r="A78" s="263">
        <v>13</v>
      </c>
      <c r="B78" s="140" t="s">
        <v>197</v>
      </c>
      <c r="C78" s="142" t="s">
        <v>198</v>
      </c>
    </row>
    <row r="79" spans="1:3">
      <c r="A79" s="268">
        <v>14</v>
      </c>
      <c r="B79" s="140" t="s">
        <v>199</v>
      </c>
      <c r="C79" s="142" t="s">
        <v>198</v>
      </c>
    </row>
    <row r="80" spans="1:3">
      <c r="A80" s="268">
        <v>15</v>
      </c>
      <c r="B80" s="875" t="s">
        <v>200</v>
      </c>
      <c r="C80" s="142" t="s">
        <v>198</v>
      </c>
    </row>
    <row r="81" spans="1:3">
      <c r="A81" s="268">
        <v>16</v>
      </c>
      <c r="B81" s="875" t="s">
        <v>201</v>
      </c>
      <c r="C81" s="142" t="s">
        <v>198</v>
      </c>
    </row>
    <row r="82" spans="1:3">
      <c r="A82" s="268">
        <v>17</v>
      </c>
      <c r="B82" s="875" t="s">
        <v>202</v>
      </c>
      <c r="C82" s="142" t="s">
        <v>198</v>
      </c>
    </row>
    <row r="83" spans="1:3">
      <c r="A83" s="268">
        <v>18</v>
      </c>
      <c r="B83" s="875" t="s">
        <v>203</v>
      </c>
      <c r="C83" s="271" t="s">
        <v>198</v>
      </c>
    </row>
    <row r="84" spans="1:3">
      <c r="A84" s="268">
        <v>19</v>
      </c>
      <c r="B84" s="875" t="s">
        <v>204</v>
      </c>
      <c r="C84" s="271" t="s">
        <v>198</v>
      </c>
    </row>
    <row r="85" spans="1:3">
      <c r="A85" s="268">
        <v>20</v>
      </c>
      <c r="B85" s="875" t="s">
        <v>205</v>
      </c>
      <c r="C85" s="271" t="s">
        <v>198</v>
      </c>
    </row>
    <row r="86" spans="1:3">
      <c r="A86" s="268">
        <v>21</v>
      </c>
      <c r="B86" s="140" t="s">
        <v>206</v>
      </c>
      <c r="C86" s="271" t="s">
        <v>198</v>
      </c>
    </row>
    <row r="87" spans="1:3">
      <c r="A87" s="268">
        <v>22</v>
      </c>
      <c r="B87" s="140" t="s">
        <v>207</v>
      </c>
      <c r="C87" s="271" t="s">
        <v>208</v>
      </c>
    </row>
    <row r="88" spans="1:3">
      <c r="A88" s="268">
        <v>23</v>
      </c>
      <c r="B88" s="140" t="s">
        <v>209</v>
      </c>
      <c r="C88" s="271" t="s">
        <v>210</v>
      </c>
    </row>
    <row r="89" spans="1:3">
      <c r="A89" s="268">
        <v>24</v>
      </c>
      <c r="B89" s="140" t="s">
        <v>211</v>
      </c>
      <c r="C89" s="271" t="s">
        <v>208</v>
      </c>
    </row>
    <row r="90" spans="1:3">
      <c r="A90" s="268">
        <v>25</v>
      </c>
      <c r="B90" s="140" t="s">
        <v>212</v>
      </c>
      <c r="C90" s="271" t="s">
        <v>210</v>
      </c>
    </row>
    <row r="91" spans="1:3">
      <c r="A91" s="268">
        <v>26</v>
      </c>
      <c r="B91" s="875" t="s">
        <v>213</v>
      </c>
      <c r="C91" s="271" t="s">
        <v>198</v>
      </c>
    </row>
    <row r="92" spans="1:3">
      <c r="A92" s="268">
        <v>27</v>
      </c>
      <c r="B92" s="875" t="s">
        <v>214</v>
      </c>
      <c r="C92" s="271" t="s">
        <v>198</v>
      </c>
    </row>
    <row r="93" spans="1:3">
      <c r="A93" s="268">
        <v>28</v>
      </c>
      <c r="B93" s="875" t="s">
        <v>215</v>
      </c>
      <c r="C93" s="271" t="s">
        <v>198</v>
      </c>
    </row>
    <row r="94" spans="1:3">
      <c r="A94" s="268">
        <v>29</v>
      </c>
      <c r="B94" s="875" t="s">
        <v>216</v>
      </c>
      <c r="C94" s="271" t="s">
        <v>198</v>
      </c>
    </row>
    <row r="95" spans="1:3">
      <c r="A95" s="268">
        <v>30</v>
      </c>
      <c r="B95" s="875" t="s">
        <v>217</v>
      </c>
      <c r="C95" s="271" t="s">
        <v>198</v>
      </c>
    </row>
    <row r="96" spans="1:3">
      <c r="A96" s="268">
        <v>31</v>
      </c>
      <c r="B96" s="875" t="s">
        <v>218</v>
      </c>
      <c r="C96" s="271" t="s">
        <v>198</v>
      </c>
    </row>
    <row r="97" spans="1:3">
      <c r="A97" s="268">
        <v>32</v>
      </c>
      <c r="B97" s="875" t="s">
        <v>219</v>
      </c>
      <c r="C97" s="271" t="s">
        <v>198</v>
      </c>
    </row>
    <row r="98" spans="1:3">
      <c r="A98" s="268">
        <v>33</v>
      </c>
      <c r="B98" s="875" t="s">
        <v>220</v>
      </c>
      <c r="C98" s="271" t="s">
        <v>198</v>
      </c>
    </row>
    <row r="99" spans="1:3">
      <c r="A99" s="268">
        <v>34</v>
      </c>
      <c r="B99" s="875" t="s">
        <v>221</v>
      </c>
      <c r="C99" s="271" t="s">
        <v>198</v>
      </c>
    </row>
    <row r="100" spans="1:3">
      <c r="A100" s="268">
        <v>35</v>
      </c>
      <c r="B100" s="875" t="s">
        <v>222</v>
      </c>
      <c r="C100" s="271" t="s">
        <v>198</v>
      </c>
    </row>
    <row r="101" spans="1:3">
      <c r="A101" s="268">
        <v>36</v>
      </c>
      <c r="B101" s="875" t="s">
        <v>223</v>
      </c>
      <c r="C101" s="271" t="s">
        <v>198</v>
      </c>
    </row>
    <row r="102" spans="1:3">
      <c r="A102" s="268">
        <v>37</v>
      </c>
      <c r="B102" s="875" t="s">
        <v>224</v>
      </c>
      <c r="C102" s="271" t="s">
        <v>198</v>
      </c>
    </row>
    <row r="103" spans="1:3">
      <c r="A103" s="886">
        <v>38</v>
      </c>
      <c r="B103" s="875" t="s">
        <v>225</v>
      </c>
      <c r="C103" s="887" t="s">
        <v>198</v>
      </c>
    </row>
    <row r="104" spans="1:3">
      <c r="A104" s="886">
        <v>39</v>
      </c>
      <c r="B104" s="875" t="s">
        <v>226</v>
      </c>
      <c r="C104" s="887" t="s">
        <v>198</v>
      </c>
    </row>
    <row r="105" spans="1:3" ht="26.45">
      <c r="A105" s="886">
        <v>40</v>
      </c>
      <c r="B105" s="875" t="s">
        <v>227</v>
      </c>
      <c r="C105" s="887" t="s">
        <v>228</v>
      </c>
    </row>
    <row r="106" spans="1:3" ht="26.45">
      <c r="A106" s="886">
        <v>41</v>
      </c>
      <c r="B106" s="875" t="s">
        <v>229</v>
      </c>
      <c r="C106" s="887" t="s">
        <v>230</v>
      </c>
    </row>
    <row r="107" spans="1:3" ht="26.45">
      <c r="A107" s="886">
        <v>42</v>
      </c>
      <c r="B107" s="875" t="s">
        <v>231</v>
      </c>
      <c r="C107" s="142" t="s">
        <v>232</v>
      </c>
    </row>
    <row r="108" spans="1:3">
      <c r="A108" s="886">
        <v>43</v>
      </c>
      <c r="B108" s="875" t="s">
        <v>233</v>
      </c>
      <c r="C108" s="887" t="s">
        <v>234</v>
      </c>
    </row>
    <row r="109" spans="1:3">
      <c r="A109" s="253"/>
      <c r="B109" s="86" t="s">
        <v>235</v>
      </c>
      <c r="C109" s="883"/>
    </row>
    <row r="110" spans="1:3">
      <c r="A110" s="886">
        <v>44</v>
      </c>
      <c r="B110" s="140" t="s">
        <v>236</v>
      </c>
      <c r="C110" s="271" t="s">
        <v>237</v>
      </c>
    </row>
    <row r="111" spans="1:3" ht="26.45">
      <c r="A111" s="886">
        <v>45</v>
      </c>
      <c r="B111" s="140" t="s">
        <v>238</v>
      </c>
      <c r="C111" s="271" t="s">
        <v>239</v>
      </c>
    </row>
    <row r="112" spans="1:3" ht="26.45">
      <c r="A112" s="268">
        <v>46</v>
      </c>
      <c r="B112" s="140" t="s">
        <v>224</v>
      </c>
      <c r="C112" s="271" t="s">
        <v>240</v>
      </c>
    </row>
    <row r="113" spans="1:3" ht="39.6">
      <c r="A113" s="263">
        <v>47</v>
      </c>
      <c r="B113" s="140" t="s">
        <v>241</v>
      </c>
      <c r="C113" s="271" t="s">
        <v>242</v>
      </c>
    </row>
    <row r="114" spans="1:3">
      <c r="A114" s="253"/>
      <c r="B114" s="86" t="s">
        <v>243</v>
      </c>
      <c r="C114" s="883"/>
    </row>
    <row r="115" spans="1:3" ht="39.6">
      <c r="A115" s="886">
        <v>48</v>
      </c>
      <c r="B115" s="140" t="s">
        <v>244</v>
      </c>
      <c r="C115" s="271" t="s">
        <v>245</v>
      </c>
    </row>
    <row r="116" spans="1:3" ht="52.9">
      <c r="A116" s="886">
        <v>49</v>
      </c>
      <c r="B116" s="140" t="s">
        <v>246</v>
      </c>
      <c r="C116" s="271" t="s">
        <v>247</v>
      </c>
    </row>
    <row r="117" spans="1:3">
      <c r="A117" s="886">
        <v>50</v>
      </c>
      <c r="B117" s="140" t="s">
        <v>248</v>
      </c>
      <c r="C117" s="271" t="s">
        <v>249</v>
      </c>
    </row>
    <row r="118" spans="1:3" ht="52.9">
      <c r="A118" s="886">
        <v>51</v>
      </c>
      <c r="B118" s="140" t="s">
        <v>250</v>
      </c>
      <c r="C118" s="271" t="s">
        <v>251</v>
      </c>
    </row>
    <row r="119" spans="1:3" ht="39.6">
      <c r="A119" s="886">
        <v>52</v>
      </c>
      <c r="B119" s="140" t="s">
        <v>252</v>
      </c>
      <c r="C119" s="271" t="s">
        <v>253</v>
      </c>
    </row>
    <row r="120" spans="1:3" ht="52.9">
      <c r="A120" s="886">
        <v>53</v>
      </c>
      <c r="B120" s="140" t="s">
        <v>254</v>
      </c>
      <c r="C120" s="271" t="s">
        <v>255</v>
      </c>
    </row>
    <row r="121" spans="1:3" ht="26.45">
      <c r="A121" s="886">
        <v>54</v>
      </c>
      <c r="B121" s="140" t="s">
        <v>256</v>
      </c>
      <c r="C121" s="271" t="s">
        <v>257</v>
      </c>
    </row>
    <row r="122" spans="1:3">
      <c r="A122" s="886">
        <v>55</v>
      </c>
      <c r="B122" s="140" t="s">
        <v>258</v>
      </c>
      <c r="C122" s="271" t="s">
        <v>259</v>
      </c>
    </row>
    <row r="123" spans="1:3">
      <c r="A123" s="886">
        <v>56</v>
      </c>
      <c r="B123" s="140" t="s">
        <v>260</v>
      </c>
      <c r="C123" s="271" t="s">
        <v>261</v>
      </c>
    </row>
    <row r="124" spans="1:3">
      <c r="A124" s="886">
        <v>57</v>
      </c>
      <c r="B124" s="140" t="s">
        <v>262</v>
      </c>
      <c r="C124" s="271" t="s">
        <v>263</v>
      </c>
    </row>
    <row r="125" spans="1:3" ht="39.6">
      <c r="A125" s="886">
        <v>58</v>
      </c>
      <c r="B125" s="140" t="s">
        <v>264</v>
      </c>
      <c r="C125" s="271" t="s">
        <v>265</v>
      </c>
    </row>
    <row r="126" spans="1:3">
      <c r="A126" s="886">
        <v>59</v>
      </c>
      <c r="B126" s="140" t="s">
        <v>266</v>
      </c>
      <c r="C126" s="271" t="s">
        <v>267</v>
      </c>
    </row>
    <row r="127" spans="1:3" ht="39.6">
      <c r="A127" s="886">
        <v>60</v>
      </c>
      <c r="B127" s="140" t="s">
        <v>268</v>
      </c>
      <c r="C127" s="271" t="s">
        <v>269</v>
      </c>
    </row>
    <row r="128" spans="1:3">
      <c r="A128" s="886">
        <v>61</v>
      </c>
      <c r="B128" s="144" t="s">
        <v>270</v>
      </c>
      <c r="C128" s="651" t="s">
        <v>271</v>
      </c>
    </row>
    <row r="129" spans="1:3" ht="26.45">
      <c r="A129" s="886">
        <v>62</v>
      </c>
      <c r="B129" s="140" t="s">
        <v>272</v>
      </c>
      <c r="C129" s="271" t="s">
        <v>273</v>
      </c>
    </row>
    <row r="130" spans="1:3" ht="39.6">
      <c r="A130" s="886">
        <v>63</v>
      </c>
      <c r="B130" s="140" t="s">
        <v>274</v>
      </c>
      <c r="C130" s="271" t="s">
        <v>275</v>
      </c>
    </row>
    <row r="131" spans="1:3" ht="26.45">
      <c r="A131" s="886">
        <v>64</v>
      </c>
      <c r="B131" s="135" t="s">
        <v>276</v>
      </c>
      <c r="C131" s="271" t="s">
        <v>277</v>
      </c>
    </row>
    <row r="132" spans="1:3" ht="27" thickBot="1">
      <c r="A132" s="886">
        <v>65</v>
      </c>
      <c r="B132" s="140" t="s">
        <v>278</v>
      </c>
      <c r="C132" s="271" t="s">
        <v>279</v>
      </c>
    </row>
    <row r="133" spans="1:3" ht="40.15" thickBot="1">
      <c r="A133" s="85"/>
      <c r="B133" s="258" t="s">
        <v>280</v>
      </c>
      <c r="C133" s="259" t="s">
        <v>281</v>
      </c>
    </row>
    <row r="134" spans="1:3" ht="26.45">
      <c r="A134" s="531" t="s">
        <v>282</v>
      </c>
      <c r="B134" s="888" t="s">
        <v>283</v>
      </c>
      <c r="C134" s="889" t="s">
        <v>284</v>
      </c>
    </row>
    <row r="135" spans="1:3" ht="118.9">
      <c r="A135" s="532" t="s">
        <v>285</v>
      </c>
      <c r="B135" s="890" t="s">
        <v>286</v>
      </c>
      <c r="C135" s="882" t="s">
        <v>287</v>
      </c>
    </row>
    <row r="136" spans="1:3" ht="116.1" customHeight="1">
      <c r="A136" s="532" t="s">
        <v>288</v>
      </c>
      <c r="B136" s="890" t="s">
        <v>289</v>
      </c>
      <c r="C136" s="891" t="s">
        <v>290</v>
      </c>
    </row>
    <row r="137" spans="1:3" ht="26.45">
      <c r="A137" s="532" t="s">
        <v>291</v>
      </c>
      <c r="B137" s="890" t="s">
        <v>292</v>
      </c>
      <c r="C137" s="882" t="s">
        <v>293</v>
      </c>
    </row>
    <row r="138" spans="1:3" ht="52.9">
      <c r="A138" s="532" t="s">
        <v>294</v>
      </c>
      <c r="B138" s="890" t="s">
        <v>295</v>
      </c>
      <c r="C138" s="882" t="s">
        <v>296</v>
      </c>
    </row>
    <row r="139" spans="1:3" ht="52.9">
      <c r="A139" s="532" t="s">
        <v>297</v>
      </c>
      <c r="B139" s="890" t="s">
        <v>298</v>
      </c>
      <c r="C139" s="882" t="s">
        <v>299</v>
      </c>
    </row>
    <row r="140" spans="1:3" ht="52.9">
      <c r="A140" s="532" t="s">
        <v>300</v>
      </c>
      <c r="B140" s="890" t="s">
        <v>301</v>
      </c>
      <c r="C140" s="882" t="s">
        <v>302</v>
      </c>
    </row>
    <row r="141" spans="1:3" ht="26.45">
      <c r="A141" s="532" t="s">
        <v>303</v>
      </c>
      <c r="B141" s="890" t="s">
        <v>304</v>
      </c>
      <c r="C141" s="882" t="s">
        <v>305</v>
      </c>
    </row>
    <row r="142" spans="1:3" ht="39.6">
      <c r="A142" s="532" t="s">
        <v>306</v>
      </c>
      <c r="B142" s="890" t="s">
        <v>307</v>
      </c>
      <c r="C142" s="882" t="s">
        <v>308</v>
      </c>
    </row>
    <row r="143" spans="1:3" ht="39.6">
      <c r="A143" s="532" t="s">
        <v>309</v>
      </c>
      <c r="B143" s="890" t="s">
        <v>310</v>
      </c>
      <c r="C143" s="882" t="s">
        <v>311</v>
      </c>
    </row>
    <row r="144" spans="1:3">
      <c r="A144" s="532" t="s">
        <v>312</v>
      </c>
      <c r="B144" s="890" t="s">
        <v>313</v>
      </c>
      <c r="C144" s="882" t="s">
        <v>314</v>
      </c>
    </row>
    <row r="145" spans="1:3" ht="39.6">
      <c r="A145" s="532" t="s">
        <v>315</v>
      </c>
      <c r="B145" s="890" t="s">
        <v>316</v>
      </c>
      <c r="C145" s="882" t="s">
        <v>317</v>
      </c>
    </row>
    <row r="146" spans="1:3">
      <c r="A146" s="532" t="s">
        <v>318</v>
      </c>
      <c r="B146" s="890" t="s">
        <v>319</v>
      </c>
      <c r="C146" s="882" t="s">
        <v>320</v>
      </c>
    </row>
    <row r="147" spans="1:3" ht="26.45">
      <c r="A147" s="532" t="s">
        <v>321</v>
      </c>
      <c r="B147" s="890" t="s">
        <v>322</v>
      </c>
      <c r="C147" s="882" t="s">
        <v>323</v>
      </c>
    </row>
    <row r="148" spans="1:3" ht="26.45">
      <c r="A148" s="532" t="s">
        <v>324</v>
      </c>
      <c r="B148" s="890" t="s">
        <v>325</v>
      </c>
      <c r="C148" s="882" t="s">
        <v>326</v>
      </c>
    </row>
    <row r="149" spans="1:3" ht="39.6">
      <c r="A149" s="532" t="s">
        <v>327</v>
      </c>
      <c r="B149" s="890" t="s">
        <v>328</v>
      </c>
      <c r="C149" s="882" t="s">
        <v>329</v>
      </c>
    </row>
    <row r="150" spans="1:3" ht="26.45">
      <c r="A150" s="532" t="s">
        <v>330</v>
      </c>
      <c r="B150" s="890" t="s">
        <v>331</v>
      </c>
      <c r="C150" s="882" t="s">
        <v>332</v>
      </c>
    </row>
    <row r="151" spans="1:3" ht="40.15" thickBot="1">
      <c r="A151" s="532" t="s">
        <v>333</v>
      </c>
      <c r="B151" s="892" t="s">
        <v>334</v>
      </c>
      <c r="C151" s="885" t="s">
        <v>335</v>
      </c>
    </row>
    <row r="152" spans="1:3" ht="13.9" thickBot="1">
      <c r="A152" s="85"/>
      <c r="B152" s="258" t="s">
        <v>336</v>
      </c>
      <c r="C152" s="259" t="s">
        <v>337</v>
      </c>
    </row>
    <row r="153" spans="1:3" ht="28.15" customHeight="1" thickBot="1">
      <c r="A153" s="85"/>
      <c r="B153" s="258" t="s">
        <v>338</v>
      </c>
      <c r="C153" s="633" t="s">
        <v>339</v>
      </c>
    </row>
    <row r="154" spans="1:3">
      <c r="A154" s="253"/>
      <c r="B154" s="86" t="s">
        <v>340</v>
      </c>
      <c r="C154" s="893"/>
    </row>
    <row r="155" spans="1:3">
      <c r="A155" s="266"/>
      <c r="B155" s="141" t="s">
        <v>341</v>
      </c>
      <c r="C155" s="142" t="s">
        <v>342</v>
      </c>
    </row>
    <row r="156" spans="1:3" ht="52.9">
      <c r="A156" s="266"/>
      <c r="B156" s="141" t="s">
        <v>343</v>
      </c>
      <c r="C156" s="142" t="s">
        <v>344</v>
      </c>
    </row>
    <row r="157" spans="1:3">
      <c r="A157" s="266"/>
      <c r="B157" s="141" t="s">
        <v>345</v>
      </c>
      <c r="C157" s="142" t="s">
        <v>346</v>
      </c>
    </row>
    <row r="158" spans="1:3">
      <c r="A158" s="266"/>
      <c r="B158" s="141" t="s">
        <v>347</v>
      </c>
      <c r="C158" s="142" t="s">
        <v>348</v>
      </c>
    </row>
    <row r="159" spans="1:3" ht="52.9">
      <c r="A159" s="266"/>
      <c r="B159" s="141" t="s">
        <v>349</v>
      </c>
      <c r="C159" s="142" t="s">
        <v>350</v>
      </c>
    </row>
    <row r="160" spans="1:3">
      <c r="A160" s="266"/>
      <c r="B160" s="141" t="s">
        <v>351</v>
      </c>
      <c r="C160" s="142" t="s">
        <v>352</v>
      </c>
    </row>
    <row r="161" spans="1:3">
      <c r="A161" s="266"/>
      <c r="B161" s="141" t="s">
        <v>353</v>
      </c>
      <c r="C161" s="142" t="s">
        <v>354</v>
      </c>
    </row>
    <row r="162" spans="1:3" ht="39.6">
      <c r="A162" s="266"/>
      <c r="B162" s="141" t="s">
        <v>355</v>
      </c>
      <c r="C162" s="142" t="s">
        <v>356</v>
      </c>
    </row>
    <row r="163" spans="1:3" ht="26.45">
      <c r="A163" s="266"/>
      <c r="B163" s="141" t="s">
        <v>357</v>
      </c>
      <c r="C163" s="142" t="s">
        <v>358</v>
      </c>
    </row>
    <row r="164" spans="1:3">
      <c r="A164" s="266"/>
      <c r="B164" s="141" t="s">
        <v>359</v>
      </c>
      <c r="C164" s="142" t="s">
        <v>360</v>
      </c>
    </row>
    <row r="165" spans="1:3" ht="26.45">
      <c r="A165" s="266"/>
      <c r="B165" s="141" t="s">
        <v>361</v>
      </c>
      <c r="C165" s="142" t="s">
        <v>362</v>
      </c>
    </row>
    <row r="166" spans="1:3" ht="39.6">
      <c r="A166" s="266"/>
      <c r="B166" s="141" t="s">
        <v>363</v>
      </c>
      <c r="C166" s="142" t="s">
        <v>364</v>
      </c>
    </row>
    <row r="167" spans="1:3">
      <c r="A167" s="266"/>
      <c r="B167" s="141" t="s">
        <v>365</v>
      </c>
      <c r="C167" s="142" t="s">
        <v>366</v>
      </c>
    </row>
    <row r="168" spans="1:3">
      <c r="A168" s="253"/>
      <c r="B168" s="87" t="s">
        <v>367</v>
      </c>
      <c r="C168" s="894"/>
    </row>
    <row r="169" spans="1:3">
      <c r="A169" s="265">
        <v>1</v>
      </c>
      <c r="B169" s="141" t="s">
        <v>197</v>
      </c>
      <c r="C169" s="142" t="s">
        <v>198</v>
      </c>
    </row>
    <row r="170" spans="1:3">
      <c r="A170" s="266">
        <v>2</v>
      </c>
      <c r="B170" s="141" t="s">
        <v>199</v>
      </c>
      <c r="C170" s="142" t="s">
        <v>198</v>
      </c>
    </row>
    <row r="171" spans="1:3">
      <c r="A171" s="266">
        <v>3</v>
      </c>
      <c r="B171" s="878" t="s">
        <v>200</v>
      </c>
      <c r="C171" s="142" t="s">
        <v>198</v>
      </c>
    </row>
    <row r="172" spans="1:3">
      <c r="A172" s="265">
        <v>4</v>
      </c>
      <c r="B172" s="878" t="s">
        <v>201</v>
      </c>
      <c r="C172" s="142" t="s">
        <v>198</v>
      </c>
    </row>
    <row r="173" spans="1:3">
      <c r="A173" s="266">
        <v>5</v>
      </c>
      <c r="B173" s="878" t="s">
        <v>202</v>
      </c>
      <c r="C173" s="142" t="s">
        <v>198</v>
      </c>
    </row>
    <row r="174" spans="1:3">
      <c r="A174" s="266">
        <v>6</v>
      </c>
      <c r="B174" s="878" t="s">
        <v>203</v>
      </c>
      <c r="C174" s="142" t="s">
        <v>198</v>
      </c>
    </row>
    <row r="175" spans="1:3">
      <c r="A175" s="265">
        <v>7</v>
      </c>
      <c r="B175" s="878" t="s">
        <v>204</v>
      </c>
      <c r="C175" s="142" t="s">
        <v>198</v>
      </c>
    </row>
    <row r="176" spans="1:3">
      <c r="A176" s="266">
        <v>8</v>
      </c>
      <c r="B176" s="878" t="s">
        <v>205</v>
      </c>
      <c r="C176" s="142" t="s">
        <v>198</v>
      </c>
    </row>
    <row r="177" spans="1:3">
      <c r="A177" s="268">
        <v>9</v>
      </c>
      <c r="B177" s="140" t="s">
        <v>206</v>
      </c>
      <c r="C177" s="271" t="s">
        <v>198</v>
      </c>
    </row>
    <row r="178" spans="1:3">
      <c r="A178" s="268" t="s">
        <v>368</v>
      </c>
      <c r="B178" s="140" t="s">
        <v>207</v>
      </c>
      <c r="C178" s="271" t="s">
        <v>198</v>
      </c>
    </row>
    <row r="179" spans="1:3">
      <c r="A179" s="268" t="s">
        <v>369</v>
      </c>
      <c r="B179" s="140" t="s">
        <v>209</v>
      </c>
      <c r="C179" s="271" t="s">
        <v>198</v>
      </c>
    </row>
    <row r="180" spans="1:3">
      <c r="A180" s="268" t="s">
        <v>370</v>
      </c>
      <c r="B180" s="140" t="s">
        <v>211</v>
      </c>
      <c r="C180" s="271" t="s">
        <v>198</v>
      </c>
    </row>
    <row r="181" spans="1:3">
      <c r="A181" s="263" t="s">
        <v>371</v>
      </c>
      <c r="B181" s="140" t="s">
        <v>212</v>
      </c>
      <c r="C181" s="271" t="s">
        <v>198</v>
      </c>
    </row>
    <row r="182" spans="1:3">
      <c r="A182" s="263">
        <v>12</v>
      </c>
      <c r="B182" s="141" t="s">
        <v>213</v>
      </c>
      <c r="C182" s="142" t="s">
        <v>198</v>
      </c>
    </row>
    <row r="183" spans="1:3">
      <c r="A183" s="268">
        <v>13</v>
      </c>
      <c r="B183" s="878" t="s">
        <v>214</v>
      </c>
      <c r="C183" s="142" t="s">
        <v>198</v>
      </c>
    </row>
    <row r="184" spans="1:3">
      <c r="A184" s="268">
        <v>14</v>
      </c>
      <c r="B184" s="875" t="s">
        <v>215</v>
      </c>
      <c r="C184" s="271" t="s">
        <v>198</v>
      </c>
    </row>
    <row r="185" spans="1:3">
      <c r="A185" s="263">
        <v>15</v>
      </c>
      <c r="B185" s="875" t="s">
        <v>216</v>
      </c>
      <c r="C185" s="271" t="s">
        <v>198</v>
      </c>
    </row>
    <row r="186" spans="1:3">
      <c r="A186" s="263">
        <v>16</v>
      </c>
      <c r="B186" s="875" t="s">
        <v>217</v>
      </c>
      <c r="C186" s="271" t="s">
        <v>198</v>
      </c>
    </row>
    <row r="187" spans="1:3">
      <c r="A187" s="263">
        <v>17</v>
      </c>
      <c r="B187" s="875" t="s">
        <v>218</v>
      </c>
      <c r="C187" s="271" t="s">
        <v>198</v>
      </c>
    </row>
    <row r="188" spans="1:3">
      <c r="A188" s="263">
        <v>18</v>
      </c>
      <c r="B188" s="875" t="s">
        <v>219</v>
      </c>
      <c r="C188" s="271" t="s">
        <v>198</v>
      </c>
    </row>
    <row r="189" spans="1:3">
      <c r="A189" s="263">
        <v>19</v>
      </c>
      <c r="B189" s="875" t="s">
        <v>220</v>
      </c>
      <c r="C189" s="271" t="s">
        <v>198</v>
      </c>
    </row>
    <row r="190" spans="1:3">
      <c r="A190" s="268">
        <v>20</v>
      </c>
      <c r="B190" s="878" t="s">
        <v>221</v>
      </c>
      <c r="C190" s="142" t="s">
        <v>198</v>
      </c>
    </row>
    <row r="191" spans="1:3">
      <c r="A191" s="268">
        <v>21</v>
      </c>
      <c r="B191" s="878" t="s">
        <v>222</v>
      </c>
      <c r="C191" s="142" t="s">
        <v>198</v>
      </c>
    </row>
    <row r="192" spans="1:3">
      <c r="A192" s="263">
        <v>22</v>
      </c>
      <c r="B192" s="878" t="s">
        <v>223</v>
      </c>
      <c r="C192" s="142" t="s">
        <v>198</v>
      </c>
    </row>
    <row r="193" spans="1:3">
      <c r="A193" s="268">
        <v>23</v>
      </c>
      <c r="B193" s="878" t="s">
        <v>224</v>
      </c>
      <c r="C193" s="142" t="s">
        <v>198</v>
      </c>
    </row>
    <row r="194" spans="1:3">
      <c r="A194" s="268">
        <v>24</v>
      </c>
      <c r="B194" s="141" t="s">
        <v>372</v>
      </c>
      <c r="C194" s="142" t="s">
        <v>198</v>
      </c>
    </row>
    <row r="195" spans="1:3">
      <c r="A195" s="268">
        <v>25</v>
      </c>
      <c r="B195" s="878" t="s">
        <v>226</v>
      </c>
      <c r="C195" s="142" t="s">
        <v>198</v>
      </c>
    </row>
    <row r="196" spans="1:3">
      <c r="A196" s="268">
        <v>26</v>
      </c>
      <c r="B196" s="141" t="s">
        <v>54</v>
      </c>
      <c r="C196" s="271" t="s">
        <v>373</v>
      </c>
    </row>
    <row r="197" spans="1:3">
      <c r="A197" s="268">
        <v>27</v>
      </c>
      <c r="B197" s="141" t="s">
        <v>204</v>
      </c>
      <c r="C197" s="142" t="s">
        <v>374</v>
      </c>
    </row>
    <row r="198" spans="1:3" ht="26.45">
      <c r="A198" s="268">
        <v>28</v>
      </c>
      <c r="B198" s="141" t="s">
        <v>375</v>
      </c>
      <c r="C198" s="142" t="s">
        <v>376</v>
      </c>
    </row>
    <row r="199" spans="1:3">
      <c r="A199" s="263">
        <v>29</v>
      </c>
      <c r="B199" s="878" t="s">
        <v>377</v>
      </c>
      <c r="C199" s="142" t="s">
        <v>378</v>
      </c>
    </row>
    <row r="200" spans="1:3" ht="28.35" customHeight="1">
      <c r="A200" s="268">
        <v>30</v>
      </c>
      <c r="B200" s="878" t="s">
        <v>379</v>
      </c>
      <c r="C200" s="142" t="s">
        <v>380</v>
      </c>
    </row>
    <row r="201" spans="1:3">
      <c r="A201" s="263">
        <v>31</v>
      </c>
      <c r="B201" s="878" t="s">
        <v>381</v>
      </c>
      <c r="C201" s="142" t="s">
        <v>382</v>
      </c>
    </row>
    <row r="202" spans="1:3" ht="13.9" thickBot="1">
      <c r="A202" s="269">
        <v>32</v>
      </c>
      <c r="B202" s="895" t="s">
        <v>383</v>
      </c>
      <c r="C202" s="272" t="s">
        <v>384</v>
      </c>
    </row>
    <row r="203" spans="1:3" ht="225" thickBot="1">
      <c r="A203" s="85"/>
      <c r="B203" s="258" t="s">
        <v>385</v>
      </c>
      <c r="C203" s="259" t="s">
        <v>386</v>
      </c>
    </row>
    <row r="204" spans="1:3" ht="27" thickBot="1">
      <c r="A204" s="85"/>
      <c r="B204" s="258" t="s">
        <v>387</v>
      </c>
      <c r="C204" s="259" t="s">
        <v>388</v>
      </c>
    </row>
    <row r="205" spans="1:3" ht="27" thickBot="1">
      <c r="A205" s="85"/>
      <c r="B205" s="258" t="s">
        <v>389</v>
      </c>
      <c r="C205" s="259" t="s">
        <v>390</v>
      </c>
    </row>
    <row r="206" spans="1:3" ht="75" customHeight="1" thickBot="1">
      <c r="A206" s="466"/>
      <c r="B206" s="467" t="s">
        <v>391</v>
      </c>
      <c r="C206" s="469" t="s">
        <v>392</v>
      </c>
    </row>
    <row r="207" spans="1:3" ht="53.45" thickBot="1">
      <c r="A207" s="466"/>
      <c r="B207" s="468" t="s">
        <v>393</v>
      </c>
      <c r="C207" s="470" t="s">
        <v>394</v>
      </c>
    </row>
    <row r="208" spans="1:3" ht="40.15" thickBot="1">
      <c r="A208" s="85"/>
      <c r="B208" s="258" t="s">
        <v>395</v>
      </c>
      <c r="C208" s="259" t="s">
        <v>396</v>
      </c>
    </row>
    <row r="209" spans="1:3" ht="13.9" thickBot="1">
      <c r="A209" s="85"/>
      <c r="B209" s="258" t="s">
        <v>397</v>
      </c>
      <c r="C209" s="259" t="s">
        <v>398</v>
      </c>
    </row>
    <row r="210" spans="1:3">
      <c r="A210" s="896"/>
      <c r="B210" s="896"/>
      <c r="C210" s="897"/>
    </row>
    <row r="211" spans="1:3">
      <c r="A211" s="896"/>
      <c r="B211" s="896"/>
      <c r="C211" s="897"/>
    </row>
    <row r="212" spans="1:3">
      <c r="A212" s="896"/>
      <c r="B212" s="896"/>
      <c r="C212" s="897"/>
    </row>
    <row r="213" spans="1:3">
      <c r="A213" s="896"/>
      <c r="B213" s="896"/>
      <c r="C213" s="897"/>
    </row>
    <row r="214" spans="1:3">
      <c r="A214" s="896"/>
      <c r="B214" s="896"/>
      <c r="C214" s="897"/>
    </row>
  </sheetData>
  <sheetProtection algorithmName="SHA-512" hashValue="w6ckiHNaXWMtWC5XxUVQoyH5qSiXgSoi5lNWUGpPJ3I2Ampzt75xzUV344CW2J9V9erocqlX8J0xy9HXt6ue6w==" saltValue="4FnNeTVOX+IxqVQl0oVcQw==" spinCount="100000" sheet="1" formatColumns="0" formatRow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4"/>
  <sheetViews>
    <sheetView zoomScale="60" zoomScaleNormal="60" workbookViewId="0"/>
  </sheetViews>
  <sheetFormatPr defaultColWidth="9.28515625" defaultRowHeight="13.15"/>
  <cols>
    <col min="1" max="1" width="3.28515625" customWidth="1"/>
    <col min="2" max="2" width="21.28515625" style="136" customWidth="1"/>
    <col min="3" max="3" width="14.28515625" style="136" customWidth="1"/>
    <col min="4" max="4" width="14.28515625" style="136" bestFit="1" customWidth="1"/>
    <col min="5" max="5" width="116.28515625" style="136" customWidth="1"/>
    <col min="6" max="16384" width="9.28515625" style="136"/>
  </cols>
  <sheetData>
    <row r="1" spans="2:5" ht="16.149999999999999" thickBot="1">
      <c r="B1" s="17" t="s">
        <v>399</v>
      </c>
      <c r="C1" s="14"/>
    </row>
    <row r="2" spans="2:5">
      <c r="B2" s="228" t="s">
        <v>400</v>
      </c>
      <c r="C2" s="898" t="s">
        <v>401</v>
      </c>
      <c r="D2" s="898" t="s">
        <v>402</v>
      </c>
      <c r="E2" s="899" t="s">
        <v>403</v>
      </c>
    </row>
    <row r="3" spans="2:5" ht="12.75" customHeight="1">
      <c r="B3" s="717" t="s">
        <v>404</v>
      </c>
      <c r="C3" s="720" t="s">
        <v>405</v>
      </c>
      <c r="D3" s="720" t="s">
        <v>406</v>
      </c>
      <c r="E3" s="722" t="s">
        <v>407</v>
      </c>
    </row>
    <row r="4" spans="2:5">
      <c r="B4" s="718"/>
      <c r="C4" s="721"/>
      <c r="D4" s="721"/>
      <c r="E4" s="723"/>
    </row>
    <row r="5" spans="2:5" ht="12.75" customHeight="1">
      <c r="B5" s="718"/>
      <c r="C5" s="725" t="s">
        <v>405</v>
      </c>
      <c r="D5" s="725" t="s">
        <v>408</v>
      </c>
      <c r="E5" s="723"/>
    </row>
    <row r="6" spans="2:5" ht="13.9" thickBot="1">
      <c r="B6" s="719"/>
      <c r="C6" s="726"/>
      <c r="D6" s="726"/>
      <c r="E6" s="724"/>
    </row>
    <row r="7" spans="2:5" ht="12.75" customHeight="1">
      <c r="B7" s="727" t="s">
        <v>409</v>
      </c>
      <c r="C7" s="900" t="s">
        <v>405</v>
      </c>
      <c r="D7" s="720" t="s">
        <v>406</v>
      </c>
      <c r="E7" s="901" t="s">
        <v>410</v>
      </c>
    </row>
    <row r="8" spans="2:5" ht="12.6" customHeight="1">
      <c r="B8" s="718"/>
      <c r="C8" s="721"/>
      <c r="D8" s="721"/>
      <c r="E8" s="723"/>
    </row>
    <row r="9" spans="2:5" ht="12.75" customHeight="1">
      <c r="B9" s="718"/>
      <c r="C9" s="725" t="s">
        <v>405</v>
      </c>
      <c r="D9" s="725" t="s">
        <v>408</v>
      </c>
      <c r="E9" s="723"/>
    </row>
    <row r="10" spans="2:5" ht="13.15" customHeight="1" thickBot="1">
      <c r="B10" s="719"/>
      <c r="C10" s="726"/>
      <c r="D10" s="726"/>
      <c r="E10" s="724"/>
    </row>
    <row r="11" spans="2:5" ht="12.75" customHeight="1">
      <c r="B11" s="727" t="s">
        <v>411</v>
      </c>
      <c r="C11" s="902" t="s">
        <v>412</v>
      </c>
      <c r="D11" s="720" t="s">
        <v>406</v>
      </c>
      <c r="E11" s="903" t="s">
        <v>413</v>
      </c>
    </row>
    <row r="12" spans="2:5">
      <c r="B12" s="718"/>
      <c r="C12" s="702" t="s">
        <v>414</v>
      </c>
      <c r="D12" s="721"/>
      <c r="E12" s="728"/>
    </row>
    <row r="13" spans="2:5" ht="12.75" customHeight="1">
      <c r="B13" s="718"/>
      <c r="C13" s="703" t="s">
        <v>415</v>
      </c>
      <c r="D13" s="725" t="s">
        <v>408</v>
      </c>
      <c r="E13" s="729" t="s">
        <v>416</v>
      </c>
    </row>
    <row r="14" spans="2:5" ht="13.9" thickBot="1">
      <c r="B14" s="718"/>
      <c r="C14" s="703" t="s">
        <v>417</v>
      </c>
      <c r="D14" s="726"/>
      <c r="E14" s="728"/>
    </row>
    <row r="15" spans="2:5" ht="12.75" customHeight="1">
      <c r="B15" s="727" t="s">
        <v>418</v>
      </c>
      <c r="C15" s="902" t="s">
        <v>419</v>
      </c>
      <c r="D15" s="720" t="s">
        <v>406</v>
      </c>
      <c r="E15" s="903" t="s">
        <v>420</v>
      </c>
    </row>
    <row r="16" spans="2:5">
      <c r="B16" s="718"/>
      <c r="C16" s="702" t="s">
        <v>421</v>
      </c>
      <c r="D16" s="721"/>
      <c r="E16" s="728"/>
    </row>
    <row r="17" spans="2:5" ht="12.75" customHeight="1">
      <c r="B17" s="718"/>
      <c r="C17" s="703" t="s">
        <v>422</v>
      </c>
      <c r="D17" s="725" t="s">
        <v>408</v>
      </c>
      <c r="E17" s="729" t="s">
        <v>423</v>
      </c>
    </row>
    <row r="18" spans="2:5" ht="13.9" thickBot="1">
      <c r="B18" s="718"/>
      <c r="C18" s="703" t="s">
        <v>424</v>
      </c>
      <c r="D18" s="726"/>
      <c r="E18" s="728"/>
    </row>
    <row r="19" spans="2:5" ht="12.75" customHeight="1">
      <c r="B19" s="727" t="s">
        <v>425</v>
      </c>
      <c r="C19" s="900" t="s">
        <v>426</v>
      </c>
      <c r="D19" s="720" t="s">
        <v>406</v>
      </c>
      <c r="E19" s="903" t="s">
        <v>427</v>
      </c>
    </row>
    <row r="20" spans="2:5">
      <c r="B20" s="718"/>
      <c r="C20" s="721"/>
      <c r="D20" s="721"/>
      <c r="E20" s="728"/>
    </row>
    <row r="21" spans="2:5">
      <c r="B21" s="718"/>
      <c r="C21" s="725" t="s">
        <v>428</v>
      </c>
      <c r="D21" s="725" t="s">
        <v>408</v>
      </c>
      <c r="E21" s="730" t="s">
        <v>429</v>
      </c>
    </row>
    <row r="22" spans="2:5" ht="13.9" thickBot="1">
      <c r="B22" s="719"/>
      <c r="C22" s="726"/>
      <c r="D22" s="726"/>
      <c r="E22" s="731"/>
    </row>
    <row r="23" spans="2:5" ht="12.75" customHeight="1">
      <c r="B23" s="718" t="s">
        <v>430</v>
      </c>
      <c r="C23" s="173" t="s">
        <v>431</v>
      </c>
      <c r="D23" s="173" t="s">
        <v>406</v>
      </c>
      <c r="E23" s="903" t="s">
        <v>432</v>
      </c>
    </row>
    <row r="24" spans="2:5" ht="13.9" thickBot="1">
      <c r="B24" s="719"/>
      <c r="C24" s="704" t="s">
        <v>433</v>
      </c>
      <c r="D24" s="704" t="s">
        <v>408</v>
      </c>
      <c r="E24" s="904"/>
    </row>
  </sheetData>
  <sheetProtection algorithmName="SHA-512" hashValue="GcwTuklfUwhD3tDBhMD4vdza08SEZF63RejyCg2YWcz6AbNnVtqUiYtOKS+SEkfp8gLOVF0NIbFjdOF+Z3jqYQ==" saltValue="Ei6lLQqTuU5i+lFoLVdZSQ==" spinCount="100000" sheet="1" objects="1" scenarios="1" formatColumns="0" formatRows="0"/>
  <mergeCells count="31">
    <mergeCell ref="B23:B24"/>
    <mergeCell ref="E23:E24"/>
    <mergeCell ref="B19:B22"/>
    <mergeCell ref="C19:C20"/>
    <mergeCell ref="D19:D20"/>
    <mergeCell ref="E19:E20"/>
    <mergeCell ref="C21:C22"/>
    <mergeCell ref="D21:D22"/>
    <mergeCell ref="E21:E22"/>
    <mergeCell ref="B11:B14"/>
    <mergeCell ref="D11:D12"/>
    <mergeCell ref="E11:E12"/>
    <mergeCell ref="D13:D14"/>
    <mergeCell ref="E13:E14"/>
    <mergeCell ref="B15:B18"/>
    <mergeCell ref="D15:D16"/>
    <mergeCell ref="E15:E16"/>
    <mergeCell ref="D17:D18"/>
    <mergeCell ref="E17:E18"/>
    <mergeCell ref="B7:B10"/>
    <mergeCell ref="C7:C8"/>
    <mergeCell ref="D7:D8"/>
    <mergeCell ref="E7:E10"/>
    <mergeCell ref="C9:C10"/>
    <mergeCell ref="D9:D10"/>
    <mergeCell ref="B3:B6"/>
    <mergeCell ref="C3:C4"/>
    <mergeCell ref="D3:D4"/>
    <mergeCell ref="E3:E6"/>
    <mergeCell ref="C5:C6"/>
    <mergeCell ref="D5:D6"/>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7"/>
  <sheetViews>
    <sheetView zoomScale="60" zoomScaleNormal="60" workbookViewId="0"/>
  </sheetViews>
  <sheetFormatPr defaultColWidth="9.28515625" defaultRowHeight="13.15"/>
  <cols>
    <col min="1" max="1" width="12.5703125" style="123" customWidth="1"/>
    <col min="2" max="2" width="39.28515625" style="95" bestFit="1" customWidth="1"/>
    <col min="3" max="3" width="104.5703125" style="95" customWidth="1"/>
    <col min="4" max="16384" width="9.28515625" style="95"/>
  </cols>
  <sheetData>
    <row r="1" spans="1:3" ht="15.6">
      <c r="A1" s="226" t="s">
        <v>367</v>
      </c>
      <c r="B1" s="136"/>
    </row>
    <row r="2" spans="1:3">
      <c r="A2" s="227"/>
      <c r="B2" s="124"/>
      <c r="C2" s="124"/>
    </row>
    <row r="3" spans="1:3" s="115" customFormat="1">
      <c r="A3" s="125" t="s">
        <v>434</v>
      </c>
      <c r="B3" s="126" t="s">
        <v>435</v>
      </c>
      <c r="C3" s="130" t="s">
        <v>436</v>
      </c>
    </row>
    <row r="4" spans="1:3" s="116" customFormat="1">
      <c r="A4" s="127" t="s">
        <v>437</v>
      </c>
      <c r="B4" s="128"/>
      <c r="C4" s="131"/>
    </row>
    <row r="5" spans="1:3">
      <c r="A5" s="170"/>
      <c r="B5" s="117" t="s">
        <v>438</v>
      </c>
      <c r="C5" s="117"/>
    </row>
    <row r="6" spans="1:3">
      <c r="A6" s="171"/>
      <c r="B6" s="118" t="s">
        <v>439</v>
      </c>
      <c r="C6" s="118"/>
    </row>
    <row r="7" spans="1:3" ht="52.9">
      <c r="A7" s="119">
        <v>1</v>
      </c>
      <c r="B7" s="120" t="s">
        <v>197</v>
      </c>
      <c r="C7" s="129" t="s">
        <v>440</v>
      </c>
    </row>
    <row r="8" spans="1:3">
      <c r="A8" s="121">
        <v>2</v>
      </c>
      <c r="B8" s="122" t="s">
        <v>199</v>
      </c>
      <c r="C8" s="129" t="s">
        <v>441</v>
      </c>
    </row>
    <row r="9" spans="1:3" ht="39.6">
      <c r="A9" s="119">
        <v>3</v>
      </c>
      <c r="B9" s="120" t="s">
        <v>200</v>
      </c>
      <c r="C9" s="129" t="s">
        <v>442</v>
      </c>
    </row>
    <row r="10" spans="1:3" ht="26.45">
      <c r="A10" s="121">
        <v>4</v>
      </c>
      <c r="B10" s="122" t="s">
        <v>201</v>
      </c>
      <c r="C10" s="129" t="s">
        <v>443</v>
      </c>
    </row>
    <row r="11" spans="1:3" ht="105.6">
      <c r="A11" s="119">
        <v>5</v>
      </c>
      <c r="B11" s="120" t="s">
        <v>202</v>
      </c>
      <c r="C11" s="129" t="s">
        <v>444</v>
      </c>
    </row>
    <row r="12" spans="1:3" ht="26.45">
      <c r="A12" s="119">
        <v>6</v>
      </c>
      <c r="B12" s="120" t="s">
        <v>203</v>
      </c>
      <c r="C12" s="129" t="s">
        <v>445</v>
      </c>
    </row>
    <row r="13" spans="1:3" ht="92.45">
      <c r="A13" s="121">
        <v>7</v>
      </c>
      <c r="B13" s="122" t="s">
        <v>204</v>
      </c>
      <c r="C13" s="129" t="s">
        <v>446</v>
      </c>
    </row>
    <row r="14" spans="1:3" ht="26.45">
      <c r="A14" s="119">
        <v>8</v>
      </c>
      <c r="B14" s="120" t="s">
        <v>205</v>
      </c>
      <c r="C14" s="129" t="s">
        <v>447</v>
      </c>
    </row>
    <row r="15" spans="1:3" ht="26.45">
      <c r="A15" s="600">
        <v>9</v>
      </c>
      <c r="B15" s="601" t="s">
        <v>206</v>
      </c>
      <c r="C15" s="599" t="s">
        <v>448</v>
      </c>
    </row>
    <row r="16" spans="1:3" ht="158.44999999999999">
      <c r="A16" s="600" t="s">
        <v>449</v>
      </c>
      <c r="B16" s="601" t="s">
        <v>207</v>
      </c>
      <c r="C16" s="599" t="s">
        <v>450</v>
      </c>
    </row>
    <row r="17" spans="1:3" ht="158.44999999999999">
      <c r="A17" s="602" t="s">
        <v>451</v>
      </c>
      <c r="B17" s="603" t="s">
        <v>209</v>
      </c>
      <c r="C17" s="599" t="s">
        <v>452</v>
      </c>
    </row>
    <row r="18" spans="1:3" ht="158.44999999999999">
      <c r="A18" s="602" t="s">
        <v>453</v>
      </c>
      <c r="B18" s="603" t="s">
        <v>211</v>
      </c>
      <c r="C18" s="599" t="s">
        <v>454</v>
      </c>
    </row>
    <row r="19" spans="1:3" ht="158.44999999999999">
      <c r="A19" s="602" t="s">
        <v>455</v>
      </c>
      <c r="B19" s="603" t="s">
        <v>212</v>
      </c>
      <c r="C19" s="599" t="s">
        <v>456</v>
      </c>
    </row>
    <row r="20" spans="1:3" ht="39.6">
      <c r="A20" s="600">
        <v>12</v>
      </c>
      <c r="B20" s="120" t="s">
        <v>213</v>
      </c>
      <c r="C20" s="129" t="s">
        <v>457</v>
      </c>
    </row>
    <row r="21" spans="1:3" ht="118.9">
      <c r="A21" s="602">
        <v>13</v>
      </c>
      <c r="B21" s="122" t="s">
        <v>214</v>
      </c>
      <c r="C21" s="129" t="s">
        <v>458</v>
      </c>
    </row>
    <row r="22" spans="1:3" ht="26.45">
      <c r="A22" s="600">
        <v>14</v>
      </c>
      <c r="B22" s="122" t="s">
        <v>215</v>
      </c>
      <c r="C22" s="650" t="s">
        <v>459</v>
      </c>
    </row>
    <row r="23" spans="1:3" ht="39.6">
      <c r="A23" s="600">
        <v>15</v>
      </c>
      <c r="B23" s="122" t="s">
        <v>216</v>
      </c>
      <c r="C23" s="650" t="s">
        <v>460</v>
      </c>
    </row>
    <row r="24" spans="1:3" ht="92.45">
      <c r="A24" s="600">
        <v>16</v>
      </c>
      <c r="B24" s="122" t="s">
        <v>217</v>
      </c>
      <c r="C24" s="650" t="s">
        <v>461</v>
      </c>
    </row>
    <row r="25" spans="1:3" ht="52.9">
      <c r="A25" s="600">
        <v>17</v>
      </c>
      <c r="B25" s="122" t="s">
        <v>218</v>
      </c>
      <c r="C25" s="650" t="s">
        <v>462</v>
      </c>
    </row>
    <row r="26" spans="1:3" ht="39.6">
      <c r="A26" s="600">
        <v>18</v>
      </c>
      <c r="B26" s="122" t="s">
        <v>219</v>
      </c>
      <c r="C26" s="650" t="s">
        <v>463</v>
      </c>
    </row>
    <row r="27" spans="1:3" ht="92.45">
      <c r="A27" s="600">
        <v>19</v>
      </c>
      <c r="B27" s="122" t="s">
        <v>220</v>
      </c>
      <c r="C27" s="650" t="s">
        <v>464</v>
      </c>
    </row>
    <row r="28" spans="1:3">
      <c r="A28" s="600">
        <v>20</v>
      </c>
      <c r="B28" s="120" t="s">
        <v>221</v>
      </c>
      <c r="C28" s="99" t="s">
        <v>465</v>
      </c>
    </row>
    <row r="29" spans="1:3" ht="52.9">
      <c r="A29" s="602">
        <v>21</v>
      </c>
      <c r="B29" s="122" t="s">
        <v>222</v>
      </c>
      <c r="C29" s="129" t="s">
        <v>466</v>
      </c>
    </row>
    <row r="30" spans="1:3" ht="39.6">
      <c r="A30" s="600">
        <v>22</v>
      </c>
      <c r="B30" s="120" t="s">
        <v>223</v>
      </c>
      <c r="C30" s="129" t="s">
        <v>467</v>
      </c>
    </row>
    <row r="31" spans="1:3" ht="26.45">
      <c r="A31" s="602">
        <v>23</v>
      </c>
      <c r="B31" s="122" t="s">
        <v>468</v>
      </c>
      <c r="C31" s="129" t="s">
        <v>469</v>
      </c>
    </row>
    <row r="32" spans="1:3">
      <c r="A32" s="905">
        <v>24</v>
      </c>
      <c r="B32" s="679" t="s">
        <v>372</v>
      </c>
      <c r="C32" s="890" t="s">
        <v>470</v>
      </c>
    </row>
    <row r="33" spans="1:3">
      <c r="A33" s="905">
        <v>25</v>
      </c>
      <c r="B33" s="679" t="s">
        <v>226</v>
      </c>
      <c r="C33" s="906" t="s">
        <v>471</v>
      </c>
    </row>
    <row r="42" spans="1:3">
      <c r="A42" s="95"/>
    </row>
    <row r="69" spans="1:1">
      <c r="A69" s="95"/>
    </row>
    <row r="131" spans="1:1">
      <c r="A131" s="95"/>
    </row>
    <row r="149" spans="1:1">
      <c r="A149" s="95"/>
    </row>
    <row r="187" spans="1:1">
      <c r="A187" s="95"/>
    </row>
  </sheetData>
  <sheetProtection algorithmName="SHA-512" hashValue="Z4aW2l6qKio+6Gf+aOLoGbpefb0knUsne6bzJLuHklnytVe/jvHpfvi2QOyf1dlAuIfhfFtYoe9vVJBKDa28Iw==" saltValue="8B41s+DWcRmgSEs5OByxQw==" spinCount="100000" sheet="1" formatColumns="0" formatRows="0"/>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60" zoomScaleNormal="60" workbookViewId="0"/>
  </sheetViews>
  <sheetFormatPr defaultColWidth="8.5703125" defaultRowHeight="13.15"/>
  <cols>
    <col min="1" max="1" width="56.5703125" style="185" customWidth="1"/>
    <col min="2" max="2" width="24.5703125" style="185" customWidth="1"/>
    <col min="3" max="3" width="26" style="185" customWidth="1"/>
    <col min="4" max="4" width="27.28515625" style="185" customWidth="1"/>
    <col min="5" max="5" width="21.28515625" style="185" customWidth="1"/>
    <col min="6" max="6" width="16.28515625" style="185" customWidth="1"/>
    <col min="7" max="7" width="13.28515625" style="576" customWidth="1"/>
    <col min="8" max="16384" width="8.5703125" style="185"/>
  </cols>
  <sheetData>
    <row r="1" spans="1:8" ht="22.9">
      <c r="A1" s="545" t="s">
        <v>472</v>
      </c>
      <c r="B1"/>
      <c r="C1"/>
      <c r="D1"/>
      <c r="E1"/>
      <c r="F1"/>
      <c r="G1" s="40"/>
      <c r="H1"/>
    </row>
    <row r="2" spans="1:8" ht="30.6" customHeight="1">
      <c r="A2" s="741" t="s">
        <v>473</v>
      </c>
      <c r="B2" s="741"/>
      <c r="C2" s="741"/>
      <c r="D2" s="741"/>
      <c r="E2" s="741"/>
      <c r="F2" s="741"/>
      <c r="G2" s="40"/>
      <c r="H2"/>
    </row>
    <row r="3" spans="1:8" ht="15" customHeight="1">
      <c r="A3" s="558" t="s">
        <v>474</v>
      </c>
      <c r="B3"/>
      <c r="C3"/>
      <c r="D3"/>
      <c r="E3"/>
      <c r="F3"/>
      <c r="G3" s="40"/>
      <c r="H3"/>
    </row>
    <row r="4" spans="1:8" ht="13.9">
      <c r="A4" s="558" t="s">
        <v>475</v>
      </c>
      <c r="B4"/>
      <c r="C4"/>
      <c r="D4"/>
      <c r="E4"/>
      <c r="F4"/>
      <c r="G4" s="40"/>
      <c r="H4"/>
    </row>
    <row r="5" spans="1:8" ht="29.1" customHeight="1">
      <c r="A5" s="735" t="s">
        <v>476</v>
      </c>
      <c r="B5" s="735"/>
      <c r="C5" s="735"/>
      <c r="D5" s="735"/>
      <c r="E5" s="735"/>
      <c r="F5" s="735"/>
      <c r="G5" s="40"/>
      <c r="H5"/>
    </row>
    <row r="6" spans="1:8" ht="14.45" thickBot="1">
      <c r="A6" s="558"/>
      <c r="B6"/>
      <c r="C6"/>
      <c r="D6"/>
      <c r="E6"/>
      <c r="F6"/>
      <c r="G6" s="40"/>
      <c r="H6"/>
    </row>
    <row r="7" spans="1:8" ht="53.45" thickBot="1">
      <c r="A7" s="555" t="s">
        <v>477</v>
      </c>
      <c r="B7" s="556" t="s">
        <v>478</v>
      </c>
      <c r="C7" s="556" t="s">
        <v>479</v>
      </c>
      <c r="D7" s="556" t="s">
        <v>397</v>
      </c>
      <c r="E7" s="556" t="s">
        <v>480</v>
      </c>
      <c r="F7" s="557" t="s">
        <v>481</v>
      </c>
      <c r="G7" s="557" t="s">
        <v>482</v>
      </c>
    </row>
    <row r="8" spans="1:8" ht="27" thickBot="1">
      <c r="A8" s="705" t="s">
        <v>218</v>
      </c>
      <c r="B8" s="907"/>
      <c r="C8" s="907" t="s">
        <v>483</v>
      </c>
      <c r="D8" s="908"/>
      <c r="E8" s="654"/>
      <c r="F8" s="654" t="s">
        <v>484</v>
      </c>
      <c r="G8" s="909">
        <v>17</v>
      </c>
    </row>
    <row r="9" spans="1:8" ht="27" thickBot="1">
      <c r="A9" s="705" t="s">
        <v>485</v>
      </c>
      <c r="B9" s="907"/>
      <c r="C9" s="907" t="s">
        <v>483</v>
      </c>
      <c r="D9" s="654"/>
      <c r="E9" s="654"/>
      <c r="F9" s="654" t="s">
        <v>486</v>
      </c>
      <c r="G9" s="909">
        <v>16</v>
      </c>
    </row>
    <row r="10" spans="1:8" ht="13.9" thickBot="1">
      <c r="A10" s="705" t="s">
        <v>487</v>
      </c>
      <c r="B10" s="907" t="s">
        <v>483</v>
      </c>
      <c r="C10" s="907"/>
      <c r="D10" s="654"/>
      <c r="E10" s="654"/>
      <c r="F10" s="654" t="s">
        <v>488</v>
      </c>
      <c r="G10" s="909">
        <v>20</v>
      </c>
    </row>
    <row r="11" spans="1:8" ht="40.15" thickBot="1">
      <c r="A11" s="705" t="s">
        <v>489</v>
      </c>
      <c r="B11" s="907" t="s">
        <v>483</v>
      </c>
      <c r="C11" s="907"/>
      <c r="D11" s="663" t="s">
        <v>490</v>
      </c>
      <c r="E11" s="657"/>
      <c r="F11" s="660" t="s">
        <v>491</v>
      </c>
      <c r="G11" s="909">
        <v>3</v>
      </c>
    </row>
    <row r="12" spans="1:8" ht="13.9" thickBot="1">
      <c r="A12" s="705" t="s">
        <v>492</v>
      </c>
      <c r="B12" s="907" t="s">
        <v>483</v>
      </c>
      <c r="C12" s="907"/>
      <c r="D12" s="654"/>
      <c r="E12" s="654"/>
      <c r="F12" s="654" t="s">
        <v>493</v>
      </c>
      <c r="G12" s="909">
        <v>5</v>
      </c>
    </row>
    <row r="13" spans="1:8" ht="13.9" thickBot="1">
      <c r="A13" s="705" t="s">
        <v>494</v>
      </c>
      <c r="B13" s="907" t="s">
        <v>483</v>
      </c>
      <c r="C13" s="907"/>
      <c r="D13" s="654"/>
      <c r="E13" s="654"/>
      <c r="F13" s="654" t="s">
        <v>495</v>
      </c>
      <c r="G13" s="909">
        <v>5</v>
      </c>
    </row>
    <row r="14" spans="1:8" ht="52.9">
      <c r="A14" s="739" t="s">
        <v>496</v>
      </c>
      <c r="B14" s="739" t="s">
        <v>483</v>
      </c>
      <c r="C14" s="737"/>
      <c r="D14" s="739"/>
      <c r="E14" s="739"/>
      <c r="F14" s="559" t="s">
        <v>497</v>
      </c>
      <c r="G14" s="742">
        <v>2</v>
      </c>
    </row>
    <row r="15" spans="1:8" ht="79.900000000000006" customHeight="1" thickBot="1">
      <c r="A15" s="740"/>
      <c r="B15" s="740"/>
      <c r="C15" s="738"/>
      <c r="D15" s="740"/>
      <c r="E15" s="740"/>
      <c r="F15" s="654" t="s">
        <v>498</v>
      </c>
      <c r="G15" s="743"/>
    </row>
    <row r="16" spans="1:8" ht="61.35" customHeight="1">
      <c r="A16" s="737" t="s">
        <v>499</v>
      </c>
      <c r="B16" s="739" t="s">
        <v>483</v>
      </c>
      <c r="C16" s="739"/>
      <c r="D16" s="737"/>
      <c r="E16" s="737"/>
      <c r="F16" s="559" t="s">
        <v>500</v>
      </c>
      <c r="G16" s="742">
        <v>4</v>
      </c>
    </row>
    <row r="17" spans="1:7" ht="81.599999999999994" customHeight="1" thickBot="1">
      <c r="A17" s="738"/>
      <c r="B17" s="740"/>
      <c r="C17" s="740"/>
      <c r="D17" s="738"/>
      <c r="E17" s="738"/>
      <c r="F17" s="654" t="s">
        <v>501</v>
      </c>
      <c r="G17" s="743"/>
    </row>
    <row r="18" spans="1:7" ht="79.900000000000006" thickBot="1">
      <c r="A18" s="705" t="s">
        <v>502</v>
      </c>
      <c r="B18" s="907"/>
      <c r="C18" s="907" t="s">
        <v>483</v>
      </c>
      <c r="D18" s="654" t="s">
        <v>503</v>
      </c>
      <c r="E18" s="654"/>
      <c r="F18" s="654"/>
      <c r="G18" s="909"/>
    </row>
    <row r="19" spans="1:7" ht="102.6" customHeight="1" thickBot="1">
      <c r="A19" s="705" t="s">
        <v>504</v>
      </c>
      <c r="B19" s="907" t="s">
        <v>483</v>
      </c>
      <c r="C19" s="907"/>
      <c r="D19" s="662" t="s">
        <v>505</v>
      </c>
      <c r="E19" s="654"/>
      <c r="F19" s="654" t="s">
        <v>506</v>
      </c>
      <c r="G19" s="909">
        <v>5</v>
      </c>
    </row>
    <row r="20" spans="1:7" ht="13.35" customHeight="1" thickBot="1">
      <c r="A20" s="705" t="s">
        <v>507</v>
      </c>
      <c r="B20" s="907" t="s">
        <v>483</v>
      </c>
      <c r="C20" s="907"/>
      <c r="D20" s="654"/>
      <c r="E20" s="654"/>
      <c r="F20" s="654" t="s">
        <v>508</v>
      </c>
      <c r="G20" s="909">
        <v>12</v>
      </c>
    </row>
    <row r="21" spans="1:7" ht="63" customHeight="1" thickBot="1">
      <c r="A21" s="560" t="s">
        <v>509</v>
      </c>
      <c r="B21" s="907"/>
      <c r="C21" s="907"/>
      <c r="D21" s="654" t="s">
        <v>510</v>
      </c>
      <c r="E21" s="907"/>
      <c r="F21" s="654"/>
      <c r="G21" s="909">
        <v>19</v>
      </c>
    </row>
    <row r="22" spans="1:7" ht="13.9" thickBot="1">
      <c r="A22" s="705" t="s">
        <v>511</v>
      </c>
      <c r="B22" s="907"/>
      <c r="C22" s="907" t="s">
        <v>483</v>
      </c>
      <c r="D22" s="907"/>
      <c r="E22" s="907"/>
      <c r="F22" s="654" t="s">
        <v>512</v>
      </c>
      <c r="G22" s="909">
        <v>19</v>
      </c>
    </row>
    <row r="23" spans="1:7" ht="13.9" thickBot="1">
      <c r="A23" s="705" t="s">
        <v>513</v>
      </c>
      <c r="B23" s="907"/>
      <c r="C23" s="907" t="s">
        <v>483</v>
      </c>
      <c r="D23" s="907"/>
      <c r="E23" s="910"/>
      <c r="F23" s="654" t="s">
        <v>514</v>
      </c>
      <c r="G23" s="909">
        <v>19</v>
      </c>
    </row>
    <row r="24" spans="1:7" ht="13.9" thickBot="1">
      <c r="A24" s="705" t="s">
        <v>515</v>
      </c>
      <c r="B24" s="907"/>
      <c r="C24" s="907" t="s">
        <v>483</v>
      </c>
      <c r="D24" s="907"/>
      <c r="E24" s="910"/>
      <c r="F24" s="654" t="s">
        <v>516</v>
      </c>
      <c r="G24" s="909">
        <v>19</v>
      </c>
    </row>
    <row r="25" spans="1:7" ht="40.15" thickBot="1">
      <c r="A25" s="705" t="s">
        <v>517</v>
      </c>
      <c r="B25" s="907"/>
      <c r="C25" s="907" t="s">
        <v>483</v>
      </c>
      <c r="D25" s="907"/>
      <c r="E25" s="654" t="s">
        <v>518</v>
      </c>
      <c r="F25" s="654" t="s">
        <v>519</v>
      </c>
      <c r="G25" s="909">
        <v>19</v>
      </c>
    </row>
    <row r="26" spans="1:7" ht="13.9" thickBot="1">
      <c r="A26" s="705" t="s">
        <v>520</v>
      </c>
      <c r="B26" s="907"/>
      <c r="C26" s="907" t="s">
        <v>483</v>
      </c>
      <c r="D26" s="907"/>
      <c r="E26" s="907"/>
      <c r="F26" s="654" t="s">
        <v>521</v>
      </c>
      <c r="G26" s="909">
        <v>19</v>
      </c>
    </row>
    <row r="27" spans="1:7" ht="13.9" thickBot="1">
      <c r="A27" s="705" t="s">
        <v>522</v>
      </c>
      <c r="B27" s="907"/>
      <c r="C27" s="907" t="s">
        <v>483</v>
      </c>
      <c r="D27" s="907" t="s">
        <v>523</v>
      </c>
      <c r="E27" s="907"/>
      <c r="F27" s="654" t="s">
        <v>524</v>
      </c>
      <c r="G27" s="909">
        <v>17</v>
      </c>
    </row>
    <row r="28" spans="1:7" ht="13.9" thickBot="1">
      <c r="A28" s="705" t="s">
        <v>525</v>
      </c>
      <c r="B28" s="907"/>
      <c r="C28" s="907"/>
      <c r="D28" s="907"/>
      <c r="E28" s="907"/>
      <c r="F28" s="654" t="s">
        <v>526</v>
      </c>
      <c r="G28" s="909">
        <v>19</v>
      </c>
    </row>
    <row r="29" spans="1:7" ht="27" thickBot="1">
      <c r="A29" s="705" t="s">
        <v>527</v>
      </c>
      <c r="B29" s="907"/>
      <c r="C29" s="907" t="s">
        <v>483</v>
      </c>
      <c r="D29" s="659" t="s">
        <v>528</v>
      </c>
      <c r="E29" s="661" t="s">
        <v>529</v>
      </c>
      <c r="F29" s="660" t="s">
        <v>530</v>
      </c>
      <c r="G29" s="909">
        <v>19</v>
      </c>
    </row>
    <row r="30" spans="1:7" ht="13.9" thickBot="1">
      <c r="A30" s="705" t="s">
        <v>531</v>
      </c>
      <c r="B30" s="907"/>
      <c r="C30" s="907" t="s">
        <v>483</v>
      </c>
      <c r="D30" s="907"/>
      <c r="E30" s="907"/>
      <c r="F30" s="654" t="s">
        <v>532</v>
      </c>
      <c r="G30" s="909">
        <v>19</v>
      </c>
    </row>
    <row r="31" spans="1:7" ht="13.35" customHeight="1" thickBot="1">
      <c r="A31" s="705" t="s">
        <v>533</v>
      </c>
      <c r="B31" s="907"/>
      <c r="C31" s="907" t="s">
        <v>483</v>
      </c>
      <c r="D31" s="907"/>
      <c r="E31" s="907"/>
      <c r="F31" s="654" t="s">
        <v>534</v>
      </c>
      <c r="G31" s="909">
        <v>19</v>
      </c>
    </row>
    <row r="32" spans="1:7" ht="13.9" thickBot="1">
      <c r="A32" s="705" t="s">
        <v>535</v>
      </c>
      <c r="B32" s="907"/>
      <c r="C32" s="907" t="s">
        <v>483</v>
      </c>
      <c r="D32" s="907"/>
      <c r="E32" s="907"/>
      <c r="F32" s="654" t="s">
        <v>536</v>
      </c>
      <c r="G32" s="909">
        <v>19</v>
      </c>
    </row>
    <row r="33" spans="1:7" ht="13.35" customHeight="1" thickBot="1">
      <c r="A33" s="705" t="s">
        <v>537</v>
      </c>
      <c r="B33" s="907"/>
      <c r="C33" s="907"/>
      <c r="D33" s="907"/>
      <c r="E33" s="911"/>
      <c r="F33" s="654" t="s">
        <v>538</v>
      </c>
      <c r="G33" s="909">
        <v>19</v>
      </c>
    </row>
    <row r="34" spans="1:7" ht="13.9" thickBot="1">
      <c r="A34" s="705" t="s">
        <v>539</v>
      </c>
      <c r="B34" s="907"/>
      <c r="C34" s="907" t="s">
        <v>483</v>
      </c>
      <c r="D34" s="907"/>
      <c r="E34" s="907"/>
      <c r="F34" s="654" t="s">
        <v>540</v>
      </c>
      <c r="G34" s="909">
        <v>18</v>
      </c>
    </row>
    <row r="35" spans="1:7" ht="13.9" thickBot="1">
      <c r="A35" s="705" t="s">
        <v>541</v>
      </c>
      <c r="B35" s="907"/>
      <c r="C35" s="907" t="s">
        <v>483</v>
      </c>
      <c r="D35" s="907"/>
      <c r="E35" s="907"/>
      <c r="F35" s="654" t="s">
        <v>542</v>
      </c>
      <c r="G35" s="909">
        <v>19</v>
      </c>
    </row>
    <row r="36" spans="1:7" ht="53.45" thickBot="1">
      <c r="A36" s="705" t="s">
        <v>543</v>
      </c>
      <c r="B36" s="907"/>
      <c r="C36" s="907" t="s">
        <v>483</v>
      </c>
      <c r="D36" s="656" t="s">
        <v>544</v>
      </c>
      <c r="E36" s="907"/>
      <c r="F36" s="654" t="s">
        <v>545</v>
      </c>
      <c r="G36" s="909">
        <v>19</v>
      </c>
    </row>
    <row r="37" spans="1:7" ht="13.9" thickBot="1">
      <c r="A37" s="705" t="s">
        <v>546</v>
      </c>
      <c r="B37" s="907"/>
      <c r="C37" s="907" t="s">
        <v>483</v>
      </c>
      <c r="D37" s="907"/>
      <c r="E37" s="907"/>
      <c r="F37" s="654" t="s">
        <v>547</v>
      </c>
      <c r="G37" s="909">
        <v>19</v>
      </c>
    </row>
    <row r="38" spans="1:7" ht="53.45" thickBot="1">
      <c r="A38" s="705" t="s">
        <v>548</v>
      </c>
      <c r="B38" s="907"/>
      <c r="C38" s="907" t="s">
        <v>483</v>
      </c>
      <c r="D38" s="654" t="s">
        <v>549</v>
      </c>
      <c r="E38" s="654"/>
      <c r="F38" s="654" t="s">
        <v>550</v>
      </c>
      <c r="G38" s="909">
        <v>14</v>
      </c>
    </row>
    <row r="39" spans="1:7" ht="79.900000000000006" thickBot="1">
      <c r="A39" s="705" t="s">
        <v>551</v>
      </c>
      <c r="B39" s="907"/>
      <c r="C39" s="907" t="s">
        <v>483</v>
      </c>
      <c r="D39" s="654"/>
      <c r="E39" s="654"/>
      <c r="F39" s="654" t="s">
        <v>552</v>
      </c>
      <c r="G39" s="909">
        <v>15</v>
      </c>
    </row>
    <row r="40" spans="1:7" ht="40.15" thickBot="1">
      <c r="A40" s="705" t="s">
        <v>553</v>
      </c>
      <c r="B40" s="907"/>
      <c r="C40" s="907" t="s">
        <v>483</v>
      </c>
      <c r="D40" s="907"/>
      <c r="E40" s="907"/>
      <c r="F40" s="654" t="s">
        <v>554</v>
      </c>
      <c r="G40" s="909">
        <v>19</v>
      </c>
    </row>
    <row r="41" spans="1:7" ht="53.45" thickBot="1">
      <c r="A41" s="705" t="s">
        <v>555</v>
      </c>
      <c r="B41" s="907"/>
      <c r="C41" s="907" t="s">
        <v>483</v>
      </c>
      <c r="D41" s="656" t="s">
        <v>556</v>
      </c>
      <c r="E41" s="907"/>
      <c r="F41" s="654" t="s">
        <v>557</v>
      </c>
      <c r="G41" s="909">
        <v>15</v>
      </c>
    </row>
    <row r="42" spans="1:7" ht="13.9" thickBot="1">
      <c r="A42" s="705" t="s">
        <v>558</v>
      </c>
      <c r="B42" s="907"/>
      <c r="C42" s="907" t="s">
        <v>483</v>
      </c>
      <c r="D42" s="654"/>
      <c r="E42" s="911"/>
      <c r="F42" s="654" t="s">
        <v>559</v>
      </c>
      <c r="G42" s="909">
        <v>19</v>
      </c>
    </row>
    <row r="43" spans="1:7" ht="13.9" thickBot="1">
      <c r="A43" s="705" t="s">
        <v>219</v>
      </c>
      <c r="B43" s="907"/>
      <c r="C43" s="907" t="s">
        <v>483</v>
      </c>
      <c r="D43" s="654"/>
      <c r="E43" s="654"/>
      <c r="F43" s="654" t="s">
        <v>560</v>
      </c>
      <c r="G43" s="909">
        <v>18</v>
      </c>
    </row>
    <row r="44" spans="1:7" ht="13.9" thickBot="1">
      <c r="A44" s="705" t="s">
        <v>561</v>
      </c>
      <c r="B44" s="907"/>
      <c r="C44" s="907" t="s">
        <v>483</v>
      </c>
      <c r="D44" s="654"/>
      <c r="E44" s="654"/>
      <c r="F44" s="654" t="s">
        <v>562</v>
      </c>
      <c r="G44" s="909">
        <v>7</v>
      </c>
    </row>
    <row r="45" spans="1:7" ht="13.9" thickBot="1">
      <c r="A45" s="560" t="s">
        <v>563</v>
      </c>
      <c r="B45" s="912"/>
      <c r="C45" s="912"/>
      <c r="D45" s="654"/>
      <c r="E45" s="654"/>
      <c r="F45" s="654"/>
      <c r="G45" s="909"/>
    </row>
    <row r="46" spans="1:7" ht="40.15" thickBot="1">
      <c r="A46" s="705" t="s">
        <v>564</v>
      </c>
      <c r="B46" s="907" t="s">
        <v>483</v>
      </c>
      <c r="C46" s="654"/>
      <c r="D46" s="654" t="s">
        <v>565</v>
      </c>
      <c r="E46" s="654"/>
      <c r="F46" s="654" t="s">
        <v>566</v>
      </c>
      <c r="G46" s="909">
        <v>21</v>
      </c>
    </row>
    <row r="47" spans="1:7" ht="13.35" customHeight="1" thickBot="1">
      <c r="A47" s="705" t="s">
        <v>567</v>
      </c>
      <c r="B47" s="912"/>
      <c r="C47" s="907" t="s">
        <v>483</v>
      </c>
      <c r="D47" s="912"/>
      <c r="E47" s="912"/>
      <c r="F47" s="654" t="s">
        <v>568</v>
      </c>
      <c r="G47" s="909">
        <v>21</v>
      </c>
    </row>
    <row r="48" spans="1:7" ht="105" customHeight="1" thickBot="1">
      <c r="A48" s="705" t="s">
        <v>569</v>
      </c>
      <c r="B48" s="907"/>
      <c r="C48" s="907" t="s">
        <v>483</v>
      </c>
      <c r="D48" s="654" t="s">
        <v>570</v>
      </c>
      <c r="E48" s="654"/>
      <c r="F48" s="654" t="s">
        <v>571</v>
      </c>
      <c r="G48" s="909">
        <v>23</v>
      </c>
    </row>
    <row r="49" spans="1:7" ht="66.599999999999994" thickBot="1">
      <c r="A49" s="705" t="s">
        <v>572</v>
      </c>
      <c r="B49" s="907"/>
      <c r="C49" s="907" t="s">
        <v>483</v>
      </c>
      <c r="D49" s="654"/>
      <c r="E49" s="654"/>
      <c r="F49" s="654" t="s">
        <v>573</v>
      </c>
      <c r="G49" s="909">
        <v>25</v>
      </c>
    </row>
    <row r="50" spans="1:7" ht="13.9" thickBot="1">
      <c r="A50" s="560" t="s">
        <v>574</v>
      </c>
      <c r="B50" s="907"/>
      <c r="C50" s="907"/>
      <c r="D50" s="907"/>
      <c r="E50" s="907"/>
      <c r="F50" s="654"/>
      <c r="G50" s="909"/>
    </row>
    <row r="51" spans="1:7" ht="13.9" thickBot="1">
      <c r="A51" s="705" t="s">
        <v>575</v>
      </c>
      <c r="B51" s="907"/>
      <c r="C51" s="907"/>
      <c r="D51" s="913" t="s">
        <v>576</v>
      </c>
      <c r="E51" s="913"/>
      <c r="F51" s="913"/>
      <c r="G51" s="914"/>
    </row>
    <row r="52" spans="1:7" ht="119.45" thickBot="1">
      <c r="A52" s="705" t="s">
        <v>577</v>
      </c>
      <c r="B52" s="907"/>
      <c r="C52" s="907" t="s">
        <v>483</v>
      </c>
      <c r="D52" s="654" t="s">
        <v>578</v>
      </c>
      <c r="E52" s="561"/>
      <c r="F52" s="562" t="s">
        <v>579</v>
      </c>
      <c r="G52" s="909">
        <v>21</v>
      </c>
    </row>
    <row r="53" spans="1:7" ht="225" thickBot="1">
      <c r="A53" s="681" t="s">
        <v>220</v>
      </c>
      <c r="B53" s="562"/>
      <c r="C53" s="907" t="s">
        <v>483</v>
      </c>
      <c r="D53" s="654" t="s">
        <v>580</v>
      </c>
      <c r="E53" s="680" t="s">
        <v>581</v>
      </c>
      <c r="F53" s="680" t="s">
        <v>582</v>
      </c>
      <c r="G53" s="909">
        <v>19</v>
      </c>
    </row>
    <row r="54" spans="1:7" ht="136.5" customHeight="1" thickBot="1">
      <c r="A54" s="705" t="s">
        <v>216</v>
      </c>
      <c r="B54" s="907" t="s">
        <v>483</v>
      </c>
      <c r="C54" s="561"/>
      <c r="D54" s="654" t="s">
        <v>583</v>
      </c>
      <c r="E54" s="654"/>
      <c r="F54" s="654" t="s">
        <v>584</v>
      </c>
      <c r="G54" s="909">
        <v>15</v>
      </c>
    </row>
    <row r="55" spans="1:7" ht="13.9" thickBot="1">
      <c r="A55" s="705" t="s">
        <v>585</v>
      </c>
      <c r="B55" s="912"/>
      <c r="C55" s="907" t="s">
        <v>483</v>
      </c>
      <c r="D55" s="912"/>
      <c r="E55" s="912"/>
      <c r="F55" s="654" t="s">
        <v>586</v>
      </c>
      <c r="G55" s="909">
        <v>15</v>
      </c>
    </row>
    <row r="56" spans="1:7" ht="93" thickBot="1">
      <c r="A56" s="705" t="s">
        <v>223</v>
      </c>
      <c r="B56" s="907" t="s">
        <v>483</v>
      </c>
      <c r="C56" s="907"/>
      <c r="D56" s="654"/>
      <c r="E56" s="654"/>
      <c r="F56" s="654" t="s">
        <v>587</v>
      </c>
      <c r="G56" s="909">
        <v>22</v>
      </c>
    </row>
    <row r="57" spans="1:7" ht="58.35" customHeight="1">
      <c r="A57" s="915" t="s">
        <v>588</v>
      </c>
      <c r="B57" s="916"/>
      <c r="C57" s="916"/>
      <c r="D57" s="917"/>
      <c r="E57" s="737"/>
      <c r="F57" s="559" t="s">
        <v>589</v>
      </c>
      <c r="G57" s="742">
        <v>1</v>
      </c>
    </row>
    <row r="58" spans="1:7" ht="48.6" customHeight="1" thickBot="1">
      <c r="A58" s="736"/>
      <c r="B58" s="918"/>
      <c r="C58" s="918"/>
      <c r="D58" s="919"/>
      <c r="E58" s="738"/>
      <c r="F58" s="654" t="s">
        <v>590</v>
      </c>
      <c r="G58" s="743"/>
    </row>
    <row r="59" spans="1:7" ht="13.9" thickBot="1">
      <c r="A59" s="705" t="s">
        <v>591</v>
      </c>
      <c r="B59" s="907" t="s">
        <v>483</v>
      </c>
      <c r="C59" s="907"/>
      <c r="D59" s="654"/>
      <c r="E59" s="654"/>
      <c r="F59" s="654" t="s">
        <v>592</v>
      </c>
      <c r="G59" s="909">
        <v>1</v>
      </c>
    </row>
    <row r="60" spans="1:7" ht="13.9" thickBot="1">
      <c r="A60" s="705" t="s">
        <v>593</v>
      </c>
      <c r="B60" s="907" t="s">
        <v>483</v>
      </c>
      <c r="C60" s="907"/>
      <c r="D60" s="654"/>
      <c r="E60" s="654"/>
      <c r="F60" s="654" t="s">
        <v>592</v>
      </c>
      <c r="G60" s="909">
        <v>1</v>
      </c>
    </row>
    <row r="61" spans="1:7" ht="13.9" thickBot="1">
      <c r="A61" s="705" t="s">
        <v>594</v>
      </c>
      <c r="B61" s="907" t="s">
        <v>483</v>
      </c>
      <c r="C61" s="907"/>
      <c r="D61" s="654"/>
      <c r="E61" s="654"/>
      <c r="F61" s="654" t="s">
        <v>592</v>
      </c>
      <c r="G61" s="909">
        <v>2</v>
      </c>
    </row>
    <row r="62" spans="1:7" ht="13.9" thickBot="1">
      <c r="A62" s="705" t="s">
        <v>595</v>
      </c>
      <c r="B62" s="907" t="s">
        <v>483</v>
      </c>
      <c r="C62" s="907"/>
      <c r="D62" s="654"/>
      <c r="E62" s="654"/>
      <c r="F62" s="654" t="s">
        <v>592</v>
      </c>
      <c r="G62" s="909">
        <v>1</v>
      </c>
    </row>
    <row r="63" spans="1:7" ht="13.9" thickBot="1">
      <c r="A63" s="705" t="s">
        <v>596</v>
      </c>
      <c r="B63" s="907"/>
      <c r="C63" s="907" t="s">
        <v>483</v>
      </c>
      <c r="D63" s="654"/>
      <c r="E63" s="654"/>
      <c r="F63" s="654" t="s">
        <v>597</v>
      </c>
      <c r="G63" s="909">
        <v>4</v>
      </c>
    </row>
    <row r="64" spans="1:7" ht="13.9" thickBot="1">
      <c r="A64" s="705" t="s">
        <v>598</v>
      </c>
      <c r="B64" s="907" t="s">
        <v>483</v>
      </c>
      <c r="C64" s="907"/>
      <c r="D64" s="654"/>
      <c r="E64" s="654"/>
      <c r="F64" s="654" t="s">
        <v>508</v>
      </c>
      <c r="G64" s="909">
        <v>12</v>
      </c>
    </row>
    <row r="65" spans="1:7" ht="13.9" thickBot="1">
      <c r="A65" s="705" t="s">
        <v>599</v>
      </c>
      <c r="B65" s="907" t="s">
        <v>483</v>
      </c>
      <c r="C65" s="907"/>
      <c r="D65" s="654"/>
      <c r="E65" s="654"/>
      <c r="F65" s="654" t="s">
        <v>597</v>
      </c>
      <c r="G65" s="909">
        <v>5</v>
      </c>
    </row>
    <row r="66" spans="1:7" ht="13.9" thickBot="1">
      <c r="A66" s="705" t="s">
        <v>600</v>
      </c>
      <c r="B66" s="907" t="s">
        <v>483</v>
      </c>
      <c r="C66" s="907"/>
      <c r="D66" s="654"/>
      <c r="E66" s="654"/>
      <c r="F66" s="654" t="s">
        <v>597</v>
      </c>
      <c r="G66" s="909">
        <v>5</v>
      </c>
    </row>
    <row r="67" spans="1:7" ht="53.45" thickBot="1">
      <c r="A67" s="705" t="s">
        <v>601</v>
      </c>
      <c r="B67" s="907" t="s">
        <v>483</v>
      </c>
      <c r="C67" s="907"/>
      <c r="D67" s="654"/>
      <c r="E67" s="654" t="s">
        <v>602</v>
      </c>
      <c r="F67" s="654" t="s">
        <v>603</v>
      </c>
      <c r="G67" s="909">
        <v>21</v>
      </c>
    </row>
    <row r="68" spans="1:7" ht="79.900000000000006" thickBot="1">
      <c r="A68" s="705" t="s">
        <v>604</v>
      </c>
      <c r="B68" s="907" t="s">
        <v>483</v>
      </c>
      <c r="C68" s="907"/>
      <c r="D68" s="654"/>
      <c r="E68" s="920" t="s">
        <v>605</v>
      </c>
      <c r="F68" s="654" t="s">
        <v>606</v>
      </c>
      <c r="G68" s="909">
        <v>3</v>
      </c>
    </row>
    <row r="69" spans="1:7" ht="106.15" thickBot="1">
      <c r="A69" s="705" t="s">
        <v>607</v>
      </c>
      <c r="B69" s="907" t="s">
        <v>483</v>
      </c>
      <c r="C69" s="907"/>
      <c r="D69" s="657" t="s">
        <v>608</v>
      </c>
      <c r="E69" s="920" t="s">
        <v>605</v>
      </c>
      <c r="F69" s="654" t="s">
        <v>609</v>
      </c>
      <c r="G69" s="909">
        <v>21</v>
      </c>
    </row>
    <row r="70" spans="1:7" ht="13.9" thickBot="1">
      <c r="A70" s="705" t="s">
        <v>610</v>
      </c>
      <c r="B70" s="907"/>
      <c r="C70" s="907" t="s">
        <v>483</v>
      </c>
      <c r="D70" s="654"/>
      <c r="E70" s="654"/>
      <c r="F70" s="654" t="s">
        <v>519</v>
      </c>
      <c r="G70" s="909">
        <v>25</v>
      </c>
    </row>
    <row r="71" spans="1:7" ht="53.45" thickBot="1">
      <c r="A71" s="705" t="s">
        <v>611</v>
      </c>
      <c r="B71" s="907" t="s">
        <v>483</v>
      </c>
      <c r="C71" s="907"/>
      <c r="D71" s="657" t="s">
        <v>612</v>
      </c>
      <c r="E71" s="559"/>
      <c r="F71" s="559" t="s">
        <v>613</v>
      </c>
      <c r="G71" s="909" t="s">
        <v>614</v>
      </c>
    </row>
    <row r="72" spans="1:7" ht="106.15" thickBot="1">
      <c r="A72" s="705" t="s">
        <v>615</v>
      </c>
      <c r="B72" s="907" t="s">
        <v>483</v>
      </c>
      <c r="C72" s="907"/>
      <c r="D72" s="656" t="s">
        <v>616</v>
      </c>
      <c r="E72" s="652"/>
      <c r="F72" s="653" t="s">
        <v>617</v>
      </c>
      <c r="G72" s="909">
        <v>5</v>
      </c>
    </row>
    <row r="73" spans="1:7" ht="13.35" customHeight="1" thickBot="1">
      <c r="A73" s="705" t="s">
        <v>618</v>
      </c>
      <c r="B73" s="907" t="s">
        <v>483</v>
      </c>
      <c r="C73" s="907" t="s">
        <v>483</v>
      </c>
      <c r="D73" s="654" t="s">
        <v>619</v>
      </c>
      <c r="E73" s="655"/>
      <c r="F73" s="654" t="s">
        <v>620</v>
      </c>
      <c r="G73" s="909">
        <v>5</v>
      </c>
    </row>
    <row r="74" spans="1:7" ht="27" thickBot="1">
      <c r="A74" s="705" t="s">
        <v>621</v>
      </c>
      <c r="B74" s="907" t="s">
        <v>483</v>
      </c>
      <c r="C74" s="907"/>
      <c r="D74" s="654"/>
      <c r="E74" s="920" t="s">
        <v>605</v>
      </c>
      <c r="F74" s="654" t="s">
        <v>622</v>
      </c>
      <c r="G74" s="909">
        <v>21</v>
      </c>
    </row>
    <row r="75" spans="1:7" ht="27" thickBot="1">
      <c r="A75" s="705" t="s">
        <v>623</v>
      </c>
      <c r="B75" s="907" t="s">
        <v>483</v>
      </c>
      <c r="C75" s="907"/>
      <c r="D75" s="658" t="s">
        <v>624</v>
      </c>
      <c r="E75" s="559"/>
      <c r="F75" s="559" t="s">
        <v>625</v>
      </c>
      <c r="G75" s="909">
        <v>12</v>
      </c>
    </row>
    <row r="76" spans="1:7" ht="139.35" customHeight="1" thickBot="1">
      <c r="A76" s="705" t="s">
        <v>626</v>
      </c>
      <c r="B76" s="907" t="s">
        <v>483</v>
      </c>
      <c r="C76" s="907"/>
      <c r="D76" s="656" t="s">
        <v>627</v>
      </c>
      <c r="E76" s="652"/>
      <c r="F76" s="653" t="s">
        <v>628</v>
      </c>
      <c r="G76" s="909">
        <v>3</v>
      </c>
    </row>
    <row r="77" spans="1:7" ht="13.9" thickBot="1">
      <c r="A77" s="560" t="s">
        <v>629</v>
      </c>
      <c r="B77" s="907"/>
      <c r="C77" s="907"/>
      <c r="D77" s="907"/>
      <c r="E77" s="921"/>
      <c r="F77" s="921"/>
      <c r="G77" s="909"/>
    </row>
    <row r="78" spans="1:7" ht="132.6" thickBot="1">
      <c r="A78" s="705" t="s">
        <v>630</v>
      </c>
      <c r="B78" s="907" t="s">
        <v>483</v>
      </c>
      <c r="C78" s="907"/>
      <c r="D78" s="654" t="s">
        <v>631</v>
      </c>
      <c r="E78" s="654"/>
      <c r="F78" s="654" t="s">
        <v>632</v>
      </c>
      <c r="G78" s="909">
        <v>13</v>
      </c>
    </row>
    <row r="79" spans="1:7" ht="13.35" customHeight="1">
      <c r="A79" s="737" t="s">
        <v>633</v>
      </c>
      <c r="B79" s="739"/>
      <c r="C79" s="739" t="s">
        <v>483</v>
      </c>
      <c r="D79" s="737" t="s">
        <v>634</v>
      </c>
      <c r="E79" s="737"/>
      <c r="F79" s="737" t="s">
        <v>635</v>
      </c>
      <c r="G79" s="742">
        <v>13</v>
      </c>
    </row>
    <row r="80" spans="1:7" ht="13.9" thickBot="1">
      <c r="A80" s="738"/>
      <c r="B80" s="740"/>
      <c r="C80" s="740"/>
      <c r="D80" s="738"/>
      <c r="E80" s="738"/>
      <c r="F80" s="738"/>
      <c r="G80" s="743"/>
    </row>
    <row r="81" spans="1:7" ht="93" thickBot="1">
      <c r="A81" s="705" t="s">
        <v>636</v>
      </c>
      <c r="B81" s="907" t="s">
        <v>483</v>
      </c>
      <c r="C81" s="907"/>
      <c r="D81" s="654"/>
      <c r="E81" s="654"/>
      <c r="F81" s="654" t="s">
        <v>637</v>
      </c>
      <c r="G81" s="909">
        <v>5</v>
      </c>
    </row>
    <row r="82" spans="1:7" ht="13.9" thickBot="1">
      <c r="A82" s="705" t="s">
        <v>638</v>
      </c>
      <c r="B82" s="907"/>
      <c r="C82" s="907" t="s">
        <v>483</v>
      </c>
      <c r="D82" s="654"/>
      <c r="E82" s="654"/>
      <c r="F82" s="654" t="s">
        <v>639</v>
      </c>
      <c r="G82" s="909">
        <v>16</v>
      </c>
    </row>
    <row r="83" spans="1:7" ht="13.9" thickBot="1">
      <c r="A83" s="705" t="s">
        <v>640</v>
      </c>
      <c r="B83" s="907" t="s">
        <v>483</v>
      </c>
      <c r="C83" s="907"/>
      <c r="D83" s="654"/>
      <c r="E83" s="654"/>
      <c r="F83" s="654" t="s">
        <v>641</v>
      </c>
      <c r="G83" s="909">
        <v>5</v>
      </c>
    </row>
    <row r="84" spans="1:7" ht="93" thickBot="1">
      <c r="A84" s="705" t="s">
        <v>642</v>
      </c>
      <c r="B84" s="907" t="s">
        <v>483</v>
      </c>
      <c r="C84" s="907"/>
      <c r="D84" s="656" t="s">
        <v>643</v>
      </c>
      <c r="E84" s="654"/>
      <c r="F84" s="664" t="s">
        <v>644</v>
      </c>
      <c r="G84" s="909">
        <v>25</v>
      </c>
    </row>
    <row r="85" spans="1:7" ht="13.9" thickBot="1">
      <c r="A85" s="560" t="s">
        <v>645</v>
      </c>
      <c r="B85" s="907"/>
      <c r="C85" s="907"/>
      <c r="D85" s="907"/>
      <c r="E85" s="907"/>
      <c r="F85" s="654"/>
      <c r="G85" s="909"/>
    </row>
    <row r="86" spans="1:7" ht="44.65" customHeight="1" thickBot="1">
      <c r="A86" s="705" t="s">
        <v>646</v>
      </c>
      <c r="B86" s="907" t="s">
        <v>483</v>
      </c>
      <c r="C86" s="907"/>
      <c r="D86" s="657" t="s">
        <v>647</v>
      </c>
      <c r="E86" s="654"/>
      <c r="F86" s="664" t="s">
        <v>648</v>
      </c>
      <c r="G86" s="909">
        <v>8</v>
      </c>
    </row>
    <row r="87" spans="1:7" ht="96" customHeight="1" thickBot="1">
      <c r="A87" s="705" t="s">
        <v>649</v>
      </c>
      <c r="B87" s="907" t="s">
        <v>483</v>
      </c>
      <c r="C87" s="907"/>
      <c r="D87" s="657" t="s">
        <v>650</v>
      </c>
      <c r="E87" s="654"/>
      <c r="F87" s="664" t="s">
        <v>651</v>
      </c>
      <c r="G87" s="909">
        <v>8</v>
      </c>
    </row>
    <row r="88" spans="1:7" ht="66.599999999999994" thickBot="1">
      <c r="A88" s="705" t="s">
        <v>652</v>
      </c>
      <c r="B88" s="907" t="s">
        <v>483</v>
      </c>
      <c r="C88" s="907"/>
      <c r="D88" s="657" t="s">
        <v>653</v>
      </c>
      <c r="E88" s="654"/>
      <c r="F88" s="664" t="s">
        <v>654</v>
      </c>
      <c r="G88" s="909">
        <v>8</v>
      </c>
    </row>
    <row r="89" spans="1:7" ht="93" thickBot="1">
      <c r="A89" s="705" t="s">
        <v>221</v>
      </c>
      <c r="B89" s="907"/>
      <c r="C89" s="907" t="s">
        <v>483</v>
      </c>
      <c r="D89" s="657" t="s">
        <v>655</v>
      </c>
      <c r="E89" s="911"/>
      <c r="F89" s="664" t="s">
        <v>656</v>
      </c>
      <c r="G89" s="909">
        <v>20</v>
      </c>
    </row>
    <row r="90" spans="1:7" ht="27" thickBot="1">
      <c r="A90" s="705" t="s">
        <v>657</v>
      </c>
      <c r="B90" s="907"/>
      <c r="C90" s="907" t="s">
        <v>483</v>
      </c>
      <c r="D90" s="911"/>
      <c r="E90" s="654"/>
      <c r="F90" s="654" t="s">
        <v>658</v>
      </c>
      <c r="G90" s="909">
        <v>6</v>
      </c>
    </row>
    <row r="91" spans="1:7" ht="13.9" thickBot="1">
      <c r="A91" s="732" t="s">
        <v>659</v>
      </c>
      <c r="B91" s="733"/>
      <c r="C91" s="733"/>
      <c r="D91" s="734"/>
      <c r="E91" s="912"/>
      <c r="F91" s="654"/>
      <c r="G91" s="909"/>
    </row>
    <row r="92" spans="1:7" ht="27" thickBot="1">
      <c r="A92" s="705" t="s">
        <v>660</v>
      </c>
      <c r="B92" s="907"/>
      <c r="C92" s="907" t="s">
        <v>483</v>
      </c>
      <c r="D92" s="654"/>
      <c r="E92" s="654"/>
      <c r="F92" s="654" t="s">
        <v>661</v>
      </c>
      <c r="G92" s="909">
        <v>4</v>
      </c>
    </row>
    <row r="93" spans="1:7" ht="27" thickBot="1">
      <c r="A93" s="705" t="s">
        <v>662</v>
      </c>
      <c r="B93" s="907"/>
      <c r="C93" s="907" t="s">
        <v>483</v>
      </c>
      <c r="D93" s="654"/>
      <c r="E93" s="911"/>
      <c r="F93" s="654" t="s">
        <v>663</v>
      </c>
      <c r="G93" s="909">
        <v>4</v>
      </c>
    </row>
    <row r="94" spans="1:7" ht="13.9" thickBot="1">
      <c r="A94" s="705" t="s">
        <v>664</v>
      </c>
      <c r="B94" s="907"/>
      <c r="C94" s="907" t="s">
        <v>483</v>
      </c>
      <c r="D94" s="654"/>
      <c r="E94" s="654"/>
      <c r="F94" s="654" t="s">
        <v>665</v>
      </c>
      <c r="G94" s="909">
        <v>4</v>
      </c>
    </row>
    <row r="95" spans="1:7" ht="40.15" thickBot="1">
      <c r="A95" s="705" t="s">
        <v>666</v>
      </c>
      <c r="B95" s="907"/>
      <c r="C95" s="907" t="s">
        <v>483</v>
      </c>
      <c r="D95" s="657" t="s">
        <v>667</v>
      </c>
      <c r="E95" s="664"/>
      <c r="F95" s="664" t="s">
        <v>668</v>
      </c>
      <c r="G95" s="909">
        <v>4</v>
      </c>
    </row>
    <row r="96" spans="1:7" ht="67.150000000000006" customHeight="1" thickBot="1">
      <c r="A96" s="705" t="s">
        <v>669</v>
      </c>
      <c r="B96" s="907"/>
      <c r="C96" s="907" t="s">
        <v>483</v>
      </c>
      <c r="D96" s="657" t="s">
        <v>670</v>
      </c>
      <c r="E96" s="664"/>
      <c r="F96" s="664" t="s">
        <v>671</v>
      </c>
      <c r="G96" s="909">
        <v>4</v>
      </c>
    </row>
    <row r="97" spans="1:8" ht="13.9" thickBot="1">
      <c r="A97" s="705" t="s">
        <v>672</v>
      </c>
      <c r="B97" s="907"/>
      <c r="C97" s="907" t="s">
        <v>483</v>
      </c>
      <c r="D97" s="654"/>
      <c r="E97" s="654"/>
      <c r="F97" s="654" t="s">
        <v>673</v>
      </c>
      <c r="G97" s="909">
        <v>4</v>
      </c>
    </row>
    <row r="98" spans="1:8" ht="13.9" thickBot="1">
      <c r="A98" s="705" t="s">
        <v>674</v>
      </c>
      <c r="B98" s="907"/>
      <c r="C98" s="907" t="s">
        <v>483</v>
      </c>
      <c r="D98" s="654"/>
      <c r="E98" s="654"/>
      <c r="F98" s="654" t="s">
        <v>675</v>
      </c>
      <c r="G98" s="909">
        <v>4</v>
      </c>
    </row>
    <row r="99" spans="1:8" ht="13.9" thickBot="1">
      <c r="A99" s="705" t="s">
        <v>676</v>
      </c>
      <c r="B99" s="907"/>
      <c r="C99" s="907" t="s">
        <v>483</v>
      </c>
      <c r="D99" s="654"/>
      <c r="E99" s="911"/>
      <c r="F99" s="654" t="s">
        <v>677</v>
      </c>
      <c r="G99" s="909">
        <v>4</v>
      </c>
    </row>
    <row r="100" spans="1:8" ht="13.9" thickBot="1">
      <c r="A100" s="705" t="s">
        <v>678</v>
      </c>
      <c r="B100" s="907"/>
      <c r="C100" s="907" t="s">
        <v>483</v>
      </c>
      <c r="D100" s="654"/>
      <c r="E100" s="654"/>
      <c r="F100" s="654" t="s">
        <v>679</v>
      </c>
      <c r="G100" s="909">
        <v>4</v>
      </c>
    </row>
    <row r="101" spans="1:8" ht="13.9" thickBot="1">
      <c r="A101" s="705" t="s">
        <v>680</v>
      </c>
      <c r="B101" s="907"/>
      <c r="C101" s="907" t="s">
        <v>483</v>
      </c>
      <c r="D101" s="654"/>
      <c r="E101" s="654"/>
      <c r="F101" s="654" t="s">
        <v>681</v>
      </c>
      <c r="G101" s="909">
        <v>4</v>
      </c>
    </row>
    <row r="102" spans="1:8">
      <c r="A102"/>
      <c r="B102"/>
      <c r="C102"/>
      <c r="D102"/>
      <c r="E102"/>
      <c r="F102"/>
      <c r="G102" s="40"/>
      <c r="H102"/>
    </row>
    <row r="103" spans="1:8">
      <c r="A103"/>
      <c r="B103"/>
      <c r="C103"/>
      <c r="D103"/>
      <c r="E103"/>
      <c r="F103"/>
      <c r="G103" s="40"/>
      <c r="H103"/>
    </row>
    <row r="104" spans="1:8" ht="22.9">
      <c r="A104" s="545" t="s">
        <v>682</v>
      </c>
      <c r="B104"/>
      <c r="C104"/>
      <c r="D104"/>
      <c r="E104"/>
      <c r="F104"/>
      <c r="G104" s="40"/>
      <c r="H104"/>
    </row>
    <row r="105" spans="1:8" ht="13.9">
      <c r="A105" s="558"/>
      <c r="B105"/>
      <c r="C105"/>
      <c r="D105"/>
      <c r="E105"/>
      <c r="F105"/>
      <c r="G105" s="40"/>
      <c r="H105"/>
    </row>
    <row r="106" spans="1:8">
      <c r="A106" s="568" t="s">
        <v>683</v>
      </c>
      <c r="B106"/>
      <c r="C106"/>
      <c r="D106"/>
      <c r="E106"/>
      <c r="F106"/>
      <c r="G106" s="40"/>
      <c r="H106"/>
    </row>
    <row r="107" spans="1:8">
      <c r="A107" s="569" t="s">
        <v>684</v>
      </c>
      <c r="B107"/>
      <c r="C107"/>
      <c r="D107"/>
      <c r="E107"/>
      <c r="F107"/>
      <c r="G107" s="40"/>
      <c r="H107"/>
    </row>
    <row r="108" spans="1:8">
      <c r="A108" s="570" t="s">
        <v>685</v>
      </c>
      <c r="B108"/>
      <c r="C108"/>
      <c r="D108"/>
      <c r="E108"/>
      <c r="F108"/>
      <c r="G108" s="40"/>
      <c r="H108"/>
    </row>
    <row r="109" spans="1:8">
      <c r="A109" s="570" t="s">
        <v>686</v>
      </c>
      <c r="B109"/>
      <c r="C109"/>
      <c r="D109"/>
      <c r="E109"/>
      <c r="F109"/>
      <c r="G109" s="40"/>
      <c r="H109"/>
    </row>
    <row r="110" spans="1:8">
      <c r="A110" s="571" t="s">
        <v>687</v>
      </c>
      <c r="B110"/>
      <c r="C110"/>
      <c r="D110"/>
      <c r="E110"/>
      <c r="F110"/>
      <c r="G110" s="40"/>
      <c r="H110"/>
    </row>
    <row r="111" spans="1:8">
      <c r="A111" s="571" t="s">
        <v>688</v>
      </c>
      <c r="B111"/>
      <c r="C111"/>
      <c r="D111"/>
      <c r="E111"/>
      <c r="F111"/>
      <c r="G111" s="40"/>
      <c r="H111"/>
    </row>
    <row r="112" spans="1:8">
      <c r="A112" s="571" t="s">
        <v>689</v>
      </c>
      <c r="B112"/>
      <c r="C112"/>
      <c r="D112"/>
      <c r="E112"/>
      <c r="F112"/>
      <c r="G112" s="40"/>
      <c r="H112"/>
    </row>
    <row r="113" spans="1:8">
      <c r="A113" s="572" t="s">
        <v>690</v>
      </c>
      <c r="B113"/>
      <c r="C113"/>
      <c r="D113"/>
      <c r="E113"/>
      <c r="F113"/>
      <c r="G113" s="40"/>
      <c r="H113"/>
    </row>
    <row r="114" spans="1:8" ht="13.9" thickBot="1">
      <c r="A114" s="573"/>
      <c r="B114"/>
      <c r="C114"/>
      <c r="D114"/>
      <c r="E114"/>
      <c r="F114"/>
      <c r="G114" s="40"/>
      <c r="H114"/>
    </row>
    <row r="115" spans="1:8" ht="14.45" thickBot="1">
      <c r="A115" s="564" t="s">
        <v>691</v>
      </c>
      <c r="B115" s="563" t="s">
        <v>692</v>
      </c>
      <c r="C115" s="565" t="s">
        <v>693</v>
      </c>
      <c r="D115" s="565" t="s">
        <v>694</v>
      </c>
      <c r="E115" s="565" t="s">
        <v>695</v>
      </c>
      <c r="F115" s="565" t="s">
        <v>696</v>
      </c>
      <c r="G115" s="40"/>
      <c r="H115"/>
    </row>
    <row r="116" spans="1:8" ht="14.45" thickBot="1">
      <c r="A116" s="922" t="s">
        <v>697</v>
      </c>
      <c r="B116" s="566" t="s">
        <v>698</v>
      </c>
      <c r="C116" s="923" t="s">
        <v>699</v>
      </c>
      <c r="D116" s="924">
        <v>19890101</v>
      </c>
      <c r="E116" s="924">
        <v>19960101</v>
      </c>
      <c r="F116" s="921"/>
      <c r="G116" s="40"/>
      <c r="H116"/>
    </row>
    <row r="117" spans="1:8" ht="14.45" thickBot="1">
      <c r="A117" s="922" t="s">
        <v>700</v>
      </c>
      <c r="B117" s="566" t="s">
        <v>701</v>
      </c>
      <c r="C117" s="923" t="s">
        <v>702</v>
      </c>
      <c r="D117" s="924">
        <v>19960101</v>
      </c>
      <c r="E117" s="924">
        <v>20030401</v>
      </c>
      <c r="F117" s="921"/>
      <c r="G117" s="40"/>
      <c r="H117"/>
    </row>
    <row r="118" spans="1:8" ht="14.45" thickBot="1">
      <c r="A118" s="922" t="s">
        <v>703</v>
      </c>
      <c r="B118" s="566" t="s">
        <v>704</v>
      </c>
      <c r="C118" s="923" t="s">
        <v>699</v>
      </c>
      <c r="D118" s="924">
        <v>19900101</v>
      </c>
      <c r="E118" s="924">
        <v>19970101</v>
      </c>
      <c r="F118" s="921"/>
      <c r="G118" s="40"/>
      <c r="H118"/>
    </row>
    <row r="119" spans="1:8" ht="14.45" thickBot="1">
      <c r="A119" s="922" t="s">
        <v>705</v>
      </c>
      <c r="B119" s="566" t="s">
        <v>706</v>
      </c>
      <c r="C119" s="923" t="s">
        <v>707</v>
      </c>
      <c r="D119" s="924">
        <v>20080101</v>
      </c>
      <c r="E119" s="924">
        <v>20080101</v>
      </c>
      <c r="F119" s="921"/>
      <c r="G119" s="40"/>
      <c r="H119"/>
    </row>
    <row r="120" spans="1:8" ht="14.45" thickBot="1">
      <c r="A120" s="922" t="s">
        <v>708</v>
      </c>
      <c r="B120" s="566" t="s">
        <v>709</v>
      </c>
      <c r="C120" s="923" t="s">
        <v>707</v>
      </c>
      <c r="D120" s="924">
        <v>19990101</v>
      </c>
      <c r="E120" s="924">
        <v>19990101</v>
      </c>
      <c r="F120" s="921"/>
      <c r="G120" s="40"/>
      <c r="H120"/>
    </row>
    <row r="121" spans="1:8" ht="28.15" thickBot="1">
      <c r="A121" s="922" t="s">
        <v>710</v>
      </c>
      <c r="B121" s="566" t="s">
        <v>711</v>
      </c>
      <c r="C121" s="923" t="s">
        <v>702</v>
      </c>
      <c r="D121" s="924">
        <v>20100101</v>
      </c>
      <c r="E121" s="924">
        <v>20100101</v>
      </c>
      <c r="F121" s="921"/>
      <c r="G121" s="40"/>
      <c r="H121"/>
    </row>
    <row r="122" spans="1:8" ht="14.45" thickBot="1">
      <c r="A122" s="922" t="s">
        <v>712</v>
      </c>
      <c r="B122" s="566" t="s">
        <v>713</v>
      </c>
      <c r="C122" s="923" t="s">
        <v>702</v>
      </c>
      <c r="D122" s="924">
        <v>20030101</v>
      </c>
      <c r="E122" s="924">
        <v>20030101</v>
      </c>
      <c r="F122" s="921"/>
      <c r="G122" s="40"/>
      <c r="H122"/>
    </row>
    <row r="123" spans="1:8" ht="14.45" thickBot="1">
      <c r="A123" s="922" t="s">
        <v>714</v>
      </c>
      <c r="B123" s="566" t="s">
        <v>715</v>
      </c>
      <c r="C123" s="923" t="s">
        <v>702</v>
      </c>
      <c r="D123" s="924">
        <v>20030101</v>
      </c>
      <c r="E123" s="924">
        <v>20030101</v>
      </c>
      <c r="F123" s="921"/>
      <c r="G123" s="40"/>
      <c r="H123"/>
    </row>
    <row r="124" spans="1:8" ht="14.45" thickBot="1">
      <c r="A124" s="922" t="s">
        <v>716</v>
      </c>
      <c r="B124" s="566" t="s">
        <v>717</v>
      </c>
      <c r="C124" s="923" t="s">
        <v>702</v>
      </c>
      <c r="D124" s="924">
        <v>20030101</v>
      </c>
      <c r="E124" s="924">
        <v>20030101</v>
      </c>
      <c r="F124" s="921"/>
      <c r="G124" s="40"/>
      <c r="H124"/>
    </row>
    <row r="125" spans="1:8" ht="14.45" thickBot="1">
      <c r="A125" s="922" t="s">
        <v>718</v>
      </c>
      <c r="B125" s="566" t="s">
        <v>719</v>
      </c>
      <c r="C125" s="923" t="s">
        <v>702</v>
      </c>
      <c r="D125" s="924">
        <v>20030101</v>
      </c>
      <c r="E125" s="924">
        <v>20030101</v>
      </c>
      <c r="F125" s="921"/>
      <c r="G125" s="40"/>
      <c r="H125"/>
    </row>
    <row r="126" spans="1:8" ht="28.15" thickBot="1">
      <c r="A126" s="922" t="s">
        <v>720</v>
      </c>
      <c r="B126" s="566" t="s">
        <v>721</v>
      </c>
      <c r="C126" s="923" t="s">
        <v>699</v>
      </c>
      <c r="D126" s="924">
        <v>20100101</v>
      </c>
      <c r="E126" s="924">
        <v>20150101</v>
      </c>
      <c r="F126" s="921"/>
      <c r="G126" s="40"/>
      <c r="H126"/>
    </row>
    <row r="127" spans="1:8" ht="14.45" thickBot="1">
      <c r="A127" s="922" t="s">
        <v>722</v>
      </c>
      <c r="B127" s="566" t="s">
        <v>723</v>
      </c>
      <c r="C127" s="923" t="s">
        <v>699</v>
      </c>
      <c r="D127" s="924">
        <v>19860101</v>
      </c>
      <c r="E127" s="924">
        <v>20030101</v>
      </c>
      <c r="F127" s="921"/>
      <c r="G127" s="40"/>
      <c r="H127"/>
    </row>
    <row r="128" spans="1:8" ht="14.45" thickBot="1">
      <c r="A128" s="922" t="s">
        <v>724</v>
      </c>
      <c r="B128" s="566" t="s">
        <v>725</v>
      </c>
      <c r="C128" s="923" t="s">
        <v>699</v>
      </c>
      <c r="D128" s="924">
        <v>19860101</v>
      </c>
      <c r="E128" s="924">
        <v>20030101</v>
      </c>
      <c r="F128" s="921"/>
      <c r="G128" s="40"/>
      <c r="H128"/>
    </row>
    <row r="129" spans="1:8" ht="14.45" thickBot="1">
      <c r="A129" s="922" t="s">
        <v>726</v>
      </c>
      <c r="B129" s="566" t="s">
        <v>727</v>
      </c>
      <c r="C129" s="923" t="s">
        <v>699</v>
      </c>
      <c r="D129" s="924">
        <v>19860101</v>
      </c>
      <c r="E129" s="924">
        <v>20030101</v>
      </c>
      <c r="F129" s="921"/>
      <c r="G129" s="40"/>
      <c r="H129"/>
    </row>
    <row r="130" spans="1:8" ht="14.45" thickBot="1">
      <c r="A130" s="922" t="s">
        <v>728</v>
      </c>
      <c r="B130" s="566" t="s">
        <v>729</v>
      </c>
      <c r="C130" s="923" t="s">
        <v>699</v>
      </c>
      <c r="D130" s="924">
        <v>19860101</v>
      </c>
      <c r="E130" s="924">
        <v>20030101</v>
      </c>
      <c r="F130" s="921"/>
      <c r="G130" s="40"/>
      <c r="H130"/>
    </row>
    <row r="131" spans="1:8" ht="14.45" thickBot="1">
      <c r="A131" s="922" t="s">
        <v>730</v>
      </c>
      <c r="B131" s="566" t="s">
        <v>731</v>
      </c>
      <c r="C131" s="923" t="s">
        <v>699</v>
      </c>
      <c r="D131" s="924">
        <v>20050101</v>
      </c>
      <c r="E131" s="924">
        <v>20050101</v>
      </c>
      <c r="F131" s="921"/>
      <c r="G131" s="40"/>
      <c r="H131"/>
    </row>
    <row r="132" spans="1:8" ht="14.45" thickBot="1">
      <c r="A132" s="922" t="s">
        <v>732</v>
      </c>
      <c r="B132" s="566" t="s">
        <v>733</v>
      </c>
      <c r="C132" s="923" t="s">
        <v>699</v>
      </c>
      <c r="D132" s="924">
        <v>19860101</v>
      </c>
      <c r="E132" s="924">
        <v>20050101</v>
      </c>
      <c r="F132" s="921"/>
      <c r="G132" s="40"/>
      <c r="H132"/>
    </row>
    <row r="133" spans="1:8" ht="28.15" thickBot="1">
      <c r="A133" s="922" t="s">
        <v>734</v>
      </c>
      <c r="B133" s="566" t="s">
        <v>735</v>
      </c>
      <c r="C133" s="923" t="s">
        <v>702</v>
      </c>
      <c r="D133" s="924">
        <v>20140101</v>
      </c>
      <c r="E133" s="924">
        <v>20140101</v>
      </c>
      <c r="F133" s="921"/>
      <c r="G133" s="40"/>
      <c r="H133"/>
    </row>
    <row r="134" spans="1:8" ht="28.15" thickBot="1">
      <c r="A134" s="922" t="s">
        <v>736</v>
      </c>
      <c r="B134" s="566" t="s">
        <v>737</v>
      </c>
      <c r="C134" s="924" t="s">
        <v>702</v>
      </c>
      <c r="D134" s="921"/>
      <c r="E134" s="921"/>
      <c r="F134" s="921"/>
      <c r="G134" s="40"/>
      <c r="H134"/>
    </row>
    <row r="135" spans="1:8" ht="42" thickBot="1">
      <c r="A135" s="922" t="s">
        <v>738</v>
      </c>
      <c r="B135" s="566" t="s">
        <v>739</v>
      </c>
      <c r="C135" s="923" t="s">
        <v>702</v>
      </c>
      <c r="D135" s="924">
        <v>20110101</v>
      </c>
      <c r="E135" s="924">
        <v>20110101</v>
      </c>
      <c r="F135" s="921"/>
      <c r="G135" s="40"/>
      <c r="H135"/>
    </row>
    <row r="136" spans="1:8" ht="14.45" thickBot="1">
      <c r="A136" s="922" t="s">
        <v>740</v>
      </c>
      <c r="B136" s="566" t="s">
        <v>741</v>
      </c>
      <c r="C136" s="923" t="s">
        <v>702</v>
      </c>
      <c r="D136" s="924">
        <v>19820101</v>
      </c>
      <c r="E136" s="924">
        <v>20010701</v>
      </c>
      <c r="F136" s="921"/>
      <c r="G136" s="40"/>
      <c r="H136"/>
    </row>
    <row r="137" spans="1:8" ht="14.45" thickBot="1">
      <c r="A137" s="922" t="s">
        <v>742</v>
      </c>
      <c r="B137" s="566" t="s">
        <v>743</v>
      </c>
      <c r="C137" s="923" t="s">
        <v>699</v>
      </c>
      <c r="D137" s="924">
        <v>19960101</v>
      </c>
      <c r="E137" s="924">
        <v>19960101</v>
      </c>
      <c r="F137" s="921"/>
      <c r="G137" s="40"/>
      <c r="H137"/>
    </row>
    <row r="138" spans="1:8" ht="14.45" thickBot="1">
      <c r="A138" s="922" t="s">
        <v>744</v>
      </c>
      <c r="B138" s="566" t="s">
        <v>745</v>
      </c>
      <c r="C138" s="923" t="s">
        <v>702</v>
      </c>
      <c r="D138" s="924">
        <v>19820101</v>
      </c>
      <c r="E138" s="924">
        <v>20030101</v>
      </c>
      <c r="F138" s="921"/>
      <c r="G138" s="40"/>
      <c r="H138"/>
    </row>
    <row r="139" spans="1:8" ht="14.45" thickBot="1">
      <c r="A139" s="922" t="s">
        <v>746</v>
      </c>
      <c r="B139" s="566" t="s">
        <v>747</v>
      </c>
      <c r="C139" s="923" t="s">
        <v>702</v>
      </c>
      <c r="D139" s="924">
        <v>19840101</v>
      </c>
      <c r="E139" s="924">
        <v>20030101</v>
      </c>
      <c r="F139" s="921"/>
      <c r="G139" s="40"/>
      <c r="H139"/>
    </row>
    <row r="140" spans="1:8" ht="14.45" thickBot="1">
      <c r="A140" s="922" t="s">
        <v>748</v>
      </c>
      <c r="B140" s="566" t="s">
        <v>749</v>
      </c>
      <c r="C140" s="923" t="s">
        <v>707</v>
      </c>
      <c r="D140" s="924">
        <v>19900101</v>
      </c>
      <c r="E140" s="924">
        <v>20140101</v>
      </c>
      <c r="F140" s="921"/>
      <c r="G140" s="40"/>
      <c r="H140"/>
    </row>
    <row r="141" spans="1:8" ht="14.45" thickBot="1">
      <c r="A141" s="922" t="s">
        <v>750</v>
      </c>
      <c r="B141" s="566" t="s">
        <v>751</v>
      </c>
      <c r="C141" s="923" t="s">
        <v>707</v>
      </c>
      <c r="D141" s="924">
        <v>19900101</v>
      </c>
      <c r="E141" s="924">
        <v>20140101</v>
      </c>
      <c r="F141" s="921"/>
      <c r="G141" s="40"/>
      <c r="H141"/>
    </row>
    <row r="142" spans="1:8" ht="14.45" thickBot="1">
      <c r="A142" s="922" t="s">
        <v>752</v>
      </c>
      <c r="B142" s="566" t="s">
        <v>753</v>
      </c>
      <c r="C142" s="923" t="s">
        <v>707</v>
      </c>
      <c r="D142" s="924">
        <v>19900101</v>
      </c>
      <c r="E142" s="924">
        <v>20140101</v>
      </c>
      <c r="F142" s="921"/>
      <c r="G142" s="40"/>
      <c r="H142"/>
    </row>
    <row r="143" spans="1:8" ht="28.15" thickBot="1">
      <c r="A143" s="922" t="s">
        <v>754</v>
      </c>
      <c r="B143" s="566" t="s">
        <v>755</v>
      </c>
      <c r="C143" s="923" t="s">
        <v>699</v>
      </c>
      <c r="D143" s="924">
        <v>19910101</v>
      </c>
      <c r="E143" s="924">
        <v>19970101</v>
      </c>
      <c r="F143" s="921"/>
      <c r="G143" s="40"/>
      <c r="H143"/>
    </row>
    <row r="144" spans="1:8" ht="14.45" thickBot="1">
      <c r="A144" s="922" t="s">
        <v>756</v>
      </c>
      <c r="B144" s="566" t="s">
        <v>757</v>
      </c>
      <c r="C144" s="923" t="s">
        <v>699</v>
      </c>
      <c r="D144" s="924">
        <v>19860101</v>
      </c>
      <c r="E144" s="924">
        <v>20030101</v>
      </c>
      <c r="F144" s="921"/>
      <c r="G144" s="40"/>
      <c r="H144"/>
    </row>
    <row r="145" spans="1:8" ht="28.15" thickBot="1">
      <c r="A145" s="922" t="s">
        <v>758</v>
      </c>
      <c r="B145" s="566" t="s">
        <v>759</v>
      </c>
      <c r="C145" s="923" t="s">
        <v>699</v>
      </c>
      <c r="D145" s="924">
        <v>20020101</v>
      </c>
      <c r="E145" s="924">
        <v>20020701</v>
      </c>
      <c r="F145" s="921"/>
      <c r="G145" s="40"/>
      <c r="H145"/>
    </row>
    <row r="146" spans="1:8" ht="14.45" thickBot="1">
      <c r="A146" s="922" t="s">
        <v>760</v>
      </c>
      <c r="B146" s="566" t="s">
        <v>761</v>
      </c>
      <c r="C146" s="923" t="s">
        <v>707</v>
      </c>
      <c r="D146" s="924">
        <v>20080101</v>
      </c>
      <c r="E146" s="924">
        <v>20080101</v>
      </c>
      <c r="F146" s="921"/>
      <c r="G146" s="40"/>
      <c r="H146"/>
    </row>
    <row r="147" spans="1:8" ht="28.15" thickBot="1">
      <c r="A147" s="922" t="s">
        <v>762</v>
      </c>
      <c r="B147" s="566" t="s">
        <v>763</v>
      </c>
      <c r="C147" s="923" t="s">
        <v>699</v>
      </c>
      <c r="D147" s="924">
        <v>20060101</v>
      </c>
      <c r="E147" s="924">
        <v>20110101</v>
      </c>
      <c r="F147" s="921"/>
      <c r="G147" s="40"/>
      <c r="H147"/>
    </row>
    <row r="148" spans="1:8" ht="28.15" thickBot="1">
      <c r="A148" s="922" t="s">
        <v>764</v>
      </c>
      <c r="B148" s="566" t="s">
        <v>765</v>
      </c>
      <c r="C148" s="923" t="s">
        <v>699</v>
      </c>
      <c r="D148" s="924">
        <v>20060101</v>
      </c>
      <c r="E148" s="924">
        <v>20110101</v>
      </c>
      <c r="F148" s="921"/>
      <c r="G148" s="40"/>
      <c r="H148"/>
    </row>
    <row r="149" spans="1:8" ht="28.15" thickBot="1">
      <c r="A149" s="922" t="s">
        <v>766</v>
      </c>
      <c r="B149" s="566" t="s">
        <v>767</v>
      </c>
      <c r="C149" s="923" t="s">
        <v>699</v>
      </c>
      <c r="D149" s="924">
        <v>20060101</v>
      </c>
      <c r="E149" s="924">
        <v>20110101</v>
      </c>
      <c r="F149" s="921"/>
      <c r="G149" s="40"/>
      <c r="H149"/>
    </row>
    <row r="150" spans="1:8" ht="28.15" thickBot="1">
      <c r="A150" s="922" t="s">
        <v>768</v>
      </c>
      <c r="B150" s="566" t="s">
        <v>769</v>
      </c>
      <c r="C150" s="923" t="s">
        <v>699</v>
      </c>
      <c r="D150" s="924">
        <v>20060101</v>
      </c>
      <c r="E150" s="924">
        <v>20110101</v>
      </c>
      <c r="F150" s="921"/>
      <c r="G150" s="40"/>
      <c r="H150"/>
    </row>
    <row r="151" spans="1:8" ht="28.15" thickBot="1">
      <c r="A151" s="922" t="s">
        <v>770</v>
      </c>
      <c r="B151" s="566" t="s">
        <v>771</v>
      </c>
      <c r="C151" s="923" t="s">
        <v>699</v>
      </c>
      <c r="D151" s="924">
        <v>20060101</v>
      </c>
      <c r="E151" s="924">
        <v>20110101</v>
      </c>
      <c r="F151" s="921"/>
      <c r="G151" s="40"/>
      <c r="H151"/>
    </row>
    <row r="152" spans="1:8" ht="28.15" thickBot="1">
      <c r="A152" s="922" t="s">
        <v>772</v>
      </c>
      <c r="B152" s="566" t="s">
        <v>773</v>
      </c>
      <c r="C152" s="923" t="s">
        <v>699</v>
      </c>
      <c r="D152" s="924">
        <v>20060101</v>
      </c>
      <c r="E152" s="924">
        <v>20110101</v>
      </c>
      <c r="F152" s="921"/>
      <c r="G152" s="40"/>
      <c r="H152"/>
    </row>
    <row r="153" spans="1:8" ht="28.15" thickBot="1">
      <c r="A153" s="922" t="s">
        <v>774</v>
      </c>
      <c r="B153" s="566" t="s">
        <v>775</v>
      </c>
      <c r="C153" s="923" t="s">
        <v>699</v>
      </c>
      <c r="D153" s="924">
        <v>20060101</v>
      </c>
      <c r="E153" s="924">
        <v>20110101</v>
      </c>
      <c r="F153" s="921"/>
      <c r="G153" s="40"/>
      <c r="H153"/>
    </row>
    <row r="154" spans="1:8" ht="28.15" thickBot="1">
      <c r="A154" s="922" t="s">
        <v>776</v>
      </c>
      <c r="B154" s="566" t="s">
        <v>777</v>
      </c>
      <c r="C154" s="923" t="s">
        <v>699</v>
      </c>
      <c r="D154" s="924">
        <v>20060101</v>
      </c>
      <c r="E154" s="924">
        <v>20110101</v>
      </c>
      <c r="F154" s="921"/>
      <c r="G154" s="40"/>
      <c r="H154"/>
    </row>
    <row r="155" spans="1:8" ht="28.15" thickBot="1">
      <c r="A155" s="922" t="s">
        <v>778</v>
      </c>
      <c r="B155" s="566" t="s">
        <v>779</v>
      </c>
      <c r="C155" s="923" t="s">
        <v>699</v>
      </c>
      <c r="D155" s="924">
        <v>20060101</v>
      </c>
      <c r="E155" s="924">
        <v>20110101</v>
      </c>
      <c r="F155" s="921"/>
      <c r="G155" s="40"/>
      <c r="H155"/>
    </row>
    <row r="156" spans="1:8" ht="28.15" thickBot="1">
      <c r="A156" s="922" t="s">
        <v>780</v>
      </c>
      <c r="B156" s="566" t="s">
        <v>781</v>
      </c>
      <c r="C156" s="923" t="s">
        <v>699</v>
      </c>
      <c r="D156" s="924">
        <v>20060101</v>
      </c>
      <c r="E156" s="924">
        <v>20110101</v>
      </c>
      <c r="F156" s="921"/>
      <c r="G156" s="40"/>
      <c r="H156"/>
    </row>
    <row r="157" spans="1:8" ht="14.45" thickBot="1">
      <c r="A157" s="922" t="s">
        <v>782</v>
      </c>
      <c r="B157" s="566" t="s">
        <v>783</v>
      </c>
      <c r="C157" s="923" t="s">
        <v>699</v>
      </c>
      <c r="D157" s="924">
        <v>20060101</v>
      </c>
      <c r="E157" s="924">
        <v>20110101</v>
      </c>
      <c r="F157" s="921"/>
      <c r="G157" s="40"/>
      <c r="H157"/>
    </row>
    <row r="158" spans="1:8" ht="28.15" thickBot="1">
      <c r="A158" s="922" t="s">
        <v>784</v>
      </c>
      <c r="B158" s="566" t="s">
        <v>785</v>
      </c>
      <c r="C158" s="923" t="s">
        <v>699</v>
      </c>
      <c r="D158" s="924">
        <v>20060101</v>
      </c>
      <c r="E158" s="924">
        <v>20110101</v>
      </c>
      <c r="F158" s="921"/>
      <c r="G158" s="40"/>
      <c r="H158"/>
    </row>
    <row r="159" spans="1:8" ht="28.15" thickBot="1">
      <c r="A159" s="922" t="s">
        <v>786</v>
      </c>
      <c r="B159" s="566" t="s">
        <v>787</v>
      </c>
      <c r="C159" s="923" t="s">
        <v>702</v>
      </c>
      <c r="D159" s="924">
        <v>20050101</v>
      </c>
      <c r="E159" s="924">
        <v>20050101</v>
      </c>
      <c r="F159" s="921"/>
      <c r="G159" s="40"/>
      <c r="H159"/>
    </row>
    <row r="160" spans="1:8" ht="28.15" thickBot="1">
      <c r="A160" s="922" t="s">
        <v>788</v>
      </c>
      <c r="B160" s="566" t="s">
        <v>789</v>
      </c>
      <c r="C160" s="923" t="s">
        <v>702</v>
      </c>
      <c r="D160" s="924">
        <v>20050101</v>
      </c>
      <c r="E160" s="924">
        <v>20050101</v>
      </c>
      <c r="F160" s="921"/>
      <c r="G160" s="40"/>
      <c r="H160"/>
    </row>
    <row r="161" spans="1:8" ht="28.15" thickBot="1">
      <c r="A161" s="922" t="s">
        <v>790</v>
      </c>
      <c r="B161" s="566" t="s">
        <v>791</v>
      </c>
      <c r="C161" s="923" t="s">
        <v>702</v>
      </c>
      <c r="D161" s="924">
        <v>20050101</v>
      </c>
      <c r="E161" s="924">
        <v>20050101</v>
      </c>
      <c r="F161" s="921"/>
      <c r="G161" s="40"/>
      <c r="H161"/>
    </row>
    <row r="162" spans="1:8" ht="14.45" thickBot="1">
      <c r="A162" s="922" t="s">
        <v>792</v>
      </c>
      <c r="B162" s="566" t="s">
        <v>793</v>
      </c>
      <c r="C162" s="923" t="s">
        <v>699</v>
      </c>
      <c r="D162" s="924">
        <v>19860101</v>
      </c>
      <c r="E162" s="924">
        <v>20020101</v>
      </c>
      <c r="F162" s="921"/>
      <c r="G162" s="40"/>
      <c r="H162"/>
    </row>
    <row r="163" spans="1:8" ht="28.15" thickBot="1">
      <c r="A163" s="922" t="s">
        <v>794</v>
      </c>
      <c r="B163" s="566" t="s">
        <v>795</v>
      </c>
      <c r="C163" s="923" t="s">
        <v>707</v>
      </c>
      <c r="D163" s="924">
        <v>20120101</v>
      </c>
      <c r="E163" s="924">
        <v>20150101</v>
      </c>
      <c r="F163" s="921"/>
      <c r="G163" s="40"/>
      <c r="H163"/>
    </row>
    <row r="164" spans="1:8" ht="28.15" thickBot="1">
      <c r="A164" s="922" t="s">
        <v>796</v>
      </c>
      <c r="B164" s="566" t="s">
        <v>797</v>
      </c>
      <c r="C164" s="923" t="s">
        <v>699</v>
      </c>
      <c r="D164" s="924">
        <v>20110101</v>
      </c>
      <c r="E164" s="924">
        <v>20110101</v>
      </c>
      <c r="F164" s="921"/>
      <c r="G164" s="40"/>
      <c r="H164"/>
    </row>
    <row r="165" spans="1:8" ht="28.15" thickBot="1">
      <c r="A165" s="922" t="s">
        <v>798</v>
      </c>
      <c r="B165" s="566" t="s">
        <v>799</v>
      </c>
      <c r="C165" s="923" t="s">
        <v>707</v>
      </c>
      <c r="D165" s="924">
        <v>20080101</v>
      </c>
      <c r="E165" s="924">
        <v>20150101</v>
      </c>
      <c r="F165" s="921"/>
      <c r="G165" s="40"/>
      <c r="H165"/>
    </row>
    <row r="166" spans="1:8" ht="14.45" thickBot="1">
      <c r="A166" s="922" t="s">
        <v>800</v>
      </c>
      <c r="B166" s="566" t="s">
        <v>801</v>
      </c>
      <c r="C166" s="923" t="s">
        <v>699</v>
      </c>
      <c r="D166" s="924">
        <v>20060101</v>
      </c>
      <c r="E166" s="924">
        <v>20060101</v>
      </c>
      <c r="F166" s="921"/>
      <c r="G166" s="40"/>
      <c r="H166"/>
    </row>
    <row r="167" spans="1:8" ht="42" thickBot="1">
      <c r="A167" s="922" t="s">
        <v>802</v>
      </c>
      <c r="B167" s="566" t="s">
        <v>803</v>
      </c>
      <c r="C167" s="923" t="s">
        <v>707</v>
      </c>
      <c r="D167" s="924">
        <v>20080101</v>
      </c>
      <c r="E167" s="924">
        <v>20080101</v>
      </c>
      <c r="F167" s="921"/>
      <c r="G167" s="40"/>
      <c r="H167"/>
    </row>
    <row r="168" spans="1:8" ht="28.15" thickBot="1">
      <c r="A168" s="922" t="s">
        <v>804</v>
      </c>
      <c r="B168" s="566" t="s">
        <v>805</v>
      </c>
      <c r="C168" s="923" t="s">
        <v>707</v>
      </c>
      <c r="D168" s="924">
        <v>20080101</v>
      </c>
      <c r="E168" s="924">
        <v>20080101</v>
      </c>
      <c r="F168" s="921"/>
      <c r="G168" s="40"/>
      <c r="H168"/>
    </row>
    <row r="169" spans="1:8" ht="28.15" thickBot="1">
      <c r="A169" s="922" t="s">
        <v>806</v>
      </c>
      <c r="B169" s="566" t="s">
        <v>807</v>
      </c>
      <c r="C169" s="923" t="s">
        <v>707</v>
      </c>
      <c r="D169" s="924">
        <v>20080101</v>
      </c>
      <c r="E169" s="924">
        <v>20080101</v>
      </c>
      <c r="F169" s="921"/>
      <c r="G169" s="40"/>
      <c r="H169"/>
    </row>
    <row r="170" spans="1:8" ht="42" thickBot="1">
      <c r="A170" s="922" t="s">
        <v>808</v>
      </c>
      <c r="B170" s="566" t="s">
        <v>809</v>
      </c>
      <c r="C170" s="923" t="s">
        <v>707</v>
      </c>
      <c r="D170" s="924">
        <v>20070101</v>
      </c>
      <c r="E170" s="924">
        <v>20150101</v>
      </c>
      <c r="F170" s="921"/>
      <c r="G170" s="40"/>
      <c r="H170"/>
    </row>
    <row r="171" spans="1:8" ht="14.45" thickBot="1">
      <c r="A171" s="922" t="s">
        <v>810</v>
      </c>
      <c r="B171" s="566" t="s">
        <v>811</v>
      </c>
      <c r="C171" s="923" t="s">
        <v>707</v>
      </c>
      <c r="D171" s="924">
        <v>20040101</v>
      </c>
      <c r="E171" s="924">
        <v>20040101</v>
      </c>
      <c r="F171" s="921"/>
      <c r="G171" s="40"/>
      <c r="H171"/>
    </row>
    <row r="172" spans="1:8" ht="14.45" thickBot="1">
      <c r="A172" s="922" t="s">
        <v>812</v>
      </c>
      <c r="B172" s="566" t="s">
        <v>813</v>
      </c>
      <c r="C172" s="923" t="s">
        <v>707</v>
      </c>
      <c r="D172" s="924">
        <v>20060101</v>
      </c>
      <c r="E172" s="924">
        <v>20060101</v>
      </c>
      <c r="F172" s="921"/>
      <c r="G172" s="40"/>
      <c r="H172"/>
    </row>
    <row r="173" spans="1:8" ht="14.45" thickBot="1">
      <c r="A173" s="922" t="s">
        <v>814</v>
      </c>
      <c r="B173" s="566" t="s">
        <v>815</v>
      </c>
      <c r="C173" s="923" t="s">
        <v>707</v>
      </c>
      <c r="D173" s="924">
        <v>20060101</v>
      </c>
      <c r="E173" s="924">
        <v>20060101</v>
      </c>
      <c r="F173" s="921"/>
      <c r="G173" s="40"/>
      <c r="H173"/>
    </row>
    <row r="174" spans="1:8" ht="14.45" thickBot="1">
      <c r="A174" s="922" t="s">
        <v>816</v>
      </c>
      <c r="B174" s="566" t="s">
        <v>817</v>
      </c>
      <c r="C174" s="923" t="s">
        <v>707</v>
      </c>
      <c r="D174" s="924">
        <v>20080101</v>
      </c>
      <c r="E174" s="924">
        <v>20080101</v>
      </c>
      <c r="F174" s="921"/>
      <c r="G174" s="40"/>
      <c r="H174"/>
    </row>
    <row r="175" spans="1:8" ht="14.45" thickBot="1">
      <c r="A175" s="922" t="s">
        <v>818</v>
      </c>
      <c r="B175" s="566" t="s">
        <v>819</v>
      </c>
      <c r="C175" s="923" t="s">
        <v>699</v>
      </c>
      <c r="D175" s="924">
        <v>19930101</v>
      </c>
      <c r="E175" s="924">
        <v>19960101</v>
      </c>
      <c r="F175" s="921"/>
      <c r="G175" s="40"/>
      <c r="H175"/>
    </row>
    <row r="176" spans="1:8" ht="14.45" thickBot="1">
      <c r="A176" s="922" t="s">
        <v>820</v>
      </c>
      <c r="B176" s="566" t="s">
        <v>821</v>
      </c>
      <c r="C176" s="923" t="s">
        <v>699</v>
      </c>
      <c r="D176" s="924">
        <v>20030101</v>
      </c>
      <c r="E176" s="924">
        <v>20050101</v>
      </c>
      <c r="F176" s="921"/>
      <c r="G176" s="40"/>
      <c r="H176"/>
    </row>
    <row r="177" spans="1:8" ht="14.45" thickBot="1">
      <c r="A177" s="922" t="s">
        <v>822</v>
      </c>
      <c r="B177" s="566" t="s">
        <v>823</v>
      </c>
      <c r="C177" s="923" t="s">
        <v>707</v>
      </c>
      <c r="D177" s="924">
        <v>20060101</v>
      </c>
      <c r="E177" s="924">
        <v>20060101</v>
      </c>
      <c r="F177" s="921"/>
      <c r="G177" s="40"/>
      <c r="H177"/>
    </row>
    <row r="178" spans="1:8" ht="14.45" thickBot="1">
      <c r="A178" s="922" t="s">
        <v>824</v>
      </c>
      <c r="B178" s="566" t="s">
        <v>825</v>
      </c>
      <c r="C178" s="923" t="s">
        <v>699</v>
      </c>
      <c r="D178" s="924">
        <v>20030101</v>
      </c>
      <c r="E178" s="924">
        <v>20050101</v>
      </c>
      <c r="F178" s="921"/>
      <c r="G178" s="40"/>
      <c r="H178"/>
    </row>
    <row r="179" spans="1:8" ht="42" thickBot="1">
      <c r="A179" s="922" t="s">
        <v>826</v>
      </c>
      <c r="B179" s="566" t="s">
        <v>827</v>
      </c>
      <c r="C179" s="923" t="s">
        <v>699</v>
      </c>
      <c r="D179" s="924">
        <v>20020101</v>
      </c>
      <c r="E179" s="924">
        <v>20020701</v>
      </c>
      <c r="F179" s="921"/>
      <c r="G179" s="40"/>
      <c r="H179"/>
    </row>
    <row r="180" spans="1:8" ht="28.15" thickBot="1">
      <c r="A180" s="922" t="s">
        <v>828</v>
      </c>
      <c r="B180" s="566" t="s">
        <v>829</v>
      </c>
      <c r="C180" s="923" t="s">
        <v>699</v>
      </c>
      <c r="D180" s="924">
        <v>20020101</v>
      </c>
      <c r="E180" s="924">
        <v>20020701</v>
      </c>
      <c r="F180" s="921"/>
      <c r="G180" s="40"/>
      <c r="H180"/>
    </row>
    <row r="181" spans="1:8" ht="14.45" thickBot="1">
      <c r="A181" s="922" t="s">
        <v>830</v>
      </c>
      <c r="B181" s="566" t="s">
        <v>831</v>
      </c>
      <c r="C181" s="923" t="s">
        <v>699</v>
      </c>
      <c r="D181" s="924">
        <v>20040101</v>
      </c>
      <c r="E181" s="924">
        <v>20060101</v>
      </c>
      <c r="F181" s="921"/>
      <c r="G181" s="40"/>
      <c r="H181"/>
    </row>
    <row r="182" spans="1:8" ht="14.45" thickBot="1">
      <c r="A182" s="922" t="s">
        <v>832</v>
      </c>
      <c r="B182" s="566" t="s">
        <v>833</v>
      </c>
      <c r="C182" s="923" t="s">
        <v>699</v>
      </c>
      <c r="D182" s="924">
        <v>19860101</v>
      </c>
      <c r="E182" s="924">
        <v>19960101</v>
      </c>
      <c r="F182" s="921"/>
      <c r="G182" s="40"/>
      <c r="H182"/>
    </row>
    <row r="183" spans="1:8" ht="14.45" thickBot="1">
      <c r="A183" s="922" t="s">
        <v>834</v>
      </c>
      <c r="B183" s="566" t="s">
        <v>835</v>
      </c>
      <c r="C183" s="923" t="s">
        <v>699</v>
      </c>
      <c r="D183" s="924">
        <v>19860101</v>
      </c>
      <c r="E183" s="924">
        <v>19960101</v>
      </c>
      <c r="F183" s="921"/>
      <c r="G183" s="40"/>
      <c r="H183"/>
    </row>
    <row r="184" spans="1:8" ht="14.45" thickBot="1">
      <c r="A184" s="922" t="s">
        <v>836</v>
      </c>
      <c r="B184" s="566" t="s">
        <v>837</v>
      </c>
      <c r="C184" s="923" t="s">
        <v>699</v>
      </c>
      <c r="D184" s="924">
        <v>19860101</v>
      </c>
      <c r="E184" s="924">
        <v>19960101</v>
      </c>
      <c r="F184" s="921"/>
      <c r="G184" s="40"/>
      <c r="H184"/>
    </row>
    <row r="185" spans="1:8" ht="14.45" thickBot="1">
      <c r="A185" s="922" t="s">
        <v>838</v>
      </c>
      <c r="B185" s="566" t="s">
        <v>839</v>
      </c>
      <c r="C185" s="923" t="s">
        <v>699</v>
      </c>
      <c r="D185" s="924">
        <v>19860101</v>
      </c>
      <c r="E185" s="924">
        <v>19960101</v>
      </c>
      <c r="F185" s="921"/>
      <c r="G185" s="40"/>
      <c r="H185"/>
    </row>
    <row r="186" spans="1:8" ht="14.45" thickBot="1">
      <c r="A186" s="922" t="s">
        <v>840</v>
      </c>
      <c r="B186" s="566" t="s">
        <v>841</v>
      </c>
      <c r="C186" s="923" t="s">
        <v>699</v>
      </c>
      <c r="D186" s="924">
        <v>19860101</v>
      </c>
      <c r="E186" s="924">
        <v>19960101</v>
      </c>
      <c r="F186" s="921"/>
      <c r="G186" s="40"/>
      <c r="H186"/>
    </row>
    <row r="187" spans="1:8" ht="28.15" thickBot="1">
      <c r="A187" s="922" t="s">
        <v>842</v>
      </c>
      <c r="B187" s="566" t="s">
        <v>843</v>
      </c>
      <c r="C187" s="923" t="s">
        <v>699</v>
      </c>
      <c r="D187" s="924">
        <v>19860101</v>
      </c>
      <c r="E187" s="924">
        <v>19930101</v>
      </c>
      <c r="F187" s="921"/>
      <c r="G187" s="40"/>
      <c r="H187"/>
    </row>
    <row r="188" spans="1:8" ht="14.45" thickBot="1">
      <c r="A188" s="922" t="s">
        <v>844</v>
      </c>
      <c r="B188" s="566" t="s">
        <v>845</v>
      </c>
      <c r="C188" s="923" t="s">
        <v>699</v>
      </c>
      <c r="D188" s="924">
        <v>19860101</v>
      </c>
      <c r="E188" s="924">
        <v>19890101</v>
      </c>
      <c r="F188" s="921"/>
      <c r="G188" s="40"/>
      <c r="H188"/>
    </row>
    <row r="189" spans="1:8" ht="14.45" thickBot="1">
      <c r="A189" s="922" t="s">
        <v>846</v>
      </c>
      <c r="B189" s="566" t="s">
        <v>847</v>
      </c>
      <c r="C189" s="923" t="s">
        <v>699</v>
      </c>
      <c r="D189" s="924">
        <v>19860101</v>
      </c>
      <c r="E189" s="924">
        <v>19890101</v>
      </c>
      <c r="F189" s="921"/>
      <c r="G189" s="40"/>
      <c r="H189"/>
    </row>
    <row r="190" spans="1:8" ht="14.45" thickBot="1">
      <c r="A190" s="922" t="s">
        <v>848</v>
      </c>
      <c r="B190" s="566" t="s">
        <v>849</v>
      </c>
      <c r="C190" s="923" t="s">
        <v>699</v>
      </c>
      <c r="D190" s="924">
        <v>19860101</v>
      </c>
      <c r="E190" s="924">
        <v>19970101</v>
      </c>
      <c r="F190" s="921"/>
      <c r="G190" s="40"/>
      <c r="H190"/>
    </row>
    <row r="191" spans="1:8" ht="28.15" thickBot="1">
      <c r="A191" s="922" t="s">
        <v>850</v>
      </c>
      <c r="B191" s="566" t="s">
        <v>851</v>
      </c>
      <c r="C191" s="923" t="s">
        <v>699</v>
      </c>
      <c r="D191" s="924">
        <v>20110101</v>
      </c>
      <c r="E191" s="924">
        <v>20110101</v>
      </c>
      <c r="F191" s="921"/>
      <c r="G191" s="40"/>
      <c r="H191"/>
    </row>
    <row r="192" spans="1:8" ht="14.45" thickBot="1">
      <c r="A192" s="922" t="s">
        <v>852</v>
      </c>
      <c r="B192" s="566" t="s">
        <v>853</v>
      </c>
      <c r="C192" s="923" t="s">
        <v>702</v>
      </c>
      <c r="D192" s="924">
        <v>19900101</v>
      </c>
      <c r="E192" s="924">
        <v>20140101</v>
      </c>
      <c r="F192" s="921"/>
      <c r="G192" s="40"/>
      <c r="H192"/>
    </row>
    <row r="193" spans="1:8" ht="14.45" thickBot="1">
      <c r="A193" s="922" t="s">
        <v>854</v>
      </c>
      <c r="B193" s="566" t="s">
        <v>855</v>
      </c>
      <c r="C193" s="923" t="s">
        <v>702</v>
      </c>
      <c r="D193" s="924">
        <v>19900101</v>
      </c>
      <c r="E193" s="924">
        <v>20140101</v>
      </c>
      <c r="F193" s="921"/>
      <c r="G193" s="40"/>
      <c r="H193"/>
    </row>
    <row r="194" spans="1:8" ht="28.15" thickBot="1">
      <c r="A194" s="922" t="s">
        <v>856</v>
      </c>
      <c r="B194" s="566" t="s">
        <v>857</v>
      </c>
      <c r="C194" s="923" t="s">
        <v>699</v>
      </c>
      <c r="D194" s="924">
        <v>20020101</v>
      </c>
      <c r="E194" s="924">
        <v>20020701</v>
      </c>
      <c r="F194" s="921"/>
      <c r="G194" s="40"/>
      <c r="H194"/>
    </row>
    <row r="195" spans="1:8" ht="14.45" thickBot="1">
      <c r="A195" s="922" t="s">
        <v>858</v>
      </c>
      <c r="B195" s="566" t="s">
        <v>859</v>
      </c>
      <c r="C195" s="923" t="s">
        <v>699</v>
      </c>
      <c r="D195" s="924">
        <v>19860101</v>
      </c>
      <c r="E195" s="924">
        <v>20050101</v>
      </c>
      <c r="F195" s="921"/>
      <c r="G195" s="40"/>
      <c r="H195"/>
    </row>
    <row r="196" spans="1:8" ht="42" thickBot="1">
      <c r="A196" s="922" t="s">
        <v>860</v>
      </c>
      <c r="B196" s="566" t="s">
        <v>861</v>
      </c>
      <c r="C196" s="923" t="s">
        <v>699</v>
      </c>
      <c r="D196" s="924">
        <v>20040101</v>
      </c>
      <c r="E196" s="924">
        <v>20120101</v>
      </c>
      <c r="F196" s="921"/>
      <c r="G196" s="40"/>
      <c r="H196"/>
    </row>
    <row r="197" spans="1:8" ht="42" thickBot="1">
      <c r="A197" s="922" t="s">
        <v>862</v>
      </c>
      <c r="B197" s="566" t="s">
        <v>863</v>
      </c>
      <c r="C197" s="923" t="s">
        <v>699</v>
      </c>
      <c r="D197" s="924">
        <v>20040101</v>
      </c>
      <c r="E197" s="924">
        <v>20120101</v>
      </c>
      <c r="F197" s="921"/>
      <c r="G197" s="40"/>
      <c r="H197"/>
    </row>
    <row r="198" spans="1:8" ht="28.15" thickBot="1">
      <c r="A198" s="922" t="s">
        <v>864</v>
      </c>
      <c r="B198" s="566" t="s">
        <v>865</v>
      </c>
      <c r="C198" s="923" t="s">
        <v>699</v>
      </c>
      <c r="D198" s="924">
        <v>20060101</v>
      </c>
      <c r="E198" s="924">
        <v>20120101</v>
      </c>
      <c r="F198" s="921"/>
      <c r="G198" s="40"/>
      <c r="H198"/>
    </row>
    <row r="199" spans="1:8" ht="28.15" thickBot="1">
      <c r="A199" s="922" t="s">
        <v>866</v>
      </c>
      <c r="B199" s="566" t="s">
        <v>867</v>
      </c>
      <c r="C199" s="923" t="s">
        <v>699</v>
      </c>
      <c r="D199" s="924">
        <v>20060101</v>
      </c>
      <c r="E199" s="924">
        <v>20120101</v>
      </c>
      <c r="F199" s="921"/>
      <c r="G199" s="40"/>
      <c r="H199"/>
    </row>
    <row r="200" spans="1:8" ht="14.45" thickBot="1">
      <c r="A200" s="922" t="s">
        <v>868</v>
      </c>
      <c r="B200" s="566" t="s">
        <v>869</v>
      </c>
      <c r="C200" s="924" t="s">
        <v>702</v>
      </c>
      <c r="D200" s="921"/>
      <c r="E200" s="921"/>
      <c r="F200" s="921"/>
      <c r="G200" s="40"/>
      <c r="H200"/>
    </row>
    <row r="201" spans="1:8" ht="28.15" thickBot="1">
      <c r="A201" s="922" t="s">
        <v>870</v>
      </c>
      <c r="B201" s="566" t="s">
        <v>871</v>
      </c>
      <c r="C201" s="923" t="s">
        <v>699</v>
      </c>
      <c r="D201" s="924">
        <v>20070101</v>
      </c>
      <c r="E201" s="924">
        <v>20070101</v>
      </c>
      <c r="F201" s="921"/>
      <c r="G201" s="40"/>
      <c r="H201"/>
    </row>
    <row r="202" spans="1:8" ht="14.45" thickBot="1">
      <c r="A202" s="922" t="s">
        <v>872</v>
      </c>
      <c r="B202" s="566" t="s">
        <v>873</v>
      </c>
      <c r="C202" s="923" t="s">
        <v>702</v>
      </c>
      <c r="D202" s="924">
        <v>19860101</v>
      </c>
      <c r="E202" s="924">
        <v>20010401</v>
      </c>
      <c r="F202" s="921"/>
      <c r="G202" s="40"/>
      <c r="H202"/>
    </row>
    <row r="203" spans="1:8" ht="28.15" thickBot="1">
      <c r="A203" s="922" t="s">
        <v>874</v>
      </c>
      <c r="B203" s="566" t="s">
        <v>875</v>
      </c>
      <c r="C203" s="923" t="s">
        <v>702</v>
      </c>
      <c r="D203" s="924">
        <v>19860101</v>
      </c>
      <c r="E203" s="924">
        <v>20010401</v>
      </c>
      <c r="F203" s="921"/>
      <c r="G203" s="40"/>
      <c r="H203"/>
    </row>
    <row r="204" spans="1:8" ht="28.15" thickBot="1">
      <c r="A204" s="922" t="s">
        <v>876</v>
      </c>
      <c r="B204" s="566" t="s">
        <v>877</v>
      </c>
      <c r="C204" s="923" t="s">
        <v>702</v>
      </c>
      <c r="D204" s="924">
        <v>19860101</v>
      </c>
      <c r="E204" s="924">
        <v>20010401</v>
      </c>
      <c r="F204" s="921"/>
      <c r="G204" s="40"/>
      <c r="H204"/>
    </row>
    <row r="205" spans="1:8" ht="28.15" thickBot="1">
      <c r="A205" s="922" t="s">
        <v>878</v>
      </c>
      <c r="B205" s="566" t="s">
        <v>879</v>
      </c>
      <c r="C205" s="923" t="s">
        <v>702</v>
      </c>
      <c r="D205" s="924">
        <v>19860101</v>
      </c>
      <c r="E205" s="924">
        <v>20010401</v>
      </c>
      <c r="F205" s="921"/>
      <c r="G205" s="40"/>
      <c r="H205"/>
    </row>
    <row r="206" spans="1:8" ht="28.15" thickBot="1">
      <c r="A206" s="922" t="s">
        <v>880</v>
      </c>
      <c r="B206" s="566" t="s">
        <v>881</v>
      </c>
      <c r="C206" s="923" t="s">
        <v>702</v>
      </c>
      <c r="D206" s="924">
        <v>19860101</v>
      </c>
      <c r="E206" s="924">
        <v>20010401</v>
      </c>
      <c r="F206" s="921"/>
      <c r="G206" s="40"/>
      <c r="H206"/>
    </row>
    <row r="207" spans="1:8" ht="28.15" thickBot="1">
      <c r="A207" s="922" t="s">
        <v>882</v>
      </c>
      <c r="B207" s="566" t="s">
        <v>883</v>
      </c>
      <c r="C207" s="923" t="s">
        <v>702</v>
      </c>
      <c r="D207" s="924">
        <v>19860101</v>
      </c>
      <c r="E207" s="924">
        <v>20010401</v>
      </c>
      <c r="F207" s="921"/>
      <c r="G207" s="40"/>
      <c r="H207"/>
    </row>
    <row r="208" spans="1:8" ht="28.15" thickBot="1">
      <c r="A208" s="922" t="s">
        <v>884</v>
      </c>
      <c r="B208" s="566" t="s">
        <v>885</v>
      </c>
      <c r="C208" s="923" t="s">
        <v>702</v>
      </c>
      <c r="D208" s="924">
        <v>19860101</v>
      </c>
      <c r="E208" s="924">
        <v>20010401</v>
      </c>
      <c r="F208" s="921"/>
      <c r="G208" s="40"/>
      <c r="H208"/>
    </row>
    <row r="209" spans="1:8" ht="28.15" thickBot="1">
      <c r="A209" s="922" t="s">
        <v>886</v>
      </c>
      <c r="B209" s="566" t="s">
        <v>887</v>
      </c>
      <c r="C209" s="923" t="s">
        <v>702</v>
      </c>
      <c r="D209" s="924">
        <v>19860101</v>
      </c>
      <c r="E209" s="924">
        <v>20010401</v>
      </c>
      <c r="F209" s="921"/>
      <c r="G209" s="40"/>
      <c r="H209"/>
    </row>
    <row r="210" spans="1:8" ht="28.15" thickBot="1">
      <c r="A210" s="922" t="s">
        <v>888</v>
      </c>
      <c r="B210" s="566" t="s">
        <v>889</v>
      </c>
      <c r="C210" s="923" t="s">
        <v>702</v>
      </c>
      <c r="D210" s="924">
        <v>19860101</v>
      </c>
      <c r="E210" s="924">
        <v>20010401</v>
      </c>
      <c r="F210" s="921"/>
      <c r="G210" s="40"/>
      <c r="H210"/>
    </row>
    <row r="211" spans="1:8" ht="28.15" thickBot="1">
      <c r="A211" s="922" t="s">
        <v>890</v>
      </c>
      <c r="B211" s="566" t="s">
        <v>891</v>
      </c>
      <c r="C211" s="923" t="s">
        <v>702</v>
      </c>
      <c r="D211" s="924">
        <v>19860101</v>
      </c>
      <c r="E211" s="924">
        <v>20010401</v>
      </c>
      <c r="F211" s="921"/>
      <c r="G211" s="40"/>
      <c r="H211"/>
    </row>
    <row r="212" spans="1:8" ht="28.15" thickBot="1">
      <c r="A212" s="922" t="s">
        <v>892</v>
      </c>
      <c r="B212" s="566" t="s">
        <v>893</v>
      </c>
      <c r="C212" s="923" t="s">
        <v>702</v>
      </c>
      <c r="D212" s="924">
        <v>19860101</v>
      </c>
      <c r="E212" s="924">
        <v>20010401</v>
      </c>
      <c r="F212" s="921"/>
      <c r="G212" s="40"/>
      <c r="H212"/>
    </row>
    <row r="213" spans="1:8" ht="14.45" thickBot="1">
      <c r="A213" s="922" t="s">
        <v>894</v>
      </c>
      <c r="B213" s="566" t="s">
        <v>895</v>
      </c>
      <c r="C213" s="923" t="s">
        <v>699</v>
      </c>
      <c r="D213" s="924">
        <v>19860101</v>
      </c>
      <c r="E213" s="924">
        <v>19960101</v>
      </c>
      <c r="F213" s="921"/>
      <c r="G213" s="40"/>
      <c r="H213"/>
    </row>
    <row r="214" spans="1:8" ht="28.15" thickBot="1">
      <c r="A214" s="922" t="s">
        <v>896</v>
      </c>
      <c r="B214" s="566" t="s">
        <v>897</v>
      </c>
      <c r="C214" s="924" t="s">
        <v>699</v>
      </c>
      <c r="D214" s="921"/>
      <c r="E214" s="921"/>
      <c r="F214" s="921"/>
      <c r="G214" s="40"/>
      <c r="H214"/>
    </row>
    <row r="215" spans="1:8" ht="14.45" thickBot="1">
      <c r="A215" s="922" t="s">
        <v>898</v>
      </c>
      <c r="B215" s="566" t="s">
        <v>899</v>
      </c>
      <c r="C215" s="924" t="s">
        <v>699</v>
      </c>
      <c r="D215" s="921"/>
      <c r="E215" s="921"/>
      <c r="F215" s="921"/>
      <c r="G215" s="40"/>
      <c r="H215"/>
    </row>
    <row r="216" spans="1:8" ht="28.15" thickBot="1">
      <c r="A216" s="922" t="s">
        <v>900</v>
      </c>
      <c r="B216" s="566" t="s">
        <v>901</v>
      </c>
      <c r="C216" s="923" t="s">
        <v>702</v>
      </c>
      <c r="D216" s="924">
        <v>20050101</v>
      </c>
      <c r="E216" s="924">
        <v>20050101</v>
      </c>
      <c r="F216" s="921"/>
      <c r="G216" s="40"/>
      <c r="H216"/>
    </row>
    <row r="217" spans="1:8" ht="28.15" thickBot="1">
      <c r="A217" s="922" t="s">
        <v>902</v>
      </c>
      <c r="B217" s="566" t="s">
        <v>903</v>
      </c>
      <c r="C217" s="923" t="s">
        <v>702</v>
      </c>
      <c r="D217" s="924">
        <v>20050101</v>
      </c>
      <c r="E217" s="924">
        <v>20050101</v>
      </c>
      <c r="F217" s="921"/>
      <c r="G217" s="40"/>
      <c r="H217"/>
    </row>
    <row r="218" spans="1:8" ht="28.15" thickBot="1">
      <c r="A218" s="922" t="s">
        <v>904</v>
      </c>
      <c r="B218" s="566" t="s">
        <v>905</v>
      </c>
      <c r="C218" s="923" t="s">
        <v>702</v>
      </c>
      <c r="D218" s="924">
        <v>20050101</v>
      </c>
      <c r="E218" s="924">
        <v>20050101</v>
      </c>
      <c r="F218" s="921"/>
      <c r="G218" s="40"/>
      <c r="H218"/>
    </row>
    <row r="219" spans="1:8" ht="14.45" thickBot="1">
      <c r="A219" s="922" t="s">
        <v>906</v>
      </c>
      <c r="B219" s="566" t="s">
        <v>907</v>
      </c>
      <c r="C219" s="924" t="s">
        <v>699</v>
      </c>
      <c r="D219" s="921"/>
      <c r="E219" s="921"/>
      <c r="F219" s="921"/>
      <c r="G219" s="40"/>
      <c r="H219"/>
    </row>
    <row r="220" spans="1:8" ht="14.45" thickBot="1">
      <c r="A220" s="922" t="s">
        <v>908</v>
      </c>
      <c r="B220" s="566" t="s">
        <v>909</v>
      </c>
      <c r="C220" s="924" t="s">
        <v>699</v>
      </c>
      <c r="D220" s="921"/>
      <c r="E220" s="921"/>
      <c r="F220" s="921"/>
      <c r="G220" s="40"/>
      <c r="H220"/>
    </row>
    <row r="221" spans="1:8" ht="14.45" thickBot="1">
      <c r="A221" s="922" t="s">
        <v>910</v>
      </c>
      <c r="B221" s="566" t="s">
        <v>911</v>
      </c>
      <c r="C221" s="924" t="s">
        <v>699</v>
      </c>
      <c r="D221" s="921"/>
      <c r="E221" s="921"/>
      <c r="F221" s="921"/>
      <c r="G221" s="40"/>
      <c r="H221"/>
    </row>
    <row r="222" spans="1:8" ht="14.45" thickBot="1">
      <c r="A222" s="922" t="s">
        <v>912</v>
      </c>
      <c r="B222" s="566" t="s">
        <v>913</v>
      </c>
      <c r="C222" s="924" t="s">
        <v>699</v>
      </c>
      <c r="D222" s="921"/>
      <c r="E222" s="921"/>
      <c r="F222" s="921"/>
      <c r="G222" s="40"/>
      <c r="H222"/>
    </row>
    <row r="223" spans="1:8" ht="14.45" thickBot="1">
      <c r="A223" s="922" t="s">
        <v>914</v>
      </c>
      <c r="B223" s="566" t="s">
        <v>915</v>
      </c>
      <c r="C223" s="924" t="s">
        <v>699</v>
      </c>
      <c r="D223" s="921"/>
      <c r="E223" s="921"/>
      <c r="F223" s="921"/>
      <c r="G223" s="40"/>
      <c r="H223"/>
    </row>
    <row r="224" spans="1:8" ht="14.45" thickBot="1">
      <c r="A224" s="922" t="s">
        <v>914</v>
      </c>
      <c r="B224" s="566" t="s">
        <v>916</v>
      </c>
      <c r="C224" s="924" t="s">
        <v>699</v>
      </c>
      <c r="D224" s="921"/>
      <c r="E224" s="921"/>
      <c r="F224" s="921"/>
      <c r="G224" s="40"/>
      <c r="H224"/>
    </row>
    <row r="225" spans="1:8" ht="14.45" thickBot="1">
      <c r="A225" s="922" t="s">
        <v>917</v>
      </c>
      <c r="B225" s="566" t="s">
        <v>918</v>
      </c>
      <c r="C225" s="924" t="s">
        <v>699</v>
      </c>
      <c r="D225" s="921"/>
      <c r="E225" s="921"/>
      <c r="F225" s="921"/>
      <c r="G225" s="40"/>
      <c r="H225"/>
    </row>
    <row r="226" spans="1:8" ht="14.45" thickBot="1">
      <c r="A226" s="922" t="s">
        <v>919</v>
      </c>
      <c r="B226" s="566" t="s">
        <v>920</v>
      </c>
      <c r="C226" s="924" t="s">
        <v>699</v>
      </c>
      <c r="D226" s="921"/>
      <c r="E226" s="921"/>
      <c r="F226" s="921"/>
      <c r="G226" s="40"/>
      <c r="H226"/>
    </row>
    <row r="227" spans="1:8" ht="48.6" customHeight="1" thickBot="1">
      <c r="A227" s="922" t="s">
        <v>921</v>
      </c>
      <c r="B227" s="566" t="s">
        <v>922</v>
      </c>
      <c r="C227" s="924" t="s">
        <v>699</v>
      </c>
      <c r="D227" s="921"/>
      <c r="E227" s="921"/>
      <c r="F227" s="921"/>
      <c r="G227" s="40"/>
      <c r="H227"/>
    </row>
    <row r="228" spans="1:8" ht="46.9" customHeight="1" thickBot="1">
      <c r="A228" s="922" t="s">
        <v>923</v>
      </c>
      <c r="B228" s="566" t="s">
        <v>924</v>
      </c>
      <c r="C228" s="924" t="s">
        <v>699</v>
      </c>
      <c r="D228" s="921"/>
      <c r="E228" s="921"/>
      <c r="F228" s="921"/>
      <c r="G228" s="40"/>
      <c r="H228"/>
    </row>
    <row r="229" spans="1:8" ht="14.45" thickBot="1">
      <c r="A229" s="922" t="s">
        <v>925</v>
      </c>
      <c r="B229" s="566" t="s">
        <v>926</v>
      </c>
      <c r="C229" s="924" t="s">
        <v>699</v>
      </c>
      <c r="D229" s="921"/>
      <c r="E229" s="921"/>
      <c r="F229" s="921"/>
      <c r="G229" s="40"/>
      <c r="H229"/>
    </row>
    <row r="230" spans="1:8" ht="14.45" thickBot="1">
      <c r="A230" s="922" t="s">
        <v>927</v>
      </c>
      <c r="B230" s="566" t="s">
        <v>928</v>
      </c>
      <c r="C230" s="924" t="s">
        <v>699</v>
      </c>
      <c r="D230" s="921"/>
      <c r="E230" s="921"/>
      <c r="F230" s="921"/>
      <c r="G230" s="40"/>
      <c r="H230"/>
    </row>
    <row r="231" spans="1:8" ht="14.45" thickBot="1">
      <c r="A231" s="922" t="s">
        <v>929</v>
      </c>
      <c r="B231" s="566" t="s">
        <v>930</v>
      </c>
      <c r="C231" s="924" t="s">
        <v>699</v>
      </c>
      <c r="D231" s="921"/>
      <c r="E231" s="921"/>
      <c r="F231" s="921"/>
      <c r="G231" s="40"/>
      <c r="H231"/>
    </row>
    <row r="232" spans="1:8" ht="28.15" thickBot="1">
      <c r="A232" s="922" t="s">
        <v>931</v>
      </c>
      <c r="B232" s="566" t="s">
        <v>932</v>
      </c>
      <c r="C232" s="923" t="s">
        <v>699</v>
      </c>
      <c r="D232" s="924">
        <v>20090401</v>
      </c>
      <c r="E232" s="924">
        <v>20090401</v>
      </c>
      <c r="F232" s="921"/>
      <c r="G232" s="40"/>
      <c r="H232"/>
    </row>
    <row r="233" spans="1:8" ht="43.9" customHeight="1" thickBot="1">
      <c r="A233" s="922" t="s">
        <v>933</v>
      </c>
      <c r="B233" s="566" t="s">
        <v>934</v>
      </c>
      <c r="C233" s="924" t="s">
        <v>699</v>
      </c>
      <c r="D233" s="921"/>
      <c r="E233" s="921"/>
      <c r="F233" s="921"/>
      <c r="G233" s="40"/>
      <c r="H233"/>
    </row>
    <row r="234" spans="1:8" ht="14.45" thickBot="1">
      <c r="A234" s="922" t="s">
        <v>935</v>
      </c>
      <c r="B234" s="566" t="s">
        <v>936</v>
      </c>
      <c r="C234" s="924" t="s">
        <v>699</v>
      </c>
      <c r="D234" s="921"/>
      <c r="E234" s="921"/>
      <c r="F234" s="921"/>
      <c r="G234" s="40"/>
      <c r="H234"/>
    </row>
    <row r="235" spans="1:8" ht="14.45" thickBot="1">
      <c r="A235" s="922" t="s">
        <v>937</v>
      </c>
      <c r="B235" s="566" t="s">
        <v>938</v>
      </c>
      <c r="C235" s="924" t="s">
        <v>699</v>
      </c>
      <c r="D235" s="921"/>
      <c r="E235" s="921"/>
      <c r="F235" s="921"/>
      <c r="G235" s="40"/>
      <c r="H235"/>
    </row>
    <row r="236" spans="1:8" ht="14.45" thickBot="1">
      <c r="A236" s="922" t="s">
        <v>939</v>
      </c>
      <c r="B236" s="566" t="s">
        <v>940</v>
      </c>
      <c r="C236" s="924" t="s">
        <v>699</v>
      </c>
      <c r="D236" s="921"/>
      <c r="E236" s="921"/>
      <c r="F236" s="921"/>
      <c r="G236" s="40"/>
      <c r="H236"/>
    </row>
    <row r="237" spans="1:8" ht="14.45" thickBot="1">
      <c r="A237" s="922" t="s">
        <v>941</v>
      </c>
      <c r="B237" s="566" t="s">
        <v>942</v>
      </c>
      <c r="C237" s="924" t="s">
        <v>699</v>
      </c>
      <c r="D237" s="921"/>
      <c r="E237" s="921"/>
      <c r="F237" s="921"/>
      <c r="G237" s="40"/>
      <c r="H237"/>
    </row>
    <row r="238" spans="1:8" ht="14.45" thickBot="1">
      <c r="A238" s="922" t="s">
        <v>906</v>
      </c>
      <c r="B238" s="566" t="s">
        <v>943</v>
      </c>
      <c r="C238" s="924" t="s">
        <v>699</v>
      </c>
      <c r="D238" s="921"/>
      <c r="E238" s="921"/>
      <c r="F238" s="921"/>
      <c r="G238" s="40"/>
      <c r="H238"/>
    </row>
    <row r="239" spans="1:8" ht="14.45" thickBot="1">
      <c r="A239" s="922" t="s">
        <v>944</v>
      </c>
      <c r="B239" s="566" t="s">
        <v>945</v>
      </c>
      <c r="C239" s="923" t="s">
        <v>699</v>
      </c>
      <c r="D239" s="924">
        <v>20000101</v>
      </c>
      <c r="E239" s="924">
        <v>20000101</v>
      </c>
      <c r="F239" s="921"/>
      <c r="G239" s="40"/>
      <c r="H239"/>
    </row>
    <row r="240" spans="1:8" ht="28.15" thickBot="1">
      <c r="A240" s="922" t="s">
        <v>946</v>
      </c>
      <c r="B240" s="566" t="s">
        <v>947</v>
      </c>
      <c r="C240" s="923" t="s">
        <v>702</v>
      </c>
      <c r="D240" s="924">
        <v>20010701</v>
      </c>
      <c r="E240" s="924">
        <v>20010701</v>
      </c>
      <c r="F240" s="921"/>
      <c r="G240" s="40"/>
      <c r="H240"/>
    </row>
    <row r="241" spans="1:8" ht="14.45" thickBot="1">
      <c r="A241" s="922" t="s">
        <v>948</v>
      </c>
      <c r="B241" s="566" t="s">
        <v>949</v>
      </c>
      <c r="C241" s="923" t="s">
        <v>702</v>
      </c>
      <c r="D241" s="924">
        <v>20010701</v>
      </c>
      <c r="E241" s="924">
        <v>20010701</v>
      </c>
      <c r="F241" s="921"/>
      <c r="G241" s="40"/>
      <c r="H241"/>
    </row>
    <row r="242" spans="1:8" ht="14.45" thickBot="1">
      <c r="A242" s="922" t="s">
        <v>950</v>
      </c>
      <c r="B242" s="566" t="s">
        <v>951</v>
      </c>
      <c r="C242" s="923" t="s">
        <v>702</v>
      </c>
      <c r="D242" s="924">
        <v>20010701</v>
      </c>
      <c r="E242" s="924">
        <v>20010701</v>
      </c>
      <c r="F242" s="921"/>
      <c r="G242" s="40"/>
      <c r="H242"/>
    </row>
    <row r="243" spans="1:8" ht="14.45" thickBot="1">
      <c r="A243" s="922" t="s">
        <v>952</v>
      </c>
      <c r="B243" s="566" t="s">
        <v>953</v>
      </c>
      <c r="C243" s="923" t="s">
        <v>702</v>
      </c>
      <c r="D243" s="924">
        <v>20010701</v>
      </c>
      <c r="E243" s="924">
        <v>20010701</v>
      </c>
      <c r="F243" s="921"/>
      <c r="G243" s="40"/>
      <c r="H243"/>
    </row>
    <row r="244" spans="1:8" ht="14.45" thickBot="1">
      <c r="A244" s="922" t="s">
        <v>954</v>
      </c>
      <c r="B244" s="566" t="s">
        <v>955</v>
      </c>
      <c r="C244" s="923" t="s">
        <v>702</v>
      </c>
      <c r="D244" s="924">
        <v>20010701</v>
      </c>
      <c r="E244" s="924">
        <v>20010701</v>
      </c>
      <c r="F244" s="921"/>
      <c r="G244" s="40"/>
      <c r="H244"/>
    </row>
    <row r="245" spans="1:8" ht="14.45" thickBot="1">
      <c r="A245" s="922" t="s">
        <v>956</v>
      </c>
      <c r="B245" s="566" t="s">
        <v>957</v>
      </c>
      <c r="C245" s="923" t="s">
        <v>702</v>
      </c>
      <c r="D245" s="924">
        <v>20010701</v>
      </c>
      <c r="E245" s="924">
        <v>20010701</v>
      </c>
      <c r="F245" s="921"/>
      <c r="G245" s="40"/>
      <c r="H245"/>
    </row>
    <row r="246" spans="1:8" ht="28.15" thickBot="1">
      <c r="A246" s="922" t="s">
        <v>958</v>
      </c>
      <c r="B246" s="566" t="s">
        <v>959</v>
      </c>
      <c r="C246" s="923" t="s">
        <v>702</v>
      </c>
      <c r="D246" s="924">
        <v>20010701</v>
      </c>
      <c r="E246" s="924">
        <v>20010701</v>
      </c>
      <c r="F246" s="921"/>
      <c r="G246" s="40"/>
      <c r="H246"/>
    </row>
    <row r="247" spans="1:8" ht="28.15" thickBot="1">
      <c r="A247" s="922" t="s">
        <v>960</v>
      </c>
      <c r="B247" s="566" t="s">
        <v>961</v>
      </c>
      <c r="C247" s="923" t="s">
        <v>702</v>
      </c>
      <c r="D247" s="924">
        <v>20010701</v>
      </c>
      <c r="E247" s="924">
        <v>20010701</v>
      </c>
      <c r="F247" s="921"/>
      <c r="G247" s="40"/>
      <c r="H247"/>
    </row>
    <row r="248" spans="1:8" ht="28.15" thickBot="1">
      <c r="A248" s="922" t="s">
        <v>962</v>
      </c>
      <c r="B248" s="566" t="s">
        <v>963</v>
      </c>
      <c r="C248" s="923" t="s">
        <v>702</v>
      </c>
      <c r="D248" s="924">
        <v>20010701</v>
      </c>
      <c r="E248" s="924">
        <v>20010701</v>
      </c>
      <c r="F248" s="921"/>
      <c r="G248" s="40"/>
      <c r="H248"/>
    </row>
    <row r="249" spans="1:8" ht="28.15" thickBot="1">
      <c r="A249" s="922" t="s">
        <v>964</v>
      </c>
      <c r="B249" s="566" t="s">
        <v>965</v>
      </c>
      <c r="C249" s="923" t="s">
        <v>702</v>
      </c>
      <c r="D249" s="924">
        <v>20010701</v>
      </c>
      <c r="E249" s="924">
        <v>20010701</v>
      </c>
      <c r="F249" s="921"/>
      <c r="G249" s="40"/>
      <c r="H249"/>
    </row>
    <row r="250" spans="1:8" ht="14.45" thickBot="1">
      <c r="A250" s="922" t="s">
        <v>966</v>
      </c>
      <c r="B250" s="566" t="s">
        <v>967</v>
      </c>
      <c r="C250" s="923" t="s">
        <v>702</v>
      </c>
      <c r="D250" s="924">
        <v>20010701</v>
      </c>
      <c r="E250" s="924">
        <v>20010701</v>
      </c>
      <c r="F250" s="921"/>
      <c r="G250" s="40"/>
      <c r="H250"/>
    </row>
    <row r="251" spans="1:8" ht="14.45" thickBot="1">
      <c r="A251" s="922" t="s">
        <v>968</v>
      </c>
      <c r="B251" s="566" t="s">
        <v>969</v>
      </c>
      <c r="C251" s="923" t="s">
        <v>702</v>
      </c>
      <c r="D251" s="924">
        <v>20010701</v>
      </c>
      <c r="E251" s="924">
        <v>20030101</v>
      </c>
      <c r="F251" s="921"/>
      <c r="G251" s="40"/>
      <c r="H251"/>
    </row>
    <row r="252" spans="1:8" ht="28.15" thickBot="1">
      <c r="A252" s="922" t="s">
        <v>970</v>
      </c>
      <c r="B252" s="566" t="s">
        <v>971</v>
      </c>
      <c r="C252" s="923" t="s">
        <v>702</v>
      </c>
      <c r="D252" s="924">
        <v>20010701</v>
      </c>
      <c r="E252" s="924">
        <v>20010701</v>
      </c>
      <c r="F252" s="921"/>
      <c r="G252" s="40"/>
      <c r="H252"/>
    </row>
    <row r="253" spans="1:8" ht="14.45" thickBot="1">
      <c r="A253" s="922" t="s">
        <v>972</v>
      </c>
      <c r="B253" s="566" t="s">
        <v>559</v>
      </c>
      <c r="C253" s="923" t="s">
        <v>702</v>
      </c>
      <c r="D253" s="924">
        <v>20020101</v>
      </c>
      <c r="E253" s="924">
        <v>20020101</v>
      </c>
      <c r="F253" s="921"/>
      <c r="G253" s="40"/>
      <c r="H253"/>
    </row>
    <row r="254" spans="1:8" ht="14.45" thickBot="1">
      <c r="A254" s="922" t="s">
        <v>973</v>
      </c>
      <c r="B254" s="566" t="s">
        <v>974</v>
      </c>
      <c r="C254" s="923" t="s">
        <v>702</v>
      </c>
      <c r="D254" s="924">
        <v>20020701</v>
      </c>
      <c r="E254" s="924">
        <v>20020701</v>
      </c>
      <c r="F254" s="921"/>
      <c r="G254" s="40"/>
      <c r="H254"/>
    </row>
    <row r="255" spans="1:8" ht="14.45" thickBot="1">
      <c r="A255" s="922" t="s">
        <v>975</v>
      </c>
      <c r="B255" s="566" t="s">
        <v>976</v>
      </c>
      <c r="C255" s="923" t="s">
        <v>702</v>
      </c>
      <c r="D255" s="924">
        <v>20020701</v>
      </c>
      <c r="E255" s="924">
        <v>20020701</v>
      </c>
      <c r="F255" s="921"/>
      <c r="G255" s="40"/>
      <c r="H255"/>
    </row>
    <row r="256" spans="1:8" ht="28.15" thickBot="1">
      <c r="A256" s="922" t="s">
        <v>977</v>
      </c>
      <c r="B256" s="566" t="s">
        <v>978</v>
      </c>
      <c r="C256" s="923" t="s">
        <v>702</v>
      </c>
      <c r="D256" s="924">
        <v>20020701</v>
      </c>
      <c r="E256" s="924">
        <v>20020701</v>
      </c>
      <c r="F256" s="921"/>
      <c r="G256" s="40"/>
      <c r="H256"/>
    </row>
    <row r="257" spans="1:8" ht="69.599999999999994" thickBot="1">
      <c r="A257" s="922" t="s">
        <v>979</v>
      </c>
      <c r="B257" s="566" t="s">
        <v>980</v>
      </c>
      <c r="C257" s="923" t="s">
        <v>702</v>
      </c>
      <c r="D257" s="924">
        <v>20020701</v>
      </c>
      <c r="E257" s="924">
        <v>20020701</v>
      </c>
      <c r="F257" s="921"/>
      <c r="G257" s="40"/>
      <c r="H257"/>
    </row>
    <row r="258" spans="1:8" ht="69.599999999999994" thickBot="1">
      <c r="A258" s="922" t="s">
        <v>981</v>
      </c>
      <c r="B258" s="566" t="s">
        <v>982</v>
      </c>
      <c r="C258" s="923" t="s">
        <v>702</v>
      </c>
      <c r="D258" s="924">
        <v>20020701</v>
      </c>
      <c r="E258" s="924">
        <v>20020701</v>
      </c>
      <c r="F258" s="921"/>
      <c r="G258" s="40"/>
      <c r="H258"/>
    </row>
    <row r="259" spans="1:8" ht="14.45" thickBot="1">
      <c r="A259" s="922" t="s">
        <v>983</v>
      </c>
      <c r="B259" s="566" t="s">
        <v>984</v>
      </c>
      <c r="C259" s="923" t="s">
        <v>702</v>
      </c>
      <c r="D259" s="924">
        <v>20020701</v>
      </c>
      <c r="E259" s="924">
        <v>20020701</v>
      </c>
      <c r="F259" s="921"/>
      <c r="G259" s="40"/>
      <c r="H259"/>
    </row>
    <row r="260" spans="1:8" ht="28.15" thickBot="1">
      <c r="A260" s="922" t="s">
        <v>985</v>
      </c>
      <c r="B260" s="566" t="s">
        <v>986</v>
      </c>
      <c r="C260" s="923" t="s">
        <v>702</v>
      </c>
      <c r="D260" s="924">
        <v>20030101</v>
      </c>
      <c r="E260" s="924">
        <v>20030101</v>
      </c>
      <c r="F260" s="921"/>
      <c r="G260" s="40"/>
      <c r="H260"/>
    </row>
    <row r="261" spans="1:8" ht="42" thickBot="1">
      <c r="A261" s="922" t="s">
        <v>987</v>
      </c>
      <c r="B261" s="566" t="s">
        <v>988</v>
      </c>
      <c r="C261" s="923" t="s">
        <v>702</v>
      </c>
      <c r="D261" s="924">
        <v>20030101</v>
      </c>
      <c r="E261" s="924">
        <v>20030101</v>
      </c>
      <c r="F261" s="921"/>
      <c r="G261" s="40"/>
      <c r="H261"/>
    </row>
    <row r="262" spans="1:8" ht="42" thickBot="1">
      <c r="A262" s="922" t="s">
        <v>989</v>
      </c>
      <c r="B262" s="566" t="s">
        <v>990</v>
      </c>
      <c r="C262" s="923" t="s">
        <v>702</v>
      </c>
      <c r="D262" s="924">
        <v>20030101</v>
      </c>
      <c r="E262" s="924">
        <v>20030101</v>
      </c>
      <c r="F262" s="921"/>
      <c r="G262" s="40"/>
      <c r="H262"/>
    </row>
    <row r="263" spans="1:8" ht="42" thickBot="1">
      <c r="A263" s="922" t="s">
        <v>991</v>
      </c>
      <c r="B263" s="566" t="s">
        <v>992</v>
      </c>
      <c r="C263" s="923" t="s">
        <v>702</v>
      </c>
      <c r="D263" s="924">
        <v>20030101</v>
      </c>
      <c r="E263" s="924">
        <v>20030101</v>
      </c>
      <c r="F263" s="921"/>
      <c r="G263" s="40"/>
      <c r="H263"/>
    </row>
    <row r="264" spans="1:8" ht="42" thickBot="1">
      <c r="A264" s="922" t="s">
        <v>993</v>
      </c>
      <c r="B264" s="566" t="s">
        <v>994</v>
      </c>
      <c r="C264" s="923" t="s">
        <v>702</v>
      </c>
      <c r="D264" s="924">
        <v>20030101</v>
      </c>
      <c r="E264" s="924">
        <v>20030101</v>
      </c>
      <c r="F264" s="921"/>
      <c r="G264" s="40"/>
      <c r="H264"/>
    </row>
    <row r="265" spans="1:8" ht="28.15" thickBot="1">
      <c r="A265" s="922" t="s">
        <v>995</v>
      </c>
      <c r="B265" s="566" t="s">
        <v>996</v>
      </c>
      <c r="C265" s="923" t="s">
        <v>702</v>
      </c>
      <c r="D265" s="924">
        <v>20030101</v>
      </c>
      <c r="E265" s="924">
        <v>20030101</v>
      </c>
      <c r="F265" s="921"/>
      <c r="G265" s="40"/>
      <c r="H265"/>
    </row>
    <row r="266" spans="1:8" ht="28.15" thickBot="1">
      <c r="A266" s="922" t="s">
        <v>997</v>
      </c>
      <c r="B266" s="566" t="s">
        <v>998</v>
      </c>
      <c r="C266" s="923" t="s">
        <v>702</v>
      </c>
      <c r="D266" s="924">
        <v>20030101</v>
      </c>
      <c r="E266" s="924">
        <v>20030101</v>
      </c>
      <c r="F266" s="921"/>
      <c r="G266" s="40"/>
      <c r="H266"/>
    </row>
    <row r="267" spans="1:8" ht="28.15" thickBot="1">
      <c r="A267" s="922" t="s">
        <v>999</v>
      </c>
      <c r="B267" s="566" t="s">
        <v>1000</v>
      </c>
      <c r="C267" s="923" t="s">
        <v>702</v>
      </c>
      <c r="D267" s="924">
        <v>20030101</v>
      </c>
      <c r="E267" s="924">
        <v>20030101</v>
      </c>
      <c r="F267" s="921"/>
      <c r="G267" s="40"/>
      <c r="H267"/>
    </row>
    <row r="268" spans="1:8" ht="14.45" thickBot="1">
      <c r="A268" s="922" t="s">
        <v>1001</v>
      </c>
      <c r="B268" s="566" t="s">
        <v>1002</v>
      </c>
      <c r="C268" s="923" t="s">
        <v>702</v>
      </c>
      <c r="D268" s="924">
        <v>20030101</v>
      </c>
      <c r="E268" s="924">
        <v>20030101</v>
      </c>
      <c r="F268" s="921"/>
      <c r="G268" s="40"/>
      <c r="H268"/>
    </row>
    <row r="269" spans="1:8" ht="28.15" thickBot="1">
      <c r="A269" s="922" t="s">
        <v>1003</v>
      </c>
      <c r="B269" s="566" t="s">
        <v>1004</v>
      </c>
      <c r="C269" s="923" t="s">
        <v>702</v>
      </c>
      <c r="D269" s="924">
        <v>20030101</v>
      </c>
      <c r="E269" s="924">
        <v>20030101</v>
      </c>
      <c r="F269" s="921"/>
      <c r="G269" s="40"/>
      <c r="H269"/>
    </row>
    <row r="270" spans="1:8" ht="28.15" thickBot="1">
      <c r="A270" s="922" t="s">
        <v>1005</v>
      </c>
      <c r="B270" s="566" t="s">
        <v>1006</v>
      </c>
      <c r="C270" s="923" t="s">
        <v>702</v>
      </c>
      <c r="D270" s="924">
        <v>20030101</v>
      </c>
      <c r="E270" s="924">
        <v>20030101</v>
      </c>
      <c r="F270" s="921"/>
      <c r="G270" s="40"/>
      <c r="H270"/>
    </row>
    <row r="271" spans="1:8" ht="28.15" thickBot="1">
      <c r="A271" s="922" t="s">
        <v>1007</v>
      </c>
      <c r="B271" s="566" t="s">
        <v>1008</v>
      </c>
      <c r="C271" s="923" t="s">
        <v>702</v>
      </c>
      <c r="D271" s="924">
        <v>20070401</v>
      </c>
      <c r="E271" s="924">
        <v>20070401</v>
      </c>
      <c r="F271" s="921"/>
      <c r="G271" s="40"/>
      <c r="H271"/>
    </row>
    <row r="272" spans="1:8" ht="42" thickBot="1">
      <c r="A272" s="922" t="s">
        <v>1009</v>
      </c>
      <c r="B272" s="566" t="s">
        <v>1010</v>
      </c>
      <c r="C272" s="923" t="s">
        <v>702</v>
      </c>
      <c r="D272" s="924">
        <v>20110101</v>
      </c>
      <c r="E272" s="924">
        <v>20110101</v>
      </c>
      <c r="F272" s="921"/>
      <c r="G272" s="40"/>
      <c r="H272"/>
    </row>
    <row r="273" spans="1:8" ht="85.9" customHeight="1" thickBot="1">
      <c r="A273" s="922" t="s">
        <v>1011</v>
      </c>
      <c r="B273" s="566" t="s">
        <v>1012</v>
      </c>
      <c r="C273" s="923" t="s">
        <v>702</v>
      </c>
      <c r="D273" s="924">
        <v>20030101</v>
      </c>
      <c r="E273" s="924">
        <v>20030101</v>
      </c>
      <c r="F273" s="921"/>
      <c r="G273" s="40"/>
      <c r="H273"/>
    </row>
    <row r="274" spans="1:8" ht="14.45" thickBot="1">
      <c r="A274" s="922" t="s">
        <v>1013</v>
      </c>
      <c r="B274" s="566" t="s">
        <v>1014</v>
      </c>
      <c r="C274" s="923" t="s">
        <v>702</v>
      </c>
      <c r="D274" s="924">
        <v>20020401</v>
      </c>
      <c r="E274" s="924">
        <v>20020401</v>
      </c>
      <c r="F274" s="921"/>
      <c r="G274" s="40"/>
      <c r="H274"/>
    </row>
    <row r="275" spans="1:8" ht="14.45" thickBot="1">
      <c r="A275" s="922" t="s">
        <v>1015</v>
      </c>
      <c r="B275" s="566" t="s">
        <v>1016</v>
      </c>
      <c r="C275" s="923" t="s">
        <v>702</v>
      </c>
      <c r="D275" s="924">
        <v>20020401</v>
      </c>
      <c r="E275" s="924">
        <v>20020401</v>
      </c>
      <c r="F275" s="921"/>
      <c r="G275" s="40"/>
      <c r="H275"/>
    </row>
    <row r="276" spans="1:8" ht="14.45" thickBot="1">
      <c r="A276" s="922" t="s">
        <v>1017</v>
      </c>
      <c r="B276" s="566" t="s">
        <v>1018</v>
      </c>
      <c r="C276" s="923" t="s">
        <v>702</v>
      </c>
      <c r="D276" s="924">
        <v>20020401</v>
      </c>
      <c r="E276" s="924">
        <v>20020401</v>
      </c>
      <c r="F276" s="921"/>
      <c r="G276" s="40"/>
      <c r="H276"/>
    </row>
    <row r="277" spans="1:8" ht="14.45" thickBot="1">
      <c r="A277" s="922" t="s">
        <v>1019</v>
      </c>
      <c r="B277" s="566" t="s">
        <v>1020</v>
      </c>
      <c r="C277" s="923" t="s">
        <v>702</v>
      </c>
      <c r="D277" s="924">
        <v>20020401</v>
      </c>
      <c r="E277" s="924">
        <v>20020401</v>
      </c>
      <c r="F277" s="921"/>
      <c r="G277" s="40"/>
      <c r="H277"/>
    </row>
    <row r="278" spans="1:8" ht="14.45" thickBot="1">
      <c r="A278" s="922" t="s">
        <v>1021</v>
      </c>
      <c r="B278" s="566" t="s">
        <v>1022</v>
      </c>
      <c r="C278" s="923" t="s">
        <v>702</v>
      </c>
      <c r="D278" s="924">
        <v>20020401</v>
      </c>
      <c r="E278" s="924">
        <v>20040701</v>
      </c>
      <c r="F278" s="921"/>
      <c r="G278" s="40"/>
      <c r="H278"/>
    </row>
    <row r="279" spans="1:8" ht="28.15" thickBot="1">
      <c r="A279" s="922" t="s">
        <v>1023</v>
      </c>
      <c r="B279" s="566" t="s">
        <v>1024</v>
      </c>
      <c r="C279" s="923" t="s">
        <v>702</v>
      </c>
      <c r="D279" s="924">
        <v>20030101</v>
      </c>
      <c r="E279" s="924">
        <v>20030101</v>
      </c>
      <c r="F279" s="921"/>
      <c r="G279" s="40"/>
      <c r="H279"/>
    </row>
    <row r="280" spans="1:8" ht="28.15" thickBot="1">
      <c r="A280" s="922" t="s">
        <v>1025</v>
      </c>
      <c r="B280" s="566" t="s">
        <v>1026</v>
      </c>
      <c r="C280" s="923" t="s">
        <v>702</v>
      </c>
      <c r="D280" s="924">
        <v>20030401</v>
      </c>
      <c r="E280" s="924">
        <v>20030401</v>
      </c>
      <c r="F280" s="921"/>
      <c r="G280" s="40"/>
      <c r="H280"/>
    </row>
    <row r="281" spans="1:8" ht="28.15" thickBot="1">
      <c r="A281" s="922" t="s">
        <v>1027</v>
      </c>
      <c r="B281" s="566" t="s">
        <v>1028</v>
      </c>
      <c r="C281" s="923" t="s">
        <v>702</v>
      </c>
      <c r="D281" s="924">
        <v>20030401</v>
      </c>
      <c r="E281" s="924">
        <v>20030401</v>
      </c>
      <c r="F281" s="921"/>
      <c r="G281" s="40"/>
      <c r="H281"/>
    </row>
    <row r="282" spans="1:8" ht="14.45" thickBot="1">
      <c r="A282" s="922" t="s">
        <v>1029</v>
      </c>
      <c r="B282" s="566" t="s">
        <v>1030</v>
      </c>
      <c r="C282" s="923" t="s">
        <v>702</v>
      </c>
      <c r="D282" s="924">
        <v>20031001</v>
      </c>
      <c r="E282" s="924">
        <v>20031001</v>
      </c>
      <c r="F282" s="921"/>
      <c r="G282" s="40"/>
      <c r="H282"/>
    </row>
    <row r="283" spans="1:8" ht="14.45" thickBot="1">
      <c r="A283" s="922" t="s">
        <v>1031</v>
      </c>
      <c r="B283" s="566" t="s">
        <v>1032</v>
      </c>
      <c r="C283" s="923" t="s">
        <v>702</v>
      </c>
      <c r="D283" s="924">
        <v>20031001</v>
      </c>
      <c r="E283" s="924">
        <v>20031001</v>
      </c>
      <c r="F283" s="921"/>
      <c r="G283" s="40"/>
      <c r="H283"/>
    </row>
    <row r="284" spans="1:8" ht="14.45" thickBot="1">
      <c r="A284" s="922" t="s">
        <v>1033</v>
      </c>
      <c r="B284" s="566" t="s">
        <v>1034</v>
      </c>
      <c r="C284" s="923" t="s">
        <v>702</v>
      </c>
      <c r="D284" s="924">
        <v>20031001</v>
      </c>
      <c r="E284" s="924">
        <v>20031001</v>
      </c>
      <c r="F284" s="921"/>
      <c r="G284" s="40"/>
      <c r="H284"/>
    </row>
    <row r="285" spans="1:8" ht="14.45" thickBot="1">
      <c r="A285" s="922" t="s">
        <v>1035</v>
      </c>
      <c r="B285" s="566" t="s">
        <v>1036</v>
      </c>
      <c r="C285" s="923" t="s">
        <v>702</v>
      </c>
      <c r="D285" s="924">
        <v>20031001</v>
      </c>
      <c r="E285" s="924">
        <v>20031001</v>
      </c>
      <c r="F285" s="921"/>
      <c r="G285" s="40"/>
      <c r="H285"/>
    </row>
    <row r="286" spans="1:8" ht="14.45" thickBot="1">
      <c r="A286" s="922" t="s">
        <v>1037</v>
      </c>
      <c r="B286" s="566" t="s">
        <v>1038</v>
      </c>
      <c r="C286" s="923" t="s">
        <v>702</v>
      </c>
      <c r="D286" s="924">
        <v>20031001</v>
      </c>
      <c r="E286" s="924">
        <v>20031001</v>
      </c>
      <c r="F286" s="921"/>
      <c r="G286" s="40"/>
      <c r="H286"/>
    </row>
    <row r="287" spans="1:8" ht="14.45" thickBot="1">
      <c r="A287" s="922" t="s">
        <v>1039</v>
      </c>
      <c r="B287" s="566" t="s">
        <v>1040</v>
      </c>
      <c r="C287" s="923" t="s">
        <v>702</v>
      </c>
      <c r="D287" s="924">
        <v>20031001</v>
      </c>
      <c r="E287" s="924">
        <v>20031001</v>
      </c>
      <c r="F287" s="921"/>
      <c r="G287" s="40"/>
      <c r="H287"/>
    </row>
    <row r="288" spans="1:8" ht="14.45" thickBot="1">
      <c r="A288" s="922" t="s">
        <v>1041</v>
      </c>
      <c r="B288" s="566" t="s">
        <v>1042</v>
      </c>
      <c r="C288" s="923" t="s">
        <v>702</v>
      </c>
      <c r="D288" s="924">
        <v>20031001</v>
      </c>
      <c r="E288" s="924">
        <v>20031001</v>
      </c>
      <c r="F288" s="921"/>
      <c r="G288" s="40"/>
      <c r="H288"/>
    </row>
    <row r="289" spans="1:8" ht="14.45" thickBot="1">
      <c r="A289" s="922" t="s">
        <v>1043</v>
      </c>
      <c r="B289" s="566" t="s">
        <v>1044</v>
      </c>
      <c r="C289" s="923" t="s">
        <v>702</v>
      </c>
      <c r="D289" s="924">
        <v>20031001</v>
      </c>
      <c r="E289" s="924">
        <v>20031001</v>
      </c>
      <c r="F289" s="921"/>
      <c r="G289" s="40"/>
      <c r="H289"/>
    </row>
    <row r="290" spans="1:8" ht="14.45" thickBot="1">
      <c r="A290" s="922" t="s">
        <v>1045</v>
      </c>
      <c r="B290" s="566" t="s">
        <v>1046</v>
      </c>
      <c r="C290" s="923" t="s">
        <v>702</v>
      </c>
      <c r="D290" s="924">
        <v>20031001</v>
      </c>
      <c r="E290" s="924">
        <v>20031001</v>
      </c>
      <c r="F290" s="921"/>
      <c r="G290" s="40"/>
      <c r="H290"/>
    </row>
    <row r="291" spans="1:8" ht="14.45" thickBot="1">
      <c r="A291" s="922" t="s">
        <v>1047</v>
      </c>
      <c r="B291" s="566" t="s">
        <v>1048</v>
      </c>
      <c r="C291" s="923" t="s">
        <v>702</v>
      </c>
      <c r="D291" s="924">
        <v>20031001</v>
      </c>
      <c r="E291" s="924">
        <v>20031001</v>
      </c>
      <c r="F291" s="921"/>
      <c r="G291" s="40"/>
      <c r="H291"/>
    </row>
    <row r="292" spans="1:8" ht="14.45" thickBot="1">
      <c r="A292" s="922" t="s">
        <v>1049</v>
      </c>
      <c r="B292" s="566" t="s">
        <v>1050</v>
      </c>
      <c r="C292" s="923" t="s">
        <v>702</v>
      </c>
      <c r="D292" s="924">
        <v>20031001</v>
      </c>
      <c r="E292" s="924">
        <v>20031001</v>
      </c>
      <c r="F292" s="921"/>
      <c r="G292" s="40"/>
      <c r="H292"/>
    </row>
    <row r="293" spans="1:8" ht="14.45" thickBot="1">
      <c r="A293" s="922" t="s">
        <v>1051</v>
      </c>
      <c r="B293" s="566" t="s">
        <v>1052</v>
      </c>
      <c r="C293" s="923" t="s">
        <v>702</v>
      </c>
      <c r="D293" s="924">
        <v>20031001</v>
      </c>
      <c r="E293" s="924">
        <v>20031001</v>
      </c>
      <c r="F293" s="921"/>
      <c r="G293" s="40"/>
      <c r="H293"/>
    </row>
    <row r="294" spans="1:8" ht="14.45" thickBot="1">
      <c r="A294" s="922" t="s">
        <v>1053</v>
      </c>
      <c r="B294" s="566" t="s">
        <v>1054</v>
      </c>
      <c r="C294" s="923" t="s">
        <v>702</v>
      </c>
      <c r="D294" s="924">
        <v>20031001</v>
      </c>
      <c r="E294" s="924">
        <v>20031001</v>
      </c>
      <c r="F294" s="921"/>
      <c r="G294" s="40"/>
      <c r="H294"/>
    </row>
    <row r="295" spans="1:8" ht="14.45" thickBot="1">
      <c r="A295" s="922" t="s">
        <v>1055</v>
      </c>
      <c r="B295" s="566" t="s">
        <v>1056</v>
      </c>
      <c r="C295" s="923" t="s">
        <v>702</v>
      </c>
      <c r="D295" s="924">
        <v>20031001</v>
      </c>
      <c r="E295" s="924">
        <v>20031001</v>
      </c>
      <c r="F295" s="921"/>
      <c r="G295" s="40"/>
      <c r="H295"/>
    </row>
    <row r="296" spans="1:8" ht="14.45" thickBot="1">
      <c r="A296" s="922" t="s">
        <v>1057</v>
      </c>
      <c r="B296" s="566" t="s">
        <v>1058</v>
      </c>
      <c r="C296" s="923" t="s">
        <v>702</v>
      </c>
      <c r="D296" s="924">
        <v>20031001</v>
      </c>
      <c r="E296" s="924">
        <v>20031001</v>
      </c>
      <c r="F296" s="921"/>
      <c r="G296" s="40"/>
      <c r="H296"/>
    </row>
    <row r="297" spans="1:8" ht="14.45" thickBot="1">
      <c r="A297" s="922" t="s">
        <v>1059</v>
      </c>
      <c r="B297" s="566" t="s">
        <v>1060</v>
      </c>
      <c r="C297" s="923" t="s">
        <v>702</v>
      </c>
      <c r="D297" s="924">
        <v>20031001</v>
      </c>
      <c r="E297" s="924">
        <v>20031001</v>
      </c>
      <c r="F297" s="921"/>
      <c r="G297" s="40"/>
      <c r="H297"/>
    </row>
    <row r="298" spans="1:8" ht="14.45" thickBot="1">
      <c r="A298" s="922" t="s">
        <v>1061</v>
      </c>
      <c r="B298" s="566" t="s">
        <v>1062</v>
      </c>
      <c r="C298" s="923" t="s">
        <v>702</v>
      </c>
      <c r="D298" s="924">
        <v>20031001</v>
      </c>
      <c r="E298" s="924">
        <v>20031001</v>
      </c>
      <c r="F298" s="921"/>
      <c r="G298" s="40"/>
      <c r="H298"/>
    </row>
    <row r="299" spans="1:8" ht="28.15" thickBot="1">
      <c r="A299" s="922" t="s">
        <v>1063</v>
      </c>
      <c r="B299" s="566" t="s">
        <v>1064</v>
      </c>
      <c r="C299" s="923" t="s">
        <v>702</v>
      </c>
      <c r="D299" s="924">
        <v>20031001</v>
      </c>
      <c r="E299" s="924">
        <v>20031001</v>
      </c>
      <c r="F299" s="921"/>
      <c r="G299" s="40"/>
      <c r="H299"/>
    </row>
    <row r="300" spans="1:8" ht="14.45" thickBot="1">
      <c r="A300" s="922" t="s">
        <v>1065</v>
      </c>
      <c r="B300" s="566" t="s">
        <v>1066</v>
      </c>
      <c r="C300" s="923" t="s">
        <v>702</v>
      </c>
      <c r="D300" s="924">
        <v>20031001</v>
      </c>
      <c r="E300" s="924">
        <v>20031001</v>
      </c>
      <c r="F300" s="921"/>
      <c r="G300" s="40"/>
      <c r="H300"/>
    </row>
    <row r="301" spans="1:8" ht="14.45" thickBot="1">
      <c r="A301" s="922" t="s">
        <v>1067</v>
      </c>
      <c r="B301" s="566" t="s">
        <v>1068</v>
      </c>
      <c r="C301" s="923" t="s">
        <v>702</v>
      </c>
      <c r="D301" s="924">
        <v>20031001</v>
      </c>
      <c r="E301" s="924">
        <v>20031001</v>
      </c>
      <c r="F301" s="921"/>
      <c r="G301" s="40"/>
      <c r="H301"/>
    </row>
    <row r="302" spans="1:8" ht="28.15" thickBot="1">
      <c r="A302" s="922" t="s">
        <v>1069</v>
      </c>
      <c r="B302" s="566" t="s">
        <v>1070</v>
      </c>
      <c r="C302" s="923" t="s">
        <v>702</v>
      </c>
      <c r="D302" s="924">
        <v>20031001</v>
      </c>
      <c r="E302" s="924">
        <v>20031001</v>
      </c>
      <c r="F302" s="921"/>
      <c r="G302" s="40"/>
      <c r="H302"/>
    </row>
    <row r="303" spans="1:8" ht="28.15" thickBot="1">
      <c r="A303" s="922" t="s">
        <v>1071</v>
      </c>
      <c r="B303" s="566" t="s">
        <v>1072</v>
      </c>
      <c r="C303" s="923" t="s">
        <v>702</v>
      </c>
      <c r="D303" s="924">
        <v>20031001</v>
      </c>
      <c r="E303" s="924">
        <v>20031001</v>
      </c>
      <c r="F303" s="921"/>
      <c r="G303" s="40"/>
      <c r="H303"/>
    </row>
    <row r="304" spans="1:8" ht="14.45" thickBot="1">
      <c r="A304" s="922" t="s">
        <v>1073</v>
      </c>
      <c r="B304" s="566" t="s">
        <v>1074</v>
      </c>
      <c r="C304" s="923" t="s">
        <v>702</v>
      </c>
      <c r="D304" s="924">
        <v>20031001</v>
      </c>
      <c r="E304" s="924">
        <v>20031001</v>
      </c>
      <c r="F304" s="921"/>
      <c r="G304" s="40"/>
      <c r="H304"/>
    </row>
    <row r="305" spans="1:8" ht="28.15" thickBot="1">
      <c r="A305" s="922" t="s">
        <v>1075</v>
      </c>
      <c r="B305" s="566" t="s">
        <v>1076</v>
      </c>
      <c r="C305" s="923" t="s">
        <v>702</v>
      </c>
      <c r="D305" s="924">
        <v>20031001</v>
      </c>
      <c r="E305" s="924">
        <v>20031001</v>
      </c>
      <c r="F305" s="921"/>
      <c r="G305" s="40"/>
      <c r="H305"/>
    </row>
    <row r="306" spans="1:8" ht="14.45" thickBot="1">
      <c r="A306" s="922" t="s">
        <v>1077</v>
      </c>
      <c r="B306" s="566" t="s">
        <v>1078</v>
      </c>
      <c r="C306" s="923" t="s">
        <v>702</v>
      </c>
      <c r="D306" s="924">
        <v>20031001</v>
      </c>
      <c r="E306" s="924">
        <v>20031001</v>
      </c>
      <c r="F306" s="921"/>
      <c r="G306" s="40"/>
      <c r="H306"/>
    </row>
    <row r="307" spans="1:8" ht="14.45" thickBot="1">
      <c r="A307" s="922" t="s">
        <v>1079</v>
      </c>
      <c r="B307" s="566" t="s">
        <v>1080</v>
      </c>
      <c r="C307" s="923" t="s">
        <v>702</v>
      </c>
      <c r="D307" s="924">
        <v>20031001</v>
      </c>
      <c r="E307" s="924">
        <v>20031001</v>
      </c>
      <c r="F307" s="921"/>
      <c r="G307" s="40"/>
      <c r="H307"/>
    </row>
    <row r="308" spans="1:8" ht="14.45" thickBot="1">
      <c r="A308" s="922" t="s">
        <v>1081</v>
      </c>
      <c r="B308" s="566" t="s">
        <v>1082</v>
      </c>
      <c r="C308" s="923" t="s">
        <v>702</v>
      </c>
      <c r="D308" s="924">
        <v>20031001</v>
      </c>
      <c r="E308" s="924">
        <v>20031001</v>
      </c>
      <c r="F308" s="921"/>
      <c r="G308" s="40"/>
      <c r="H308"/>
    </row>
    <row r="309" spans="1:8" ht="14.45" thickBot="1">
      <c r="A309" s="922" t="s">
        <v>1083</v>
      </c>
      <c r="B309" s="566" t="s">
        <v>1084</v>
      </c>
      <c r="C309" s="923" t="s">
        <v>702</v>
      </c>
      <c r="D309" s="924">
        <v>20031001</v>
      </c>
      <c r="E309" s="924">
        <v>20031001</v>
      </c>
      <c r="F309" s="921"/>
      <c r="G309" s="40"/>
      <c r="H309"/>
    </row>
    <row r="310" spans="1:8" ht="14.45" thickBot="1">
      <c r="A310" s="922" t="s">
        <v>1085</v>
      </c>
      <c r="B310" s="566" t="s">
        <v>1086</v>
      </c>
      <c r="C310" s="923" t="s">
        <v>702</v>
      </c>
      <c r="D310" s="924">
        <v>20031001</v>
      </c>
      <c r="E310" s="924">
        <v>20031001</v>
      </c>
      <c r="F310" s="921"/>
      <c r="G310" s="40"/>
      <c r="H310"/>
    </row>
    <row r="311" spans="1:8" ht="14.45" thickBot="1">
      <c r="A311" s="922" t="s">
        <v>1087</v>
      </c>
      <c r="B311" s="566" t="s">
        <v>1088</v>
      </c>
      <c r="C311" s="923" t="s">
        <v>702</v>
      </c>
      <c r="D311" s="924">
        <v>20031001</v>
      </c>
      <c r="E311" s="924">
        <v>20031001</v>
      </c>
      <c r="F311" s="921"/>
      <c r="G311" s="40"/>
      <c r="H311"/>
    </row>
    <row r="312" spans="1:8" ht="14.45" thickBot="1">
      <c r="A312" s="922" t="s">
        <v>1089</v>
      </c>
      <c r="B312" s="566" t="s">
        <v>1090</v>
      </c>
      <c r="C312" s="923" t="s">
        <v>702</v>
      </c>
      <c r="D312" s="924">
        <v>20031001</v>
      </c>
      <c r="E312" s="924">
        <v>20031001</v>
      </c>
      <c r="F312" s="921"/>
      <c r="G312" s="40"/>
      <c r="H312"/>
    </row>
    <row r="313" spans="1:8" ht="14.45" thickBot="1">
      <c r="A313" s="922" t="s">
        <v>1091</v>
      </c>
      <c r="B313" s="566" t="s">
        <v>1092</v>
      </c>
      <c r="C313" s="923" t="s">
        <v>702</v>
      </c>
      <c r="D313" s="924">
        <v>20031001</v>
      </c>
      <c r="E313" s="924">
        <v>20031001</v>
      </c>
      <c r="F313" s="921"/>
      <c r="G313" s="40"/>
      <c r="H313"/>
    </row>
    <row r="314" spans="1:8" ht="14.45" thickBot="1">
      <c r="A314" s="922" t="s">
        <v>1093</v>
      </c>
      <c r="B314" s="566" t="s">
        <v>1094</v>
      </c>
      <c r="C314" s="923" t="s">
        <v>702</v>
      </c>
      <c r="D314" s="924">
        <v>20031001</v>
      </c>
      <c r="E314" s="924">
        <v>20031001</v>
      </c>
      <c r="F314" s="921"/>
      <c r="G314" s="40"/>
      <c r="H314"/>
    </row>
    <row r="315" spans="1:8" ht="14.45" thickBot="1">
      <c r="A315" s="922" t="s">
        <v>1095</v>
      </c>
      <c r="B315" s="566" t="s">
        <v>1096</v>
      </c>
      <c r="C315" s="923" t="s">
        <v>702</v>
      </c>
      <c r="D315" s="924">
        <v>20031001</v>
      </c>
      <c r="E315" s="924">
        <v>20031001</v>
      </c>
      <c r="F315" s="921"/>
      <c r="G315" s="40"/>
      <c r="H315"/>
    </row>
    <row r="316" spans="1:8" ht="14.45" thickBot="1">
      <c r="A316" s="922" t="s">
        <v>1097</v>
      </c>
      <c r="B316" s="566" t="s">
        <v>1098</v>
      </c>
      <c r="C316" s="923" t="s">
        <v>702</v>
      </c>
      <c r="D316" s="924">
        <v>20031001</v>
      </c>
      <c r="E316" s="924">
        <v>20031001</v>
      </c>
      <c r="F316" s="921"/>
      <c r="G316" s="40"/>
      <c r="H316"/>
    </row>
    <row r="317" spans="1:8" ht="42" thickBot="1">
      <c r="A317" s="922" t="s">
        <v>1099</v>
      </c>
      <c r="B317" s="566" t="s">
        <v>1100</v>
      </c>
      <c r="C317" s="923" t="s">
        <v>702</v>
      </c>
      <c r="D317" s="924">
        <v>20031001</v>
      </c>
      <c r="E317" s="924">
        <v>20031001</v>
      </c>
      <c r="F317" s="921"/>
      <c r="G317" s="40"/>
      <c r="H317"/>
    </row>
    <row r="318" spans="1:8" ht="28.15" thickBot="1">
      <c r="A318" s="922" t="s">
        <v>1101</v>
      </c>
      <c r="B318" s="566" t="s">
        <v>1102</v>
      </c>
      <c r="C318" s="923" t="s">
        <v>702</v>
      </c>
      <c r="D318" s="924">
        <v>20040701</v>
      </c>
      <c r="E318" s="924">
        <v>20040701</v>
      </c>
      <c r="F318" s="921"/>
      <c r="G318" s="40"/>
      <c r="H318"/>
    </row>
    <row r="319" spans="1:8" ht="14.45" thickBot="1">
      <c r="A319" s="922" t="s">
        <v>1103</v>
      </c>
      <c r="B319" s="566" t="s">
        <v>1104</v>
      </c>
      <c r="C319" s="923" t="s">
        <v>702</v>
      </c>
      <c r="D319" s="924">
        <v>20040101</v>
      </c>
      <c r="E319" s="924">
        <v>20040101</v>
      </c>
      <c r="F319" s="921"/>
      <c r="G319" s="40"/>
      <c r="H319"/>
    </row>
    <row r="320" spans="1:8" ht="28.15" thickBot="1">
      <c r="A320" s="922" t="s">
        <v>1105</v>
      </c>
      <c r="B320" s="566" t="s">
        <v>1106</v>
      </c>
      <c r="C320" s="923" t="s">
        <v>699</v>
      </c>
      <c r="D320" s="924">
        <v>20050101</v>
      </c>
      <c r="E320" s="924">
        <v>20050101</v>
      </c>
      <c r="F320" s="921"/>
      <c r="G320" s="40"/>
      <c r="H320"/>
    </row>
    <row r="321" spans="1:8" ht="28.15" thickBot="1">
      <c r="A321" s="922" t="s">
        <v>1107</v>
      </c>
      <c r="B321" s="566" t="s">
        <v>1108</v>
      </c>
      <c r="C321" s="923" t="s">
        <v>699</v>
      </c>
      <c r="D321" s="924">
        <v>20050101</v>
      </c>
      <c r="E321" s="924">
        <v>20050101</v>
      </c>
      <c r="F321" s="921"/>
      <c r="G321" s="40"/>
      <c r="H321"/>
    </row>
    <row r="322" spans="1:8" ht="28.15" thickBot="1">
      <c r="A322" s="922" t="s">
        <v>1109</v>
      </c>
      <c r="B322" s="566" t="s">
        <v>1110</v>
      </c>
      <c r="C322" s="923" t="s">
        <v>699</v>
      </c>
      <c r="D322" s="924">
        <v>20050101</v>
      </c>
      <c r="E322" s="924">
        <v>20050101</v>
      </c>
      <c r="F322" s="921"/>
      <c r="G322" s="40"/>
      <c r="H322"/>
    </row>
    <row r="323" spans="1:8" ht="28.15" thickBot="1">
      <c r="A323" s="922" t="s">
        <v>1111</v>
      </c>
      <c r="B323" s="566" t="s">
        <v>1112</v>
      </c>
      <c r="C323" s="923" t="s">
        <v>699</v>
      </c>
      <c r="D323" s="924">
        <v>20050101</v>
      </c>
      <c r="E323" s="924">
        <v>20050101</v>
      </c>
      <c r="F323" s="921"/>
      <c r="G323" s="40"/>
      <c r="H323"/>
    </row>
    <row r="324" spans="1:8" ht="28.15" thickBot="1">
      <c r="A324" s="922" t="s">
        <v>1113</v>
      </c>
      <c r="B324" s="566" t="s">
        <v>1114</v>
      </c>
      <c r="C324" s="923" t="s">
        <v>699</v>
      </c>
      <c r="D324" s="924">
        <v>20050101</v>
      </c>
      <c r="E324" s="924">
        <v>20050101</v>
      </c>
      <c r="F324" s="921"/>
      <c r="G324" s="40"/>
      <c r="H324"/>
    </row>
    <row r="325" spans="1:8" ht="28.15" thickBot="1">
      <c r="A325" s="922" t="s">
        <v>1115</v>
      </c>
      <c r="B325" s="566" t="s">
        <v>1116</v>
      </c>
      <c r="C325" s="923" t="s">
        <v>699</v>
      </c>
      <c r="D325" s="924">
        <v>20050101</v>
      </c>
      <c r="E325" s="924">
        <v>20050101</v>
      </c>
      <c r="F325" s="921"/>
      <c r="G325" s="40"/>
      <c r="H325"/>
    </row>
    <row r="326" spans="1:8" ht="28.15" thickBot="1">
      <c r="A326" s="922" t="s">
        <v>1117</v>
      </c>
      <c r="B326" s="566" t="s">
        <v>1118</v>
      </c>
      <c r="C326" s="923" t="s">
        <v>699</v>
      </c>
      <c r="D326" s="924">
        <v>20050101</v>
      </c>
      <c r="E326" s="924">
        <v>20050101</v>
      </c>
      <c r="F326" s="921"/>
      <c r="G326" s="40"/>
      <c r="H326"/>
    </row>
    <row r="327" spans="1:8" ht="28.15" thickBot="1">
      <c r="A327" s="922" t="s">
        <v>1119</v>
      </c>
      <c r="B327" s="566" t="s">
        <v>1120</v>
      </c>
      <c r="C327" s="923" t="s">
        <v>699</v>
      </c>
      <c r="D327" s="924">
        <v>20050101</v>
      </c>
      <c r="E327" s="924">
        <v>20050101</v>
      </c>
      <c r="F327" s="921"/>
      <c r="G327" s="40"/>
      <c r="H327"/>
    </row>
    <row r="328" spans="1:8" ht="28.15" thickBot="1">
      <c r="A328" s="922" t="s">
        <v>1121</v>
      </c>
      <c r="B328" s="566" t="s">
        <v>1122</v>
      </c>
      <c r="C328" s="923" t="s">
        <v>699</v>
      </c>
      <c r="D328" s="924">
        <v>20050101</v>
      </c>
      <c r="E328" s="924">
        <v>20050101</v>
      </c>
      <c r="F328" s="921"/>
      <c r="G328" s="40"/>
      <c r="H328"/>
    </row>
    <row r="329" spans="1:8" ht="28.15" thickBot="1">
      <c r="A329" s="922" t="s">
        <v>1123</v>
      </c>
      <c r="B329" s="566" t="s">
        <v>1124</v>
      </c>
      <c r="C329" s="923" t="s">
        <v>699</v>
      </c>
      <c r="D329" s="924">
        <v>20050101</v>
      </c>
      <c r="E329" s="924">
        <v>20050101</v>
      </c>
      <c r="F329" s="921"/>
      <c r="G329" s="40"/>
      <c r="H329"/>
    </row>
    <row r="330" spans="1:8" ht="28.15" thickBot="1">
      <c r="A330" s="922" t="s">
        <v>1125</v>
      </c>
      <c r="B330" s="566" t="s">
        <v>1126</v>
      </c>
      <c r="C330" s="923" t="s">
        <v>699</v>
      </c>
      <c r="D330" s="924">
        <v>20050101</v>
      </c>
      <c r="E330" s="924">
        <v>20050101</v>
      </c>
      <c r="F330" s="921"/>
      <c r="G330" s="40"/>
      <c r="H330"/>
    </row>
    <row r="331" spans="1:8" ht="77.650000000000006" customHeight="1" thickBot="1">
      <c r="A331" s="922" t="s">
        <v>1127</v>
      </c>
      <c r="B331" s="566" t="s">
        <v>1128</v>
      </c>
      <c r="C331" s="923" t="s">
        <v>699</v>
      </c>
      <c r="D331" s="924">
        <v>20050101</v>
      </c>
      <c r="E331" s="924">
        <v>20050101</v>
      </c>
      <c r="F331" s="921"/>
      <c r="G331" s="40"/>
      <c r="H331"/>
    </row>
    <row r="332" spans="1:8" ht="28.15" thickBot="1">
      <c r="A332" s="922" t="s">
        <v>1129</v>
      </c>
      <c r="B332" s="566" t="s">
        <v>1130</v>
      </c>
      <c r="C332" s="923" t="s">
        <v>699</v>
      </c>
      <c r="D332" s="924">
        <v>20050101</v>
      </c>
      <c r="E332" s="924">
        <v>20050101</v>
      </c>
      <c r="F332" s="921"/>
      <c r="G332" s="40"/>
      <c r="H332"/>
    </row>
    <row r="333" spans="1:8" ht="28.15" thickBot="1">
      <c r="A333" s="922" t="s">
        <v>1131</v>
      </c>
      <c r="B333" s="566" t="s">
        <v>1132</v>
      </c>
      <c r="C333" s="923" t="s">
        <v>699</v>
      </c>
      <c r="D333" s="924">
        <v>20050101</v>
      </c>
      <c r="E333" s="924">
        <v>20050101</v>
      </c>
      <c r="F333" s="921"/>
      <c r="G333" s="40"/>
      <c r="H333"/>
    </row>
    <row r="334" spans="1:8" ht="28.15" thickBot="1">
      <c r="A334" s="922" t="s">
        <v>1133</v>
      </c>
      <c r="B334" s="566" t="s">
        <v>1134</v>
      </c>
      <c r="C334" s="923" t="s">
        <v>699</v>
      </c>
      <c r="D334" s="924">
        <v>20050101</v>
      </c>
      <c r="E334" s="924">
        <v>20050101</v>
      </c>
      <c r="F334" s="921"/>
      <c r="G334" s="40"/>
      <c r="H334"/>
    </row>
    <row r="335" spans="1:8" ht="28.15" thickBot="1">
      <c r="A335" s="922" t="s">
        <v>1135</v>
      </c>
      <c r="B335" s="566" t="s">
        <v>1136</v>
      </c>
      <c r="C335" s="923" t="s">
        <v>699</v>
      </c>
      <c r="D335" s="924">
        <v>20050101</v>
      </c>
      <c r="E335" s="924">
        <v>20050101</v>
      </c>
      <c r="F335" s="921"/>
      <c r="G335" s="40"/>
      <c r="H335"/>
    </row>
    <row r="336" spans="1:8" ht="28.15" thickBot="1">
      <c r="A336" s="922" t="s">
        <v>1137</v>
      </c>
      <c r="B336" s="566" t="s">
        <v>1138</v>
      </c>
      <c r="C336" s="923" t="s">
        <v>699</v>
      </c>
      <c r="D336" s="924">
        <v>20050101</v>
      </c>
      <c r="E336" s="924">
        <v>20050101</v>
      </c>
      <c r="F336" s="921"/>
      <c r="G336" s="40"/>
      <c r="H336"/>
    </row>
    <row r="337" spans="1:8" ht="14.45" thickBot="1">
      <c r="A337" s="922" t="s">
        <v>1139</v>
      </c>
      <c r="B337" s="566" t="s">
        <v>1140</v>
      </c>
      <c r="C337" s="923" t="s">
        <v>699</v>
      </c>
      <c r="D337" s="924">
        <v>20050101</v>
      </c>
      <c r="E337" s="924">
        <v>20050101</v>
      </c>
      <c r="F337" s="921"/>
      <c r="G337" s="40"/>
      <c r="H337"/>
    </row>
    <row r="338" spans="1:8" ht="14.45" thickBot="1">
      <c r="A338" s="922" t="s">
        <v>1141</v>
      </c>
      <c r="B338" s="566" t="s">
        <v>1142</v>
      </c>
      <c r="C338" s="923" t="s">
        <v>699</v>
      </c>
      <c r="D338" s="924">
        <v>20050101</v>
      </c>
      <c r="E338" s="924">
        <v>20050101</v>
      </c>
      <c r="F338" s="921"/>
      <c r="G338" s="40"/>
      <c r="H338"/>
    </row>
    <row r="339" spans="1:8" ht="28.15" thickBot="1">
      <c r="A339" s="922" t="s">
        <v>1143</v>
      </c>
      <c r="B339" s="566" t="s">
        <v>1144</v>
      </c>
      <c r="C339" s="923" t="s">
        <v>699</v>
      </c>
      <c r="D339" s="924">
        <v>20050101</v>
      </c>
      <c r="E339" s="924">
        <v>20050101</v>
      </c>
      <c r="F339" s="921"/>
      <c r="G339" s="40"/>
      <c r="H339"/>
    </row>
    <row r="340" spans="1:8" ht="14.45" thickBot="1">
      <c r="A340" s="922" t="s">
        <v>1145</v>
      </c>
      <c r="B340" s="566" t="s">
        <v>1146</v>
      </c>
      <c r="C340" s="923" t="s">
        <v>702</v>
      </c>
      <c r="D340" s="924">
        <v>20050101</v>
      </c>
      <c r="E340" s="924">
        <v>20050101</v>
      </c>
      <c r="F340" s="921"/>
      <c r="G340" s="40"/>
      <c r="H340"/>
    </row>
    <row r="341" spans="1:8" ht="14.45" thickBot="1">
      <c r="A341" s="922" t="s">
        <v>1147</v>
      </c>
      <c r="B341" s="566" t="s">
        <v>1148</v>
      </c>
      <c r="C341" s="923" t="s">
        <v>702</v>
      </c>
      <c r="D341" s="924">
        <v>20050101</v>
      </c>
      <c r="E341" s="924">
        <v>20050101</v>
      </c>
      <c r="F341" s="921"/>
      <c r="G341" s="40"/>
      <c r="H341"/>
    </row>
    <row r="342" spans="1:8" ht="28.15" thickBot="1">
      <c r="A342" s="922" t="s">
        <v>1149</v>
      </c>
      <c r="B342" s="566" t="s">
        <v>1150</v>
      </c>
      <c r="C342" s="923" t="s">
        <v>699</v>
      </c>
      <c r="D342" s="924">
        <v>20070101</v>
      </c>
      <c r="E342" s="924">
        <v>20140101</v>
      </c>
      <c r="F342" s="921"/>
      <c r="G342" s="40"/>
      <c r="H342"/>
    </row>
    <row r="343" spans="1:8" ht="28.15" thickBot="1">
      <c r="A343" s="922" t="s">
        <v>1151</v>
      </c>
      <c r="B343" s="566" t="s">
        <v>1152</v>
      </c>
      <c r="C343" s="923" t="s">
        <v>699</v>
      </c>
      <c r="D343" s="924">
        <v>20140101</v>
      </c>
      <c r="E343" s="924">
        <v>20140101</v>
      </c>
      <c r="F343" s="921"/>
      <c r="G343" s="40"/>
      <c r="H343"/>
    </row>
    <row r="344" spans="1:8" ht="14.45" thickBot="1">
      <c r="A344" s="922" t="s">
        <v>1153</v>
      </c>
      <c r="B344" s="566" t="s">
        <v>1154</v>
      </c>
      <c r="C344" s="923" t="s">
        <v>702</v>
      </c>
      <c r="D344" s="924">
        <v>20040101</v>
      </c>
      <c r="E344" s="924">
        <v>20070101</v>
      </c>
      <c r="F344" s="921"/>
      <c r="G344" s="40"/>
      <c r="H344"/>
    </row>
    <row r="345" spans="1:8" ht="14.45" thickBot="1">
      <c r="A345" s="922" t="s">
        <v>1155</v>
      </c>
      <c r="B345" s="566" t="s">
        <v>1156</v>
      </c>
      <c r="C345" s="923" t="s">
        <v>702</v>
      </c>
      <c r="D345" s="924">
        <v>20040101</v>
      </c>
      <c r="E345" s="924">
        <v>20040101</v>
      </c>
      <c r="F345" s="921"/>
      <c r="G345" s="40"/>
      <c r="H345"/>
    </row>
    <row r="346" spans="1:8" ht="14.45" thickBot="1">
      <c r="A346" s="922" t="s">
        <v>203</v>
      </c>
      <c r="B346" s="566" t="s">
        <v>1157</v>
      </c>
      <c r="C346" s="923" t="s">
        <v>699</v>
      </c>
      <c r="D346" s="921"/>
      <c r="E346" s="921"/>
      <c r="F346" s="921"/>
      <c r="G346" s="40"/>
      <c r="H346"/>
    </row>
    <row r="347" spans="1:8" ht="14.45" thickBot="1">
      <c r="A347" s="922" t="s">
        <v>1158</v>
      </c>
      <c r="B347" s="566" t="s">
        <v>1159</v>
      </c>
      <c r="C347" s="923" t="s">
        <v>699</v>
      </c>
      <c r="D347" s="921"/>
      <c r="E347" s="921"/>
      <c r="F347" s="921"/>
      <c r="G347" s="40"/>
      <c r="H347"/>
    </row>
    <row r="348" spans="1:8" ht="14.45" thickBot="1">
      <c r="A348" s="924" t="s">
        <v>1160</v>
      </c>
      <c r="B348" s="567">
        <v>99601</v>
      </c>
      <c r="C348" s="923" t="s">
        <v>702</v>
      </c>
      <c r="D348" s="924">
        <v>20040101</v>
      </c>
      <c r="E348" s="924">
        <v>20110101</v>
      </c>
      <c r="F348" s="921"/>
      <c r="G348" s="40"/>
      <c r="H348"/>
    </row>
    <row r="349" spans="1:8" ht="14.45" thickBot="1">
      <c r="A349" s="924" t="s">
        <v>1161</v>
      </c>
      <c r="B349" s="567">
        <v>99602</v>
      </c>
      <c r="C349" s="923" t="s">
        <v>702</v>
      </c>
      <c r="D349" s="924">
        <v>20040101</v>
      </c>
      <c r="E349" s="924">
        <v>20110101</v>
      </c>
      <c r="F349" s="921"/>
      <c r="G349" s="40"/>
      <c r="H349"/>
    </row>
  </sheetData>
  <sheetProtection algorithmName="SHA-512" hashValue="tcZkzT9TKbwe2klm48Vn2lm6iVAb5iUmlJSmMJDQ+oMIpv5D5qorxXCQGcn6AfJjPi4gBWfUqwR88Goi5OdPdw==" saltValue="LfUH+12CgMENgtrd76d8BA==" spinCount="100000" sheet="1" formatColumns="0" formatRows="0"/>
  <mergeCells count="25">
    <mergeCell ref="A2:F2"/>
    <mergeCell ref="G14:G15"/>
    <mergeCell ref="F79:F80"/>
    <mergeCell ref="G79:G80"/>
    <mergeCell ref="A14:A15"/>
    <mergeCell ref="B14:B15"/>
    <mergeCell ref="C14:C15"/>
    <mergeCell ref="D14:D15"/>
    <mergeCell ref="E14:E15"/>
    <mergeCell ref="G16:G17"/>
    <mergeCell ref="G57:G58"/>
    <mergeCell ref="A91:D91"/>
    <mergeCell ref="A5:F5"/>
    <mergeCell ref="A57:D58"/>
    <mergeCell ref="E57:E58"/>
    <mergeCell ref="A79:A80"/>
    <mergeCell ref="B79:B80"/>
    <mergeCell ref="C79:C80"/>
    <mergeCell ref="D79:D80"/>
    <mergeCell ref="E79:E80"/>
    <mergeCell ref="A16:A17"/>
    <mergeCell ref="B16:B17"/>
    <mergeCell ref="C16:C17"/>
    <mergeCell ref="D16:D17"/>
    <mergeCell ref="E16:E17"/>
  </mergeCells>
  <hyperlinks>
    <hyperlink ref="D50" r:id="rId1" display="https://www.medicare.gov/coverage/durable-medical-equipment-coverage.html" xr:uid="{00000000-0004-0000-0500-000000000000}"/>
  </hyperlinks>
  <pageMargins left="0.25" right="0.25" top="0.5" bottom="0.75" header="0.3" footer="0.3"/>
  <pageSetup scale="75"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82"/>
  <sheetViews>
    <sheetView topLeftCell="A7" zoomScale="60" zoomScaleNormal="60" workbookViewId="0"/>
  </sheetViews>
  <sheetFormatPr defaultColWidth="8.5703125" defaultRowHeight="13.15"/>
  <cols>
    <col min="1" max="1" width="56.5703125" style="185" customWidth="1"/>
    <col min="2" max="2" width="24.5703125" style="185" customWidth="1"/>
    <col min="3" max="3" width="18.5703125" style="185" customWidth="1"/>
    <col min="4" max="4" width="17.28515625" style="185" customWidth="1"/>
    <col min="5" max="5" width="16.5703125" style="185" customWidth="1"/>
    <col min="6" max="6" width="16.28515625" style="185" customWidth="1"/>
    <col min="7" max="7" width="13.28515625" style="185" customWidth="1"/>
    <col min="8" max="8" width="11.28515625" style="185" customWidth="1"/>
    <col min="9" max="16384" width="8.5703125" style="185"/>
  </cols>
  <sheetData>
    <row r="1" spans="1:8" ht="22.9">
      <c r="A1" s="545" t="s">
        <v>1162</v>
      </c>
      <c r="B1"/>
      <c r="C1"/>
      <c r="D1"/>
      <c r="E1"/>
      <c r="F1"/>
      <c r="G1"/>
    </row>
    <row r="2" spans="1:8" ht="125.85" customHeight="1" thickBot="1">
      <c r="A2" s="925" t="s">
        <v>1163</v>
      </c>
      <c r="B2" s="925"/>
      <c r="C2" s="925"/>
      <c r="D2" s="925"/>
      <c r="E2" s="925"/>
      <c r="F2" s="925"/>
    </row>
    <row r="3" spans="1:8" ht="53.45" thickBot="1">
      <c r="A3" s="546" t="s">
        <v>1164</v>
      </c>
      <c r="B3" s="547" t="s">
        <v>1165</v>
      </c>
      <c r="C3" s="547" t="s">
        <v>1166</v>
      </c>
      <c r="D3" s="547" t="s">
        <v>1167</v>
      </c>
      <c r="E3" s="547" t="s">
        <v>1168</v>
      </c>
      <c r="F3" s="547" t="s">
        <v>1169</v>
      </c>
      <c r="G3" s="575" t="s">
        <v>482</v>
      </c>
      <c r="H3" s="575" t="s">
        <v>1170</v>
      </c>
    </row>
    <row r="4" spans="1:8" ht="13.9" thickBot="1">
      <c r="A4" s="555" t="s">
        <v>588</v>
      </c>
      <c r="B4" s="556"/>
      <c r="C4" s="556"/>
      <c r="D4" s="556"/>
      <c r="E4" s="556"/>
      <c r="F4" s="557"/>
      <c r="G4" s="557"/>
      <c r="H4" s="557"/>
    </row>
    <row r="5" spans="1:8">
      <c r="A5" s="548" t="s">
        <v>1171</v>
      </c>
      <c r="B5" s="745" t="s">
        <v>1172</v>
      </c>
      <c r="C5" s="751"/>
      <c r="D5" s="549" t="s">
        <v>1173</v>
      </c>
      <c r="E5" s="751"/>
      <c r="F5" s="753" t="s">
        <v>1174</v>
      </c>
      <c r="G5" s="744">
        <v>2</v>
      </c>
      <c r="H5" s="744">
        <v>14</v>
      </c>
    </row>
    <row r="6" spans="1:8">
      <c r="A6" s="548" t="s">
        <v>1175</v>
      </c>
      <c r="B6" s="745"/>
      <c r="C6" s="751"/>
      <c r="D6" s="549"/>
      <c r="E6" s="751"/>
      <c r="F6" s="753"/>
      <c r="G6" s="745"/>
      <c r="H6" s="745"/>
    </row>
    <row r="7" spans="1:8" ht="39.6">
      <c r="A7" s="548" t="s">
        <v>1176</v>
      </c>
      <c r="B7" s="745"/>
      <c r="C7" s="751"/>
      <c r="D7" s="549" t="s">
        <v>1177</v>
      </c>
      <c r="E7" s="751"/>
      <c r="F7" s="753"/>
      <c r="G7" s="745"/>
      <c r="H7" s="745"/>
    </row>
    <row r="8" spans="1:8">
      <c r="A8" s="548" t="s">
        <v>1178</v>
      </c>
      <c r="B8" s="745"/>
      <c r="C8" s="751"/>
      <c r="D8" s="550"/>
      <c r="E8" s="751"/>
      <c r="F8" s="753"/>
      <c r="G8" s="745"/>
      <c r="H8" s="745"/>
    </row>
    <row r="9" spans="1:8" ht="27" thickBot="1">
      <c r="A9" s="551" t="s">
        <v>1179</v>
      </c>
      <c r="B9" s="746"/>
      <c r="C9" s="752"/>
      <c r="D9" s="926"/>
      <c r="E9" s="752"/>
      <c r="F9" s="743"/>
      <c r="G9" s="746"/>
      <c r="H9" s="746"/>
    </row>
    <row r="10" spans="1:8">
      <c r="A10" s="548" t="s">
        <v>1171</v>
      </c>
      <c r="B10" s="744" t="s">
        <v>1180</v>
      </c>
      <c r="C10" s="750"/>
      <c r="D10" s="549" t="s">
        <v>1181</v>
      </c>
      <c r="E10" s="750"/>
      <c r="F10" s="742" t="s">
        <v>1182</v>
      </c>
      <c r="G10" s="744">
        <v>1</v>
      </c>
      <c r="H10" s="744">
        <v>13</v>
      </c>
    </row>
    <row r="11" spans="1:8">
      <c r="A11" s="548" t="s">
        <v>1175</v>
      </c>
      <c r="B11" s="745"/>
      <c r="C11" s="751"/>
      <c r="D11" s="549" t="s">
        <v>1173</v>
      </c>
      <c r="E11" s="751"/>
      <c r="F11" s="753"/>
      <c r="G11" s="745"/>
      <c r="H11" s="745"/>
    </row>
    <row r="12" spans="1:8" ht="13.9" thickBot="1">
      <c r="A12" s="551" t="s">
        <v>1178</v>
      </c>
      <c r="B12" s="746"/>
      <c r="C12" s="752"/>
      <c r="D12" s="927" t="s">
        <v>1183</v>
      </c>
      <c r="E12" s="752"/>
      <c r="F12" s="743"/>
      <c r="G12" s="746"/>
      <c r="H12" s="746"/>
    </row>
    <row r="13" spans="1:8" ht="27" thickBot="1">
      <c r="A13" s="551" t="s">
        <v>1184</v>
      </c>
      <c r="B13" s="927" t="s">
        <v>1185</v>
      </c>
      <c r="C13" s="927" t="s">
        <v>1186</v>
      </c>
      <c r="D13" s="928"/>
      <c r="E13" s="928"/>
      <c r="F13" s="909" t="s">
        <v>214</v>
      </c>
      <c r="G13" s="909">
        <v>13</v>
      </c>
      <c r="H13" s="909">
        <v>27</v>
      </c>
    </row>
    <row r="14" spans="1:8" ht="13.9" thickBot="1">
      <c r="A14" s="551" t="s">
        <v>1187</v>
      </c>
      <c r="B14" s="927" t="s">
        <v>1188</v>
      </c>
      <c r="C14" s="927">
        <v>17</v>
      </c>
      <c r="D14" s="927"/>
      <c r="E14" s="927"/>
      <c r="F14" s="909" t="s">
        <v>223</v>
      </c>
      <c r="G14" s="909">
        <v>22</v>
      </c>
      <c r="H14" s="909">
        <v>36</v>
      </c>
    </row>
    <row r="15" spans="1:8" ht="13.9" thickBot="1">
      <c r="A15" s="555" t="s">
        <v>1189</v>
      </c>
      <c r="B15" s="556"/>
      <c r="C15" s="556"/>
      <c r="D15" s="556"/>
      <c r="E15" s="556"/>
      <c r="F15" s="557"/>
      <c r="G15" s="557"/>
      <c r="H15" s="557"/>
    </row>
    <row r="16" spans="1:8">
      <c r="A16" s="548" t="s">
        <v>1190</v>
      </c>
      <c r="B16" s="744" t="s">
        <v>1191</v>
      </c>
      <c r="C16" s="750"/>
      <c r="D16" s="744"/>
      <c r="E16" s="744" t="s">
        <v>1192</v>
      </c>
      <c r="F16" s="742" t="s">
        <v>1193</v>
      </c>
      <c r="G16" s="744">
        <v>3</v>
      </c>
      <c r="H16" s="744">
        <v>15</v>
      </c>
    </row>
    <row r="17" spans="1:8">
      <c r="A17" s="548" t="s">
        <v>1194</v>
      </c>
      <c r="B17" s="745"/>
      <c r="C17" s="751"/>
      <c r="D17" s="745"/>
      <c r="E17" s="745"/>
      <c r="F17" s="753"/>
      <c r="G17" s="745"/>
      <c r="H17" s="745"/>
    </row>
    <row r="18" spans="1:8" ht="13.9" thickBot="1">
      <c r="A18" s="551" t="s">
        <v>1195</v>
      </c>
      <c r="B18" s="746"/>
      <c r="C18" s="752"/>
      <c r="D18" s="746"/>
      <c r="E18" s="746"/>
      <c r="F18" s="743"/>
      <c r="G18" s="746"/>
      <c r="H18" s="746"/>
    </row>
    <row r="19" spans="1:8" ht="40.15" thickBot="1">
      <c r="A19" s="552" t="s">
        <v>1196</v>
      </c>
      <c r="B19" s="927" t="s">
        <v>1191</v>
      </c>
      <c r="C19" s="928"/>
      <c r="D19" s="928"/>
      <c r="E19" s="927" t="s">
        <v>1197</v>
      </c>
      <c r="F19" s="909" t="s">
        <v>1198</v>
      </c>
      <c r="G19" s="927">
        <v>4</v>
      </c>
      <c r="H19" s="927">
        <v>16</v>
      </c>
    </row>
    <row r="20" spans="1:8">
      <c r="A20" s="548" t="s">
        <v>1199</v>
      </c>
      <c r="B20" s="744" t="s">
        <v>1200</v>
      </c>
      <c r="C20" s="750"/>
      <c r="D20" s="549" t="s">
        <v>1201</v>
      </c>
      <c r="E20" s="744" t="s">
        <v>1202</v>
      </c>
      <c r="F20" s="929" t="s">
        <v>1198</v>
      </c>
      <c r="G20" s="744">
        <v>4</v>
      </c>
      <c r="H20" s="744">
        <v>16</v>
      </c>
    </row>
    <row r="21" spans="1:8" ht="39.6">
      <c r="A21" s="548" t="s">
        <v>1203</v>
      </c>
      <c r="B21" s="745"/>
      <c r="C21" s="751"/>
      <c r="D21" s="549" t="s">
        <v>1204</v>
      </c>
      <c r="E21" s="745"/>
      <c r="F21" s="754"/>
      <c r="G21" s="745"/>
      <c r="H21" s="745"/>
    </row>
    <row r="22" spans="1:8">
      <c r="A22" s="548" t="s">
        <v>1194</v>
      </c>
      <c r="B22" s="745"/>
      <c r="C22" s="751"/>
      <c r="D22" s="550"/>
      <c r="E22" s="745"/>
      <c r="F22" s="754"/>
      <c r="G22" s="745"/>
      <c r="H22" s="745"/>
    </row>
    <row r="23" spans="1:8">
      <c r="A23" s="548" t="s">
        <v>1195</v>
      </c>
      <c r="B23" s="745"/>
      <c r="C23" s="751"/>
      <c r="D23" s="550"/>
      <c r="E23" s="745"/>
      <c r="F23" s="754"/>
      <c r="G23" s="745"/>
      <c r="H23" s="745"/>
    </row>
    <row r="24" spans="1:8" ht="13.9" thickBot="1">
      <c r="A24" s="548" t="s">
        <v>1205</v>
      </c>
      <c r="B24" s="746"/>
      <c r="C24" s="752"/>
      <c r="D24" s="550"/>
      <c r="E24" s="746"/>
      <c r="F24" s="755"/>
      <c r="G24" s="746"/>
      <c r="H24" s="746"/>
    </row>
    <row r="25" spans="1:8">
      <c r="A25" s="553" t="s">
        <v>1206</v>
      </c>
      <c r="B25" s="744" t="s">
        <v>1191</v>
      </c>
      <c r="C25" s="750"/>
      <c r="D25" s="744" t="s">
        <v>1207</v>
      </c>
      <c r="E25" s="744" t="s">
        <v>1208</v>
      </c>
      <c r="F25" s="929" t="s">
        <v>1193</v>
      </c>
      <c r="G25" s="745">
        <v>3</v>
      </c>
      <c r="H25" s="745">
        <v>15</v>
      </c>
    </row>
    <row r="26" spans="1:8">
      <c r="A26" s="548" t="s">
        <v>1190</v>
      </c>
      <c r="B26" s="745"/>
      <c r="C26" s="751"/>
      <c r="D26" s="745"/>
      <c r="E26" s="745"/>
      <c r="F26" s="754"/>
      <c r="G26" s="745"/>
      <c r="H26" s="745"/>
    </row>
    <row r="27" spans="1:8">
      <c r="A27" s="548" t="s">
        <v>1209</v>
      </c>
      <c r="B27" s="745"/>
      <c r="C27" s="751"/>
      <c r="D27" s="745"/>
      <c r="E27" s="745"/>
      <c r="F27" s="754"/>
      <c r="G27" s="745"/>
      <c r="H27" s="745"/>
    </row>
    <row r="28" spans="1:8">
      <c r="A28" s="548" t="s">
        <v>1194</v>
      </c>
      <c r="B28" s="745"/>
      <c r="C28" s="751"/>
      <c r="D28" s="745"/>
      <c r="E28" s="745"/>
      <c r="F28" s="754"/>
      <c r="G28" s="745"/>
      <c r="H28" s="745"/>
    </row>
    <row r="29" spans="1:8" ht="13.9" thickBot="1">
      <c r="A29" s="551" t="s">
        <v>1195</v>
      </c>
      <c r="B29" s="746"/>
      <c r="C29" s="752"/>
      <c r="D29" s="746"/>
      <c r="E29" s="746"/>
      <c r="F29" s="755"/>
      <c r="G29" s="746"/>
      <c r="H29" s="746"/>
    </row>
    <row r="30" spans="1:8" ht="13.9" thickBot="1">
      <c r="A30" s="555" t="s">
        <v>1210</v>
      </c>
      <c r="B30" s="556"/>
      <c r="C30" s="556"/>
      <c r="D30" s="556"/>
      <c r="E30" s="556"/>
      <c r="F30" s="557"/>
      <c r="G30" s="577"/>
      <c r="H30" s="577"/>
    </row>
    <row r="31" spans="1:8">
      <c r="A31" s="548" t="s">
        <v>1211</v>
      </c>
      <c r="B31" s="744"/>
      <c r="C31" s="744" t="s">
        <v>1212</v>
      </c>
      <c r="D31" s="549" t="s">
        <v>1201</v>
      </c>
      <c r="E31" s="750"/>
      <c r="F31" s="742" t="s">
        <v>1198</v>
      </c>
      <c r="G31" s="744">
        <v>4</v>
      </c>
      <c r="H31" s="744">
        <v>16</v>
      </c>
    </row>
    <row r="32" spans="1:8" ht="40.15" thickBot="1">
      <c r="A32" s="551" t="s">
        <v>1213</v>
      </c>
      <c r="B32" s="746"/>
      <c r="C32" s="746"/>
      <c r="D32" s="927" t="s">
        <v>1204</v>
      </c>
      <c r="E32" s="752"/>
      <c r="F32" s="743"/>
      <c r="G32" s="746"/>
      <c r="H32" s="746"/>
    </row>
    <row r="33" spans="1:8">
      <c r="A33" s="548" t="s">
        <v>1214</v>
      </c>
      <c r="B33" s="744"/>
      <c r="C33" s="744" t="s">
        <v>1215</v>
      </c>
      <c r="D33" s="750"/>
      <c r="E33" s="750"/>
      <c r="F33" s="742" t="s">
        <v>1198</v>
      </c>
      <c r="G33" s="744">
        <v>4</v>
      </c>
      <c r="H33" s="744">
        <v>16</v>
      </c>
    </row>
    <row r="34" spans="1:8">
      <c r="A34" s="548" t="s">
        <v>1216</v>
      </c>
      <c r="B34" s="745"/>
      <c r="C34" s="745"/>
      <c r="D34" s="751"/>
      <c r="E34" s="751"/>
      <c r="F34" s="753"/>
      <c r="G34" s="745"/>
      <c r="H34" s="745"/>
    </row>
    <row r="35" spans="1:8">
      <c r="A35" s="548" t="s">
        <v>1217</v>
      </c>
      <c r="B35" s="745"/>
      <c r="C35" s="745"/>
      <c r="D35" s="751"/>
      <c r="E35" s="751"/>
      <c r="F35" s="753"/>
      <c r="G35" s="745"/>
      <c r="H35" s="745"/>
    </row>
    <row r="36" spans="1:8" ht="13.9" thickBot="1">
      <c r="A36" s="551" t="s">
        <v>1218</v>
      </c>
      <c r="B36" s="746"/>
      <c r="C36" s="746"/>
      <c r="D36" s="752"/>
      <c r="E36" s="752"/>
      <c r="F36" s="743"/>
      <c r="G36" s="746"/>
      <c r="H36" s="746"/>
    </row>
    <row r="37" spans="1:8" ht="39.6">
      <c r="A37" s="548" t="s">
        <v>1219</v>
      </c>
      <c r="B37" s="744"/>
      <c r="C37" s="549" t="s">
        <v>1220</v>
      </c>
      <c r="D37" s="747" t="s">
        <v>1221</v>
      </c>
      <c r="E37" s="750"/>
      <c r="F37" s="742" t="s">
        <v>202</v>
      </c>
      <c r="G37" s="744">
        <v>5</v>
      </c>
      <c r="H37" s="744">
        <v>17</v>
      </c>
    </row>
    <row r="38" spans="1:8">
      <c r="A38" s="548" t="s">
        <v>1222</v>
      </c>
      <c r="B38" s="745"/>
      <c r="C38" s="549" t="s">
        <v>1223</v>
      </c>
      <c r="D38" s="748"/>
      <c r="E38" s="751"/>
      <c r="F38" s="753"/>
      <c r="G38" s="745"/>
      <c r="H38" s="745"/>
    </row>
    <row r="39" spans="1:8" ht="26.45">
      <c r="A39" s="548" t="s">
        <v>1224</v>
      </c>
      <c r="B39" s="745"/>
      <c r="C39" s="549" t="s">
        <v>1225</v>
      </c>
      <c r="D39" s="748"/>
      <c r="E39" s="751"/>
      <c r="F39" s="753"/>
      <c r="G39" s="745"/>
      <c r="H39" s="745"/>
    </row>
    <row r="40" spans="1:8">
      <c r="A40" s="548" t="s">
        <v>1226</v>
      </c>
      <c r="B40" s="745"/>
      <c r="C40" s="549" t="s">
        <v>1227</v>
      </c>
      <c r="D40" s="748"/>
      <c r="E40" s="751"/>
      <c r="F40" s="753"/>
      <c r="G40" s="745"/>
      <c r="H40" s="745"/>
    </row>
    <row r="41" spans="1:8">
      <c r="A41" s="548" t="s">
        <v>1228</v>
      </c>
      <c r="B41" s="745"/>
      <c r="C41" s="549" t="s">
        <v>1229</v>
      </c>
      <c r="D41" s="748"/>
      <c r="E41" s="751"/>
      <c r="F41" s="753"/>
      <c r="G41" s="745"/>
      <c r="H41" s="745"/>
    </row>
    <row r="42" spans="1:8">
      <c r="A42" s="548" t="s">
        <v>1213</v>
      </c>
      <c r="B42" s="745"/>
      <c r="C42" s="550"/>
      <c r="D42" s="748"/>
      <c r="E42" s="751"/>
      <c r="F42" s="753"/>
      <c r="G42" s="745"/>
      <c r="H42" s="745"/>
    </row>
    <row r="43" spans="1:8" ht="26.45">
      <c r="A43" s="548" t="s">
        <v>1230</v>
      </c>
      <c r="B43" s="745"/>
      <c r="C43" s="550"/>
      <c r="D43" s="748"/>
      <c r="E43" s="751"/>
      <c r="F43" s="753"/>
      <c r="G43" s="745"/>
      <c r="H43" s="745"/>
    </row>
    <row r="44" spans="1:8" ht="13.9" thickBot="1">
      <c r="A44" s="551" t="s">
        <v>1231</v>
      </c>
      <c r="B44" s="746"/>
      <c r="C44" s="926"/>
      <c r="D44" s="749"/>
      <c r="E44" s="752"/>
      <c r="F44" s="743"/>
      <c r="G44" s="746"/>
      <c r="H44" s="746"/>
    </row>
    <row r="45" spans="1:8" ht="13.9" thickBot="1">
      <c r="A45" s="555" t="s">
        <v>1232</v>
      </c>
      <c r="B45" s="556"/>
      <c r="C45" s="556"/>
      <c r="D45" s="556"/>
      <c r="E45" s="556"/>
      <c r="F45" s="557"/>
      <c r="G45" s="557"/>
      <c r="H45" s="557"/>
    </row>
    <row r="46" spans="1:8" ht="27" thickBot="1">
      <c r="A46" s="551" t="s">
        <v>1233</v>
      </c>
      <c r="B46" s="927"/>
      <c r="C46" s="927" t="s">
        <v>1234</v>
      </c>
      <c r="D46" s="928"/>
      <c r="E46" s="928"/>
      <c r="F46" s="909" t="s">
        <v>611</v>
      </c>
      <c r="G46" s="927" t="s">
        <v>1235</v>
      </c>
      <c r="H46" s="909" t="s">
        <v>1236</v>
      </c>
    </row>
    <row r="47" spans="1:8">
      <c r="A47" s="548" t="s">
        <v>1237</v>
      </c>
      <c r="B47" s="744"/>
      <c r="C47" s="744" t="s">
        <v>1238</v>
      </c>
      <c r="D47" s="750"/>
      <c r="E47" s="750"/>
      <c r="F47" s="742" t="s">
        <v>222</v>
      </c>
      <c r="G47" s="742">
        <v>21</v>
      </c>
      <c r="H47" s="742">
        <v>35</v>
      </c>
    </row>
    <row r="48" spans="1:8">
      <c r="A48" s="548" t="s">
        <v>1239</v>
      </c>
      <c r="B48" s="745"/>
      <c r="C48" s="745"/>
      <c r="D48" s="751"/>
      <c r="E48" s="751"/>
      <c r="F48" s="753"/>
      <c r="G48" s="753"/>
      <c r="H48" s="753"/>
    </row>
    <row r="49" spans="1:8">
      <c r="A49" s="548" t="s">
        <v>1240</v>
      </c>
      <c r="B49" s="745"/>
      <c r="C49" s="745"/>
      <c r="D49" s="751"/>
      <c r="E49" s="751"/>
      <c r="F49" s="753"/>
      <c r="G49" s="753"/>
      <c r="H49" s="753"/>
    </row>
    <row r="50" spans="1:8">
      <c r="A50" s="548" t="s">
        <v>1241</v>
      </c>
      <c r="B50" s="745"/>
      <c r="C50" s="745"/>
      <c r="D50" s="751"/>
      <c r="E50" s="751"/>
      <c r="F50" s="753"/>
      <c r="G50" s="753"/>
      <c r="H50" s="753"/>
    </row>
    <row r="51" spans="1:8">
      <c r="A51" s="548" t="s">
        <v>1242</v>
      </c>
      <c r="B51" s="745"/>
      <c r="C51" s="745"/>
      <c r="D51" s="751"/>
      <c r="E51" s="751"/>
      <c r="F51" s="753"/>
      <c r="G51" s="753"/>
      <c r="H51" s="753"/>
    </row>
    <row r="52" spans="1:8" ht="13.9" thickBot="1">
      <c r="A52" s="554" t="s">
        <v>1243</v>
      </c>
      <c r="B52" s="746"/>
      <c r="C52" s="746"/>
      <c r="D52" s="752"/>
      <c r="E52" s="752"/>
      <c r="F52" s="743"/>
      <c r="G52" s="743"/>
      <c r="H52" s="743"/>
    </row>
    <row r="53" spans="1:8" ht="13.35" customHeight="1">
      <c r="A53" s="553" t="s">
        <v>1244</v>
      </c>
      <c r="B53" s="578"/>
      <c r="C53" s="930" t="s">
        <v>1245</v>
      </c>
      <c r="D53" s="706"/>
      <c r="E53" s="706"/>
      <c r="F53" s="742" t="s">
        <v>203</v>
      </c>
      <c r="G53" s="742">
        <v>6</v>
      </c>
      <c r="H53" s="742">
        <v>18</v>
      </c>
    </row>
    <row r="54" spans="1:8">
      <c r="A54" s="548" t="s">
        <v>1246</v>
      </c>
      <c r="B54" s="579"/>
      <c r="C54" s="549" t="s">
        <v>1247</v>
      </c>
      <c r="D54" s="707"/>
      <c r="E54" s="707"/>
      <c r="F54" s="753"/>
      <c r="G54" s="753"/>
      <c r="H54" s="753"/>
    </row>
    <row r="55" spans="1:8" ht="27" thickBot="1">
      <c r="A55" s="551" t="s">
        <v>1248</v>
      </c>
      <c r="B55" s="552"/>
      <c r="C55" s="927" t="s">
        <v>1249</v>
      </c>
      <c r="D55" s="708"/>
      <c r="E55" s="708"/>
      <c r="F55" s="743"/>
      <c r="G55" s="743"/>
      <c r="H55" s="743"/>
    </row>
    <row r="56" spans="1:8">
      <c r="A56" s="553" t="s">
        <v>1250</v>
      </c>
      <c r="B56" s="578"/>
      <c r="C56" s="931"/>
      <c r="D56" s="706"/>
      <c r="E56" s="706"/>
      <c r="F56" s="742" t="s">
        <v>204</v>
      </c>
      <c r="G56" s="742">
        <v>7</v>
      </c>
      <c r="H56" s="742">
        <v>19</v>
      </c>
    </row>
    <row r="57" spans="1:8">
      <c r="A57" s="548" t="s">
        <v>1251</v>
      </c>
      <c r="B57" s="579"/>
      <c r="C57" s="550"/>
      <c r="D57" s="707"/>
      <c r="E57" s="707"/>
      <c r="F57" s="753"/>
      <c r="G57" s="753"/>
      <c r="H57" s="753"/>
    </row>
    <row r="58" spans="1:8">
      <c r="A58" s="548" t="s">
        <v>1252</v>
      </c>
      <c r="B58" s="579"/>
      <c r="C58" s="550"/>
      <c r="D58" s="707"/>
      <c r="E58" s="707"/>
      <c r="F58" s="753"/>
      <c r="G58" s="753"/>
      <c r="H58" s="753"/>
    </row>
    <row r="59" spans="1:8" ht="13.9" thickBot="1">
      <c r="A59" s="551" t="s">
        <v>1253</v>
      </c>
      <c r="B59" s="552"/>
      <c r="C59" s="926"/>
      <c r="D59" s="708"/>
      <c r="E59" s="708"/>
      <c r="F59" s="743"/>
      <c r="G59" s="743"/>
      <c r="H59" s="743"/>
    </row>
    <row r="60" spans="1:8">
      <c r="A60" s="553" t="s">
        <v>1254</v>
      </c>
      <c r="B60" s="578"/>
      <c r="C60" s="931"/>
      <c r="D60" s="706"/>
      <c r="E60" s="706"/>
      <c r="F60" s="742" t="s">
        <v>205</v>
      </c>
      <c r="G60" s="742">
        <v>8</v>
      </c>
      <c r="H60" s="742">
        <v>20</v>
      </c>
    </row>
    <row r="61" spans="1:8" ht="13.9" thickBot="1">
      <c r="A61" s="551" t="s">
        <v>1255</v>
      </c>
      <c r="B61" s="552"/>
      <c r="C61" s="926"/>
      <c r="D61" s="708"/>
      <c r="E61" s="708"/>
      <c r="F61" s="743"/>
      <c r="G61" s="743"/>
      <c r="H61" s="743"/>
    </row>
    <row r="62" spans="1:8">
      <c r="A62" s="553" t="s">
        <v>1256</v>
      </c>
      <c r="B62" s="578"/>
      <c r="C62" s="931"/>
      <c r="D62" s="706"/>
      <c r="E62" s="706"/>
      <c r="F62" s="742" t="s">
        <v>202</v>
      </c>
      <c r="G62" s="742">
        <v>5</v>
      </c>
      <c r="H62" s="742">
        <v>17</v>
      </c>
    </row>
    <row r="63" spans="1:8" ht="13.9" thickBot="1">
      <c r="A63" s="551" t="s">
        <v>1257</v>
      </c>
      <c r="B63" s="552"/>
      <c r="C63" s="926"/>
      <c r="D63" s="708"/>
      <c r="E63" s="708"/>
      <c r="F63" s="743"/>
      <c r="G63" s="743"/>
      <c r="H63" s="743"/>
    </row>
    <row r="64" spans="1:8">
      <c r="A64" s="548" t="s">
        <v>1258</v>
      </c>
      <c r="B64" s="579"/>
      <c r="C64" s="550"/>
      <c r="D64" s="707"/>
      <c r="E64" s="707"/>
      <c r="F64" s="742" t="s">
        <v>226</v>
      </c>
      <c r="G64" s="742">
        <v>25</v>
      </c>
      <c r="H64" s="742">
        <v>39</v>
      </c>
    </row>
    <row r="65" spans="1:8">
      <c r="A65" s="548" t="s">
        <v>1259</v>
      </c>
      <c r="B65" s="579"/>
      <c r="C65" s="550"/>
      <c r="D65" s="707"/>
      <c r="E65" s="707"/>
      <c r="F65" s="753"/>
      <c r="G65" s="753"/>
      <c r="H65" s="753"/>
    </row>
    <row r="66" spans="1:8">
      <c r="A66" s="548" t="s">
        <v>1260</v>
      </c>
      <c r="B66" s="579"/>
      <c r="C66" s="550"/>
      <c r="D66" s="707"/>
      <c r="E66" s="707"/>
      <c r="F66" s="753"/>
      <c r="G66" s="753"/>
      <c r="H66" s="753"/>
    </row>
    <row r="67" spans="1:8">
      <c r="A67" s="548" t="s">
        <v>1261</v>
      </c>
      <c r="B67" s="579"/>
      <c r="C67" s="550"/>
      <c r="D67" s="707"/>
      <c r="E67" s="707"/>
      <c r="F67" s="753"/>
      <c r="G67" s="753"/>
      <c r="H67" s="753"/>
    </row>
    <row r="68" spans="1:8">
      <c r="A68" s="548" t="s">
        <v>1262</v>
      </c>
      <c r="B68" s="579"/>
      <c r="C68" s="550"/>
      <c r="D68" s="707"/>
      <c r="E68" s="707"/>
      <c r="F68" s="753"/>
      <c r="G68" s="753"/>
      <c r="H68" s="753"/>
    </row>
    <row r="69" spans="1:8">
      <c r="A69" s="548" t="s">
        <v>1263</v>
      </c>
      <c r="B69" s="579"/>
      <c r="C69" s="550"/>
      <c r="D69" s="707"/>
      <c r="E69" s="707"/>
      <c r="F69" s="753"/>
      <c r="G69" s="753"/>
      <c r="H69" s="753"/>
    </row>
    <row r="70" spans="1:8" ht="13.9" thickBot="1">
      <c r="A70" s="551" t="s">
        <v>1264</v>
      </c>
      <c r="B70" s="552"/>
      <c r="C70" s="926"/>
      <c r="D70" s="708"/>
      <c r="E70" s="708"/>
      <c r="F70" s="743"/>
      <c r="G70" s="743"/>
      <c r="H70" s="743"/>
    </row>
    <row r="71" spans="1:8" ht="19.350000000000001" customHeight="1" thickBot="1">
      <c r="A71" s="551" t="s">
        <v>1265</v>
      </c>
      <c r="B71" s="927"/>
      <c r="C71" s="927">
        <v>59</v>
      </c>
      <c r="D71" s="928"/>
      <c r="E71" s="928"/>
      <c r="F71" s="909" t="s">
        <v>1266</v>
      </c>
      <c r="G71" s="909">
        <v>20</v>
      </c>
      <c r="H71" s="909">
        <v>34</v>
      </c>
    </row>
    <row r="72" spans="1:8" ht="31.9" customHeight="1" thickBot="1">
      <c r="A72" s="551" t="s">
        <v>1267</v>
      </c>
      <c r="B72" s="927"/>
      <c r="C72" s="927">
        <v>80</v>
      </c>
      <c r="D72" s="928"/>
      <c r="E72" s="928"/>
      <c r="F72" s="909" t="s">
        <v>224</v>
      </c>
      <c r="G72" s="649">
        <v>23</v>
      </c>
      <c r="H72" s="649">
        <v>37</v>
      </c>
    </row>
    <row r="73" spans="1:8">
      <c r="A73" s="548" t="s">
        <v>1268</v>
      </c>
      <c r="B73" s="744" t="s">
        <v>1269</v>
      </c>
      <c r="C73" s="744" t="s">
        <v>1270</v>
      </c>
      <c r="D73" s="750"/>
      <c r="E73" s="750"/>
      <c r="F73" s="742" t="s">
        <v>1271</v>
      </c>
      <c r="G73" s="742" t="s">
        <v>1272</v>
      </c>
      <c r="H73" s="742" t="s">
        <v>1273</v>
      </c>
    </row>
    <row r="74" spans="1:8">
      <c r="A74" s="548" t="s">
        <v>1274</v>
      </c>
      <c r="B74" s="745"/>
      <c r="C74" s="745"/>
      <c r="D74" s="751"/>
      <c r="E74" s="751"/>
      <c r="F74" s="753"/>
      <c r="G74" s="753"/>
      <c r="H74" s="753"/>
    </row>
    <row r="75" spans="1:8">
      <c r="A75" s="548" t="s">
        <v>1275</v>
      </c>
      <c r="B75" s="745"/>
      <c r="C75" s="745"/>
      <c r="D75" s="751"/>
      <c r="E75" s="751"/>
      <c r="F75" s="753"/>
      <c r="G75" s="753"/>
      <c r="H75" s="753"/>
    </row>
    <row r="76" spans="1:8">
      <c r="A76" s="548" t="s">
        <v>1276</v>
      </c>
      <c r="B76" s="745"/>
      <c r="C76" s="745"/>
      <c r="D76" s="751"/>
      <c r="E76" s="751"/>
      <c r="F76" s="753"/>
      <c r="G76" s="753"/>
      <c r="H76" s="753"/>
    </row>
    <row r="77" spans="1:8">
      <c r="A77" s="548" t="s">
        <v>1277</v>
      </c>
      <c r="B77" s="745"/>
      <c r="C77" s="745"/>
      <c r="D77" s="751"/>
      <c r="E77" s="751"/>
      <c r="F77" s="753"/>
      <c r="G77" s="753"/>
      <c r="H77" s="753"/>
    </row>
    <row r="78" spans="1:8" ht="26.45">
      <c r="A78" s="548" t="s">
        <v>1278</v>
      </c>
      <c r="B78" s="745"/>
      <c r="C78" s="745"/>
      <c r="D78" s="751"/>
      <c r="E78" s="751"/>
      <c r="F78" s="753"/>
      <c r="G78" s="753"/>
      <c r="H78" s="753"/>
    </row>
    <row r="79" spans="1:8">
      <c r="A79" s="548" t="s">
        <v>1279</v>
      </c>
      <c r="B79" s="745"/>
      <c r="C79" s="745"/>
      <c r="D79" s="751"/>
      <c r="E79" s="751"/>
      <c r="F79" s="753"/>
      <c r="G79" s="753"/>
      <c r="H79" s="753"/>
    </row>
    <row r="80" spans="1:8">
      <c r="A80" s="548" t="s">
        <v>1280</v>
      </c>
      <c r="B80" s="745"/>
      <c r="C80" s="745"/>
      <c r="D80" s="751"/>
      <c r="E80" s="751"/>
      <c r="F80" s="753"/>
      <c r="G80" s="753"/>
      <c r="H80" s="753"/>
    </row>
    <row r="81" spans="1:8">
      <c r="A81" s="548" t="s">
        <v>1281</v>
      </c>
      <c r="B81" s="745"/>
      <c r="C81" s="745"/>
      <c r="D81" s="751"/>
      <c r="E81" s="751"/>
      <c r="F81" s="753"/>
      <c r="G81" s="753"/>
      <c r="H81" s="753"/>
    </row>
    <row r="82" spans="1:8" ht="13.9" thickBot="1">
      <c r="A82" s="551" t="s">
        <v>1282</v>
      </c>
      <c r="B82" s="746"/>
      <c r="C82" s="746"/>
      <c r="D82" s="752"/>
      <c r="E82" s="752"/>
      <c r="F82" s="743"/>
      <c r="G82" s="743"/>
      <c r="H82" s="743"/>
    </row>
  </sheetData>
  <sheetProtection algorithmName="SHA-512" hashValue="J1ivri0E6lImctOOC2em5GRQuXnAzPJvk/SnbWT7lK+JqQp0CT+IE6e7kNmw7NNVTpAUvRfMpaNb4TUxec+rPQ==" saltValue="vIk8s0E7pIyddqy9InEeig==" spinCount="100000" sheet="1" formatColumns="0" formatRows="0"/>
  <autoFilter ref="A3:H82" xr:uid="{00000000-0009-0000-0000-000006000000}"/>
  <mergeCells count="81">
    <mergeCell ref="H64:H70"/>
    <mergeCell ref="H73:H82"/>
    <mergeCell ref="H53:H55"/>
    <mergeCell ref="H56:H59"/>
    <mergeCell ref="H60:H61"/>
    <mergeCell ref="H5:H9"/>
    <mergeCell ref="H10:H12"/>
    <mergeCell ref="H16:H18"/>
    <mergeCell ref="G60:G61"/>
    <mergeCell ref="G62:G63"/>
    <mergeCell ref="G16:G18"/>
    <mergeCell ref="G31:G32"/>
    <mergeCell ref="G33:G36"/>
    <mergeCell ref="H33:H36"/>
    <mergeCell ref="H37:H44"/>
    <mergeCell ref="H47:H52"/>
    <mergeCell ref="H20:H24"/>
    <mergeCell ref="H25:H29"/>
    <mergeCell ref="H31:H32"/>
    <mergeCell ref="H62:H63"/>
    <mergeCell ref="G64:G70"/>
    <mergeCell ref="G73:G82"/>
    <mergeCell ref="F53:F55"/>
    <mergeCell ref="F56:F59"/>
    <mergeCell ref="F60:F61"/>
    <mergeCell ref="F62:F63"/>
    <mergeCell ref="F64:F70"/>
    <mergeCell ref="A2:F2"/>
    <mergeCell ref="G47:G52"/>
    <mergeCell ref="G53:G55"/>
    <mergeCell ref="G56:G59"/>
    <mergeCell ref="F47:F52"/>
    <mergeCell ref="B25:B29"/>
    <mergeCell ref="B47:B52"/>
    <mergeCell ref="C47:C52"/>
    <mergeCell ref="D47:D52"/>
    <mergeCell ref="E47:E52"/>
    <mergeCell ref="D33:D36"/>
    <mergeCell ref="E33:E36"/>
    <mergeCell ref="G5:G9"/>
    <mergeCell ref="B10:B12"/>
    <mergeCell ref="C10:C12"/>
    <mergeCell ref="E10:E12"/>
    <mergeCell ref="B73:B82"/>
    <mergeCell ref="C73:C82"/>
    <mergeCell ref="D73:D82"/>
    <mergeCell ref="E73:E82"/>
    <mergeCell ref="F73:F82"/>
    <mergeCell ref="F10:F12"/>
    <mergeCell ref="G10:G12"/>
    <mergeCell ref="B5:B9"/>
    <mergeCell ref="C5:C9"/>
    <mergeCell ref="E5:E9"/>
    <mergeCell ref="F5:F9"/>
    <mergeCell ref="B20:B24"/>
    <mergeCell ref="C20:C24"/>
    <mergeCell ref="E20:E24"/>
    <mergeCell ref="F20:F24"/>
    <mergeCell ref="G20:G24"/>
    <mergeCell ref="B16:B18"/>
    <mergeCell ref="C16:C18"/>
    <mergeCell ref="D16:D18"/>
    <mergeCell ref="E16:E18"/>
    <mergeCell ref="F16:F18"/>
    <mergeCell ref="C25:C29"/>
    <mergeCell ref="D25:D29"/>
    <mergeCell ref="E25:E29"/>
    <mergeCell ref="F25:F29"/>
    <mergeCell ref="G25:G29"/>
    <mergeCell ref="F33:F36"/>
    <mergeCell ref="B31:B32"/>
    <mergeCell ref="C31:C32"/>
    <mergeCell ref="E31:E32"/>
    <mergeCell ref="F31:F32"/>
    <mergeCell ref="B33:B36"/>
    <mergeCell ref="C33:C36"/>
    <mergeCell ref="B37:B44"/>
    <mergeCell ref="D37:D44"/>
    <mergeCell ref="E37:E44"/>
    <mergeCell ref="F37:F44"/>
    <mergeCell ref="G37:G44"/>
  </mergeCells>
  <hyperlinks>
    <hyperlink ref="D50" r:id="rId1" display="https://www.medicare.gov/coverage/durable-medical-equipment-coverage.html" xr:uid="{00000000-0004-0000-0600-000000000000}"/>
  </hyperlinks>
  <pageMargins left="0.25" right="0.25" top="0.5" bottom="0.75" header="0.3" footer="0.3"/>
  <pageSetup scale="75"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43"/>
  <sheetViews>
    <sheetView topLeftCell="A18" zoomScale="80" zoomScaleNormal="80" workbookViewId="0">
      <selection activeCell="F34" sqref="F34"/>
    </sheetView>
  </sheetViews>
  <sheetFormatPr defaultColWidth="9" defaultRowHeight="13.15"/>
  <cols>
    <col min="1" max="1" width="3.5703125" style="95" customWidth="1"/>
    <col min="2" max="2" width="5.28515625" style="95" customWidth="1"/>
    <col min="3" max="3" width="26.140625" style="95" customWidth="1"/>
    <col min="4" max="12" width="14.28515625" style="95" customWidth="1"/>
    <col min="13" max="14" width="9" style="95" customWidth="1"/>
    <col min="15" max="16384" width="9" style="95"/>
  </cols>
  <sheetData>
    <row r="1" spans="2:13" ht="15.6">
      <c r="B1" s="17" t="s">
        <v>1283</v>
      </c>
      <c r="C1" s="14"/>
      <c r="D1" s="14"/>
      <c r="E1" s="14"/>
      <c r="F1" s="14"/>
      <c r="G1" s="14"/>
    </row>
    <row r="2" spans="2:13" ht="15.6">
      <c r="B2" s="181"/>
      <c r="C2" s="139" t="s">
        <v>1284</v>
      </c>
      <c r="D2" s="397" t="str">
        <f>'Schedule 2_Balance Sheet'!C2</f>
        <v>Tufts Associated Health Plans, Inc. (TAHMO)</v>
      </c>
      <c r="E2" s="398"/>
      <c r="F2" s="398"/>
      <c r="G2" s="398"/>
      <c r="H2" s="399"/>
    </row>
    <row r="3" spans="2:13" ht="15.6">
      <c r="B3" s="181"/>
      <c r="C3" s="139" t="s">
        <v>1285</v>
      </c>
      <c r="D3" s="520" t="str">
        <f>'Schedule 2_Balance Sheet'!C3</f>
        <v>01/01/2024 - 12/31/2024</v>
      </c>
      <c r="E3" s="521"/>
      <c r="F3" s="521"/>
      <c r="G3" s="521"/>
      <c r="H3" s="522"/>
    </row>
    <row r="4" spans="2:13" ht="15.6">
      <c r="B4" s="181"/>
      <c r="C4" s="139" t="s">
        <v>1286</v>
      </c>
      <c r="D4" s="401">
        <f>'Schedule 2_Balance Sheet'!C4</f>
        <v>45657</v>
      </c>
      <c r="E4" s="398"/>
      <c r="F4" s="398"/>
      <c r="G4" s="398"/>
      <c r="H4" s="399"/>
    </row>
    <row r="5" spans="2:13" ht="15.6">
      <c r="B5" s="181"/>
      <c r="C5" s="139" t="s">
        <v>1287</v>
      </c>
      <c r="D5" s="397" t="str">
        <f>'Schedule 2_Balance Sheet'!C5</f>
        <v>Roshni Parikh</v>
      </c>
      <c r="E5" s="398"/>
      <c r="F5" s="398"/>
      <c r="G5" s="398"/>
      <c r="H5" s="399"/>
    </row>
    <row r="6" spans="2:13" ht="15.6">
      <c r="B6" s="181"/>
      <c r="C6" s="139" t="s">
        <v>1288</v>
      </c>
      <c r="D6" s="401">
        <f>'Schedule 2_Balance Sheet'!C6</f>
        <v>45657</v>
      </c>
      <c r="E6" s="398"/>
      <c r="F6" s="398"/>
      <c r="G6" s="398"/>
      <c r="H6" s="399"/>
    </row>
    <row r="7" spans="2:13">
      <c r="C7" s="181" t="s">
        <v>1289</v>
      </c>
      <c r="D7" s="181"/>
      <c r="E7" s="179"/>
      <c r="F7" s="179"/>
      <c r="G7" s="179"/>
      <c r="H7" s="179"/>
    </row>
    <row r="8" spans="2:13" ht="15.6">
      <c r="B8" s="17"/>
      <c r="C8" s="17"/>
      <c r="D8" s="17"/>
      <c r="E8" s="17"/>
      <c r="F8" s="17"/>
      <c r="G8" s="17"/>
      <c r="H8" s="17"/>
      <c r="I8" s="17"/>
      <c r="J8" s="17"/>
      <c r="K8" s="17"/>
      <c r="L8" s="17"/>
      <c r="M8" s="103"/>
    </row>
    <row r="9" spans="2:13" ht="11.25" customHeight="1">
      <c r="B9" s="103"/>
      <c r="C9" s="103"/>
      <c r="D9" s="213" t="s">
        <v>1290</v>
      </c>
      <c r="E9" s="214"/>
      <c r="F9" s="213"/>
      <c r="G9" s="214"/>
      <c r="H9" s="213"/>
      <c r="I9" s="214"/>
      <c r="J9" s="213"/>
      <c r="K9" s="214"/>
      <c r="L9" s="215"/>
      <c r="M9" s="103"/>
    </row>
    <row r="10" spans="2:13">
      <c r="B10" s="97" t="s">
        <v>1291</v>
      </c>
      <c r="C10" s="98"/>
      <c r="D10" s="211" t="s">
        <v>404</v>
      </c>
      <c r="E10" s="212"/>
      <c r="F10" s="756" t="s">
        <v>409</v>
      </c>
      <c r="G10" s="757"/>
      <c r="H10" s="211" t="s">
        <v>411</v>
      </c>
      <c r="I10" s="212"/>
      <c r="J10" s="211" t="s">
        <v>1292</v>
      </c>
      <c r="K10" s="212"/>
      <c r="L10" s="98"/>
      <c r="M10" s="103"/>
    </row>
    <row r="11" spans="2:13" ht="39.6">
      <c r="B11" s="99"/>
      <c r="C11" s="619" t="s">
        <v>1293</v>
      </c>
      <c r="D11" s="620" t="s">
        <v>42</v>
      </c>
      <c r="E11" s="620" t="s">
        <v>45</v>
      </c>
      <c r="F11" s="620" t="s">
        <v>42</v>
      </c>
      <c r="G11" s="620" t="s">
        <v>45</v>
      </c>
      <c r="H11" s="620" t="s">
        <v>42</v>
      </c>
      <c r="I11" s="620" t="s">
        <v>45</v>
      </c>
      <c r="J11" s="620" t="s">
        <v>42</v>
      </c>
      <c r="K11" s="620" t="s">
        <v>45</v>
      </c>
      <c r="L11" s="620" t="s">
        <v>48</v>
      </c>
      <c r="M11" s="229"/>
    </row>
    <row r="12" spans="2:13">
      <c r="B12" s="250">
        <v>1</v>
      </c>
      <c r="C12" s="96" t="s">
        <v>1294</v>
      </c>
      <c r="D12" s="595">
        <v>1237</v>
      </c>
      <c r="E12" s="595">
        <v>5017</v>
      </c>
      <c r="F12" s="595">
        <v>64</v>
      </c>
      <c r="G12" s="595">
        <v>995</v>
      </c>
      <c r="H12" s="595">
        <v>4058.0194276011935</v>
      </c>
      <c r="I12" s="595">
        <v>16142.594064329816</v>
      </c>
      <c r="J12" s="595">
        <v>30.710698848655746</v>
      </c>
      <c r="K12" s="595">
        <v>552.34016587439851</v>
      </c>
      <c r="L12" s="596">
        <f>SUM(D12:K12)</f>
        <v>28096.664356654062</v>
      </c>
    </row>
    <row r="13" spans="2:13">
      <c r="B13" s="250">
        <v>2</v>
      </c>
      <c r="C13" s="96" t="s">
        <v>1295</v>
      </c>
      <c r="D13" s="595">
        <v>109</v>
      </c>
      <c r="E13" s="595">
        <v>430</v>
      </c>
      <c r="F13" s="595">
        <v>0</v>
      </c>
      <c r="G13" s="595">
        <v>124</v>
      </c>
      <c r="H13" s="595">
        <v>298</v>
      </c>
      <c r="I13" s="595">
        <v>1083.342594773655</v>
      </c>
      <c r="J13" s="595">
        <v>3</v>
      </c>
      <c r="K13" s="595">
        <v>52.18881248951692</v>
      </c>
      <c r="L13" s="596">
        <f>SUM(D13:K13)</f>
        <v>2099.5314072631718</v>
      </c>
    </row>
    <row r="14" spans="2:13">
      <c r="B14" s="250">
        <v>3</v>
      </c>
      <c r="C14" s="96" t="s">
        <v>1296</v>
      </c>
      <c r="D14" s="597">
        <v>144</v>
      </c>
      <c r="E14" s="597">
        <v>935</v>
      </c>
      <c r="F14" s="597">
        <v>6</v>
      </c>
      <c r="G14" s="597">
        <v>311.2675307919007</v>
      </c>
      <c r="H14" s="597">
        <v>470.21736113837125</v>
      </c>
      <c r="I14" s="597">
        <v>3551.9677691132356</v>
      </c>
      <c r="J14" s="597">
        <v>3</v>
      </c>
      <c r="K14" s="597">
        <v>153.56107798126223</v>
      </c>
      <c r="L14" s="596">
        <f>SUM(D14:K14)</f>
        <v>5575.0137390247701</v>
      </c>
    </row>
    <row r="15" spans="2:13">
      <c r="B15" s="251">
        <v>4</v>
      </c>
      <c r="C15" s="100" t="s">
        <v>1297</v>
      </c>
      <c r="D15" s="598">
        <f>SUM(D12:D14)</f>
        <v>1490</v>
      </c>
      <c r="E15" s="598">
        <f t="shared" ref="E15:K15" si="0">SUM(E12:E14)</f>
        <v>6382</v>
      </c>
      <c r="F15" s="598">
        <f t="shared" si="0"/>
        <v>70</v>
      </c>
      <c r="G15" s="598">
        <f t="shared" si="0"/>
        <v>1430.2675307919008</v>
      </c>
      <c r="H15" s="598">
        <f t="shared" si="0"/>
        <v>4826.2367887395649</v>
      </c>
      <c r="I15" s="598">
        <f t="shared" si="0"/>
        <v>20777.904428216705</v>
      </c>
      <c r="J15" s="598">
        <f t="shared" si="0"/>
        <v>36.710698848655746</v>
      </c>
      <c r="K15" s="598">
        <f t="shared" si="0"/>
        <v>758.09005634517769</v>
      </c>
      <c r="L15" s="598">
        <f>SUM(L12:L14)</f>
        <v>35771.209502942002</v>
      </c>
    </row>
    <row r="17" spans="2:13">
      <c r="B17" s="97" t="s">
        <v>1298</v>
      </c>
      <c r="C17" s="98"/>
      <c r="D17" s="756" t="s">
        <v>404</v>
      </c>
      <c r="E17" s="757"/>
      <c r="F17" s="756" t="s">
        <v>409</v>
      </c>
      <c r="G17" s="757"/>
      <c r="H17" s="756" t="s">
        <v>411</v>
      </c>
      <c r="I17" s="757"/>
      <c r="J17" s="756" t="s">
        <v>1292</v>
      </c>
      <c r="K17" s="757"/>
      <c r="L17" s="98"/>
      <c r="M17" s="103"/>
    </row>
    <row r="18" spans="2:13" ht="39.6">
      <c r="B18" s="99"/>
      <c r="C18" s="619" t="s">
        <v>1293</v>
      </c>
      <c r="D18" s="620" t="s">
        <v>42</v>
      </c>
      <c r="E18" s="620" t="s">
        <v>45</v>
      </c>
      <c r="F18" s="620" t="s">
        <v>42</v>
      </c>
      <c r="G18" s="620" t="s">
        <v>45</v>
      </c>
      <c r="H18" s="620" t="s">
        <v>42</v>
      </c>
      <c r="I18" s="620" t="s">
        <v>45</v>
      </c>
      <c r="J18" s="620" t="s">
        <v>42</v>
      </c>
      <c r="K18" s="620" t="s">
        <v>45</v>
      </c>
      <c r="L18" s="620" t="s">
        <v>48</v>
      </c>
      <c r="M18" s="229"/>
    </row>
    <row r="19" spans="2:13">
      <c r="B19" s="250">
        <v>1</v>
      </c>
      <c r="C19" s="96" t="s">
        <v>1294</v>
      </c>
      <c r="D19" s="595">
        <v>1575.7268693654278</v>
      </c>
      <c r="E19" s="595">
        <v>6285.6033072865093</v>
      </c>
      <c r="F19" s="595">
        <v>57</v>
      </c>
      <c r="G19" s="595">
        <v>912</v>
      </c>
      <c r="H19" s="595">
        <v>4100.7852403474235</v>
      </c>
      <c r="I19" s="595">
        <v>15992.35410370976</v>
      </c>
      <c r="J19" s="595">
        <v>36</v>
      </c>
      <c r="K19" s="595">
        <v>522.04212295370826</v>
      </c>
      <c r="L19" s="596">
        <f>SUM(D19:K19)</f>
        <v>29481.51164366283</v>
      </c>
    </row>
    <row r="20" spans="2:13">
      <c r="B20" s="250">
        <v>2</v>
      </c>
      <c r="C20" s="96" t="s">
        <v>1295</v>
      </c>
      <c r="D20" s="595">
        <v>126</v>
      </c>
      <c r="E20" s="595">
        <v>558</v>
      </c>
      <c r="F20" s="595">
        <v>2</v>
      </c>
      <c r="G20" s="595">
        <v>103</v>
      </c>
      <c r="H20" s="595">
        <v>304</v>
      </c>
      <c r="I20" s="595">
        <v>1081.7356920975371</v>
      </c>
      <c r="J20" s="595">
        <v>3</v>
      </c>
      <c r="K20" s="595">
        <v>43.963657155266901</v>
      </c>
      <c r="L20" s="596">
        <f>SUM(D20:K20)</f>
        <v>2221.699349252804</v>
      </c>
    </row>
    <row r="21" spans="2:13">
      <c r="B21" s="250">
        <v>3</v>
      </c>
      <c r="C21" s="96" t="s">
        <v>1296</v>
      </c>
      <c r="D21" s="597">
        <v>219</v>
      </c>
      <c r="E21" s="597">
        <v>1224</v>
      </c>
      <c r="F21" s="597">
        <v>6</v>
      </c>
      <c r="G21" s="597">
        <v>275.68963180061883</v>
      </c>
      <c r="H21" s="597">
        <v>449.10036437263904</v>
      </c>
      <c r="I21" s="597">
        <v>3397.0708122705291</v>
      </c>
      <c r="J21" s="597">
        <v>0</v>
      </c>
      <c r="K21" s="597">
        <v>145.52744853115968</v>
      </c>
      <c r="L21" s="596">
        <f>SUM(D21:K21)</f>
        <v>5716.3882569749467</v>
      </c>
    </row>
    <row r="22" spans="2:13">
      <c r="B22" s="251">
        <v>4</v>
      </c>
      <c r="C22" s="100" t="s">
        <v>1297</v>
      </c>
      <c r="D22" s="598">
        <f>SUM(D19:D21)</f>
        <v>1920.7268693654278</v>
      </c>
      <c r="E22" s="598">
        <f t="shared" ref="E22:K22" si="1">SUM(E19:E21)</f>
        <v>8067.6033072865093</v>
      </c>
      <c r="F22" s="598">
        <f t="shared" si="1"/>
        <v>65</v>
      </c>
      <c r="G22" s="598">
        <f t="shared" si="1"/>
        <v>1290.6896318006188</v>
      </c>
      <c r="H22" s="598">
        <f t="shared" si="1"/>
        <v>4853.8856047200625</v>
      </c>
      <c r="I22" s="598">
        <f t="shared" si="1"/>
        <v>20471.160608077826</v>
      </c>
      <c r="J22" s="598">
        <f t="shared" si="1"/>
        <v>39</v>
      </c>
      <c r="K22" s="598">
        <f t="shared" si="1"/>
        <v>711.53322864013489</v>
      </c>
      <c r="L22" s="598">
        <f>SUM(L19:L21)</f>
        <v>37419.599249890583</v>
      </c>
    </row>
    <row r="23" spans="2:13">
      <c r="D23" s="426"/>
      <c r="E23" s="426"/>
      <c r="F23" s="426"/>
      <c r="G23" s="426"/>
      <c r="H23" s="426"/>
      <c r="I23" s="426"/>
      <c r="J23" s="426"/>
      <c r="K23" s="426"/>
      <c r="L23" s="426"/>
    </row>
    <row r="24" spans="2:13">
      <c r="B24" s="97" t="s">
        <v>1299</v>
      </c>
      <c r="C24" s="98"/>
      <c r="D24" s="756" t="s">
        <v>404</v>
      </c>
      <c r="E24" s="757"/>
      <c r="F24" s="756" t="s">
        <v>409</v>
      </c>
      <c r="G24" s="757"/>
      <c r="H24" s="756" t="s">
        <v>411</v>
      </c>
      <c r="I24" s="757"/>
      <c r="J24" s="756" t="s">
        <v>1292</v>
      </c>
      <c r="K24" s="757"/>
      <c r="L24" s="98"/>
      <c r="M24" s="103"/>
    </row>
    <row r="25" spans="2:13" ht="39.6">
      <c r="B25" s="99"/>
      <c r="C25" s="619" t="s">
        <v>1293</v>
      </c>
      <c r="D25" s="620" t="s">
        <v>42</v>
      </c>
      <c r="E25" s="620" t="s">
        <v>45</v>
      </c>
      <c r="F25" s="620" t="s">
        <v>42</v>
      </c>
      <c r="G25" s="620" t="s">
        <v>45</v>
      </c>
      <c r="H25" s="620" t="s">
        <v>42</v>
      </c>
      <c r="I25" s="620" t="s">
        <v>45</v>
      </c>
      <c r="J25" s="620" t="s">
        <v>42</v>
      </c>
      <c r="K25" s="620" t="s">
        <v>45</v>
      </c>
      <c r="L25" s="620" t="s">
        <v>48</v>
      </c>
      <c r="M25" s="229"/>
    </row>
    <row r="26" spans="2:13">
      <c r="B26" s="250">
        <v>1</v>
      </c>
      <c r="C26" s="96" t="s">
        <v>1294</v>
      </c>
      <c r="D26" s="595">
        <v>1597.5899441315014</v>
      </c>
      <c r="E26" s="595">
        <v>5992.5488710941645</v>
      </c>
      <c r="F26" s="595">
        <v>63</v>
      </c>
      <c r="G26" s="595">
        <v>929.38364424097176</v>
      </c>
      <c r="H26" s="595">
        <v>4497.0275805915271</v>
      </c>
      <c r="I26" s="595">
        <v>17146.573976804702</v>
      </c>
      <c r="J26" s="595">
        <v>44.085110748610248</v>
      </c>
      <c r="K26" s="595">
        <v>570.49853092037358</v>
      </c>
      <c r="L26" s="596">
        <f>SUM(D26:K26)</f>
        <v>30840.70765853185</v>
      </c>
    </row>
    <row r="27" spans="2:13">
      <c r="B27" s="250">
        <v>2</v>
      </c>
      <c r="C27" s="96" t="s">
        <v>1295</v>
      </c>
      <c r="D27" s="595">
        <v>136</v>
      </c>
      <c r="E27" s="595">
        <v>583</v>
      </c>
      <c r="F27" s="595">
        <v>8</v>
      </c>
      <c r="G27" s="595">
        <v>98</v>
      </c>
      <c r="H27" s="595">
        <v>333.06490137486685</v>
      </c>
      <c r="I27" s="595">
        <v>1223.7687490240294</v>
      </c>
      <c r="J27" s="595">
        <v>2.3256022021661988</v>
      </c>
      <c r="K27" s="595">
        <v>48.289423696840352</v>
      </c>
      <c r="L27" s="596">
        <f>SUM(D27:K27)</f>
        <v>2432.4486762979027</v>
      </c>
    </row>
    <row r="28" spans="2:13">
      <c r="B28" s="250">
        <v>3</v>
      </c>
      <c r="C28" s="96" t="s">
        <v>1296</v>
      </c>
      <c r="D28" s="597">
        <v>238</v>
      </c>
      <c r="E28" s="597">
        <v>1124</v>
      </c>
      <c r="F28" s="597">
        <v>6</v>
      </c>
      <c r="G28" s="597">
        <v>283.59089305120665</v>
      </c>
      <c r="H28" s="597">
        <v>515</v>
      </c>
      <c r="I28" s="597">
        <v>3574.8020282188936</v>
      </c>
      <c r="J28" s="597">
        <v>1</v>
      </c>
      <c r="K28" s="597">
        <v>152.39883415931064</v>
      </c>
      <c r="L28" s="596">
        <f>SUM(D28:K28)</f>
        <v>5894.7917554294108</v>
      </c>
    </row>
    <row r="29" spans="2:13">
      <c r="B29" s="251">
        <v>4</v>
      </c>
      <c r="C29" s="100" t="s">
        <v>1297</v>
      </c>
      <c r="D29" s="598">
        <f>SUM(D26:D28)</f>
        <v>1971.5899441315014</v>
      </c>
      <c r="E29" s="598">
        <f t="shared" ref="E29:K29" si="2">SUM(E26:E28)</f>
        <v>7699.5488710941645</v>
      </c>
      <c r="F29" s="598">
        <f t="shared" si="2"/>
        <v>77</v>
      </c>
      <c r="G29" s="598">
        <f t="shared" si="2"/>
        <v>1310.9745372921784</v>
      </c>
      <c r="H29" s="598">
        <f t="shared" si="2"/>
        <v>5345.0924819663942</v>
      </c>
      <c r="I29" s="598">
        <f t="shared" si="2"/>
        <v>21945.144754047622</v>
      </c>
      <c r="J29" s="598">
        <f t="shared" si="2"/>
        <v>47.41071295077645</v>
      </c>
      <c r="K29" s="598">
        <f t="shared" si="2"/>
        <v>771.18678877652451</v>
      </c>
      <c r="L29" s="598">
        <f>SUM(L26:L28)</f>
        <v>39167.94809025916</v>
      </c>
    </row>
    <row r="30" spans="2:13">
      <c r="D30" s="426"/>
      <c r="E30" s="426"/>
      <c r="F30" s="426"/>
      <c r="G30" s="426"/>
      <c r="H30" s="426"/>
      <c r="I30" s="426"/>
      <c r="J30" s="426"/>
      <c r="K30" s="426"/>
      <c r="L30" s="426"/>
    </row>
    <row r="31" spans="2:13">
      <c r="B31" s="97" t="s">
        <v>1300</v>
      </c>
      <c r="C31" s="98"/>
      <c r="D31" s="756" t="s">
        <v>404</v>
      </c>
      <c r="E31" s="757"/>
      <c r="F31" s="756" t="s">
        <v>409</v>
      </c>
      <c r="G31" s="757"/>
      <c r="H31" s="756" t="s">
        <v>411</v>
      </c>
      <c r="I31" s="757"/>
      <c r="J31" s="756" t="s">
        <v>1292</v>
      </c>
      <c r="K31" s="757"/>
      <c r="L31" s="98"/>
      <c r="M31" s="103"/>
    </row>
    <row r="32" spans="2:13" ht="39.6">
      <c r="B32" s="99"/>
      <c r="C32" s="619" t="s">
        <v>1293</v>
      </c>
      <c r="D32" s="620" t="s">
        <v>42</v>
      </c>
      <c r="E32" s="620" t="s">
        <v>45</v>
      </c>
      <c r="F32" s="620" t="s">
        <v>42</v>
      </c>
      <c r="G32" s="620" t="s">
        <v>45</v>
      </c>
      <c r="H32" s="620" t="s">
        <v>42</v>
      </c>
      <c r="I32" s="620" t="s">
        <v>45</v>
      </c>
      <c r="J32" s="620" t="s">
        <v>42</v>
      </c>
      <c r="K32" s="620" t="s">
        <v>45</v>
      </c>
      <c r="L32" s="620" t="s">
        <v>48</v>
      </c>
      <c r="M32" s="229"/>
    </row>
    <row r="33" spans="2:12">
      <c r="B33" s="250">
        <v>1</v>
      </c>
      <c r="C33" s="96" t="s">
        <v>1294</v>
      </c>
      <c r="D33" s="595">
        <v>1430.0671679239902</v>
      </c>
      <c r="E33" s="595">
        <v>5449.8290598925814</v>
      </c>
      <c r="F33" s="595">
        <v>74</v>
      </c>
      <c r="G33" s="595">
        <v>962</v>
      </c>
      <c r="H33" s="595">
        <v>5049.5436222378175</v>
      </c>
      <c r="I33" s="595">
        <v>18578.297287982306</v>
      </c>
      <c r="J33" s="595">
        <v>56</v>
      </c>
      <c r="K33" s="595">
        <v>628.53109216000632</v>
      </c>
      <c r="L33" s="596">
        <f>SUM(D33:K33)</f>
        <v>32228.268230196703</v>
      </c>
    </row>
    <row r="34" spans="2:12">
      <c r="B34" s="250">
        <v>2</v>
      </c>
      <c r="C34" s="96" t="s">
        <v>1295</v>
      </c>
      <c r="D34" s="595">
        <v>108</v>
      </c>
      <c r="E34" s="595">
        <v>561</v>
      </c>
      <c r="F34" s="595">
        <v>9</v>
      </c>
      <c r="G34" s="595">
        <v>100</v>
      </c>
      <c r="H34" s="595">
        <v>373</v>
      </c>
      <c r="I34" s="595">
        <v>1401.5125006427527</v>
      </c>
      <c r="J34" s="595">
        <v>0</v>
      </c>
      <c r="K34" s="595">
        <v>45.549106445735276</v>
      </c>
      <c r="L34" s="596">
        <f>SUM(D34:K34)</f>
        <v>2598.0616070884876</v>
      </c>
    </row>
    <row r="35" spans="2:12">
      <c r="B35" s="250">
        <v>3</v>
      </c>
      <c r="C35" s="96" t="s">
        <v>1296</v>
      </c>
      <c r="D35" s="597">
        <v>200</v>
      </c>
      <c r="E35" s="597">
        <v>1001</v>
      </c>
      <c r="F35" s="597">
        <v>9</v>
      </c>
      <c r="G35" s="597">
        <v>305</v>
      </c>
      <c r="H35" s="597">
        <v>586.4086781687364</v>
      </c>
      <c r="I35" s="597">
        <v>3788.3559977887112</v>
      </c>
      <c r="J35" s="597">
        <v>4</v>
      </c>
      <c r="K35" s="597">
        <v>184.10583951703612</v>
      </c>
      <c r="L35" s="596">
        <f>SUM(D35:K35)</f>
        <v>6077.870515474483</v>
      </c>
    </row>
    <row r="36" spans="2:12">
      <c r="B36" s="251">
        <v>4</v>
      </c>
      <c r="C36" s="100" t="s">
        <v>1297</v>
      </c>
      <c r="D36" s="598">
        <f>SUM(D33:D35)</f>
        <v>1738.0671679239902</v>
      </c>
      <c r="E36" s="598">
        <f t="shared" ref="E36:K36" si="3">SUM(E33:E35)</f>
        <v>7011.8290598925814</v>
      </c>
      <c r="F36" s="598">
        <f t="shared" si="3"/>
        <v>92</v>
      </c>
      <c r="G36" s="598">
        <f t="shared" si="3"/>
        <v>1367</v>
      </c>
      <c r="H36" s="598">
        <f t="shared" si="3"/>
        <v>6008.9523004065541</v>
      </c>
      <c r="I36" s="598">
        <f t="shared" si="3"/>
        <v>23768.165786413771</v>
      </c>
      <c r="J36" s="598">
        <f t="shared" si="3"/>
        <v>60</v>
      </c>
      <c r="K36" s="598">
        <f t="shared" si="3"/>
        <v>858.18603812277763</v>
      </c>
      <c r="L36" s="598">
        <f>SUM(L33:L35)</f>
        <v>40904.200352759675</v>
      </c>
    </row>
    <row r="38" spans="2:12">
      <c r="B38" s="97" t="s">
        <v>1301</v>
      </c>
      <c r="C38" s="98"/>
      <c r="D38" s="756" t="s">
        <v>404</v>
      </c>
      <c r="E38" s="757"/>
      <c r="F38" s="756" t="s">
        <v>409</v>
      </c>
      <c r="G38" s="757"/>
      <c r="H38" s="756" t="s">
        <v>411</v>
      </c>
      <c r="I38" s="757"/>
      <c r="J38" s="756" t="s">
        <v>1292</v>
      </c>
      <c r="K38" s="757"/>
      <c r="L38" s="98"/>
    </row>
    <row r="39" spans="2:12" ht="39.6">
      <c r="B39" s="99"/>
      <c r="C39" s="619" t="s">
        <v>1293</v>
      </c>
      <c r="D39" s="620" t="s">
        <v>42</v>
      </c>
      <c r="E39" s="620" t="s">
        <v>45</v>
      </c>
      <c r="F39" s="620" t="s">
        <v>42</v>
      </c>
      <c r="G39" s="620" t="s">
        <v>45</v>
      </c>
      <c r="H39" s="620" t="s">
        <v>42</v>
      </c>
      <c r="I39" s="620" t="s">
        <v>45</v>
      </c>
      <c r="J39" s="620" t="s">
        <v>42</v>
      </c>
      <c r="K39" s="620" t="s">
        <v>45</v>
      </c>
      <c r="L39" s="620" t="s">
        <v>48</v>
      </c>
    </row>
    <row r="40" spans="2:12">
      <c r="B40" s="250">
        <v>1</v>
      </c>
      <c r="C40" s="96" t="s">
        <v>1294</v>
      </c>
      <c r="D40" s="598">
        <f>D12+D19+D26+D33</f>
        <v>5840.3839814209196</v>
      </c>
      <c r="E40" s="598">
        <f t="shared" ref="E40:L40" si="4">E12+E19+E26+E33</f>
        <v>22744.981238273256</v>
      </c>
      <c r="F40" s="598">
        <f t="shared" si="4"/>
        <v>258</v>
      </c>
      <c r="G40" s="598">
        <f t="shared" si="4"/>
        <v>3798.383644240972</v>
      </c>
      <c r="H40" s="598">
        <f t="shared" si="4"/>
        <v>17705.375870777963</v>
      </c>
      <c r="I40" s="598">
        <f t="shared" si="4"/>
        <v>67859.819432826582</v>
      </c>
      <c r="J40" s="598">
        <f t="shared" si="4"/>
        <v>166.79580959726599</v>
      </c>
      <c r="K40" s="598">
        <f t="shared" si="4"/>
        <v>2273.4119119084867</v>
      </c>
      <c r="L40" s="596">
        <f t="shared" si="4"/>
        <v>120647.15188904543</v>
      </c>
    </row>
    <row r="41" spans="2:12">
      <c r="B41" s="250">
        <v>2</v>
      </c>
      <c r="C41" s="96" t="s">
        <v>1295</v>
      </c>
      <c r="D41" s="598">
        <f>D13+D20+D27+D34</f>
        <v>479</v>
      </c>
      <c r="E41" s="598">
        <f t="shared" ref="E41:L41" si="5">E13+E20+E27+E34</f>
        <v>2132</v>
      </c>
      <c r="F41" s="598">
        <f t="shared" si="5"/>
        <v>19</v>
      </c>
      <c r="G41" s="598">
        <f t="shared" si="5"/>
        <v>425</v>
      </c>
      <c r="H41" s="598">
        <f t="shared" si="5"/>
        <v>1308.0649013748668</v>
      </c>
      <c r="I41" s="598">
        <f t="shared" si="5"/>
        <v>4790.3595365379742</v>
      </c>
      <c r="J41" s="598">
        <f t="shared" si="5"/>
        <v>8.3256022021661984</v>
      </c>
      <c r="K41" s="598">
        <f t="shared" si="5"/>
        <v>189.99099978735944</v>
      </c>
      <c r="L41" s="598">
        <f t="shared" si="5"/>
        <v>9351.7410399023665</v>
      </c>
    </row>
    <row r="42" spans="2:12">
      <c r="B42" s="250">
        <v>3</v>
      </c>
      <c r="C42" s="96" t="s">
        <v>1296</v>
      </c>
      <c r="D42" s="598">
        <f t="shared" ref="D42:L42" si="6">D14+D21+D28+D35</f>
        <v>801</v>
      </c>
      <c r="E42" s="598">
        <f t="shared" si="6"/>
        <v>4284</v>
      </c>
      <c r="F42" s="598">
        <f t="shared" si="6"/>
        <v>27</v>
      </c>
      <c r="G42" s="598">
        <f t="shared" si="6"/>
        <v>1175.5480556437262</v>
      </c>
      <c r="H42" s="598">
        <f t="shared" si="6"/>
        <v>2020.7264036797469</v>
      </c>
      <c r="I42" s="598">
        <f t="shared" si="6"/>
        <v>14312.19660739137</v>
      </c>
      <c r="J42" s="598">
        <f t="shared" si="6"/>
        <v>8</v>
      </c>
      <c r="K42" s="598">
        <f t="shared" si="6"/>
        <v>635.59320018876872</v>
      </c>
      <c r="L42" s="596">
        <f t="shared" si="6"/>
        <v>23264.06426690361</v>
      </c>
    </row>
    <row r="43" spans="2:12">
      <c r="B43" s="251">
        <v>4</v>
      </c>
      <c r="C43" s="100" t="s">
        <v>1297</v>
      </c>
      <c r="D43" s="598">
        <f t="shared" ref="D43:L43" si="7">D15+D22+D29+D36</f>
        <v>7120.3839814209196</v>
      </c>
      <c r="E43" s="598">
        <f t="shared" si="7"/>
        <v>29160.981238273256</v>
      </c>
      <c r="F43" s="598">
        <f t="shared" si="7"/>
        <v>304</v>
      </c>
      <c r="G43" s="598">
        <f t="shared" si="7"/>
        <v>5398.931699884698</v>
      </c>
      <c r="H43" s="598">
        <f t="shared" si="7"/>
        <v>21034.167175832576</v>
      </c>
      <c r="I43" s="598">
        <f t="shared" si="7"/>
        <v>86962.37557675592</v>
      </c>
      <c r="J43" s="598">
        <f t="shared" si="7"/>
        <v>183.1214117994322</v>
      </c>
      <c r="K43" s="598">
        <f t="shared" si="7"/>
        <v>3098.9961118846145</v>
      </c>
      <c r="L43" s="598">
        <f t="shared" si="7"/>
        <v>153262.95719585143</v>
      </c>
    </row>
  </sheetData>
  <sheetProtection formatColumns="0" formatRows="0"/>
  <mergeCells count="17">
    <mergeCell ref="D38:E38"/>
    <mergeCell ref="F38:G38"/>
    <mergeCell ref="H38:I38"/>
    <mergeCell ref="J38:K38"/>
    <mergeCell ref="D31:E31"/>
    <mergeCell ref="F31:G31"/>
    <mergeCell ref="H31:I31"/>
    <mergeCell ref="J31:K31"/>
    <mergeCell ref="D24:E24"/>
    <mergeCell ref="F24:G24"/>
    <mergeCell ref="H24:I24"/>
    <mergeCell ref="J24:K24"/>
    <mergeCell ref="F10:G10"/>
    <mergeCell ref="D17:E17"/>
    <mergeCell ref="F17:G17"/>
    <mergeCell ref="H17:I17"/>
    <mergeCell ref="J17:K17"/>
  </mergeCells>
  <dataValidations count="2">
    <dataValidation type="whole" allowBlank="1" showInputMessage="1" showErrorMessage="1" errorTitle="Invalid Data" error="Please only enter whole numbers." sqref="L26:L28 L19:L21 L33:L35 L42 L40 L12:L14"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12:K14 D26:K28 D19:K21 D33:K35" xr:uid="{00000000-0002-0000-0700-000001000000}">
      <formula1>-0.5</formula1>
    </dataValidation>
  </dataValidations>
  <pageMargins left="0.7" right="0.7" top="0.75" bottom="0.75" header="0.3" footer="0.3"/>
  <pageSetup scale="7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68" zoomScale="90" zoomScaleNormal="90" workbookViewId="0">
      <selection activeCell="H4" sqref="H4"/>
    </sheetView>
  </sheetViews>
  <sheetFormatPr defaultColWidth="9.28515625" defaultRowHeight="13.15"/>
  <cols>
    <col min="1" max="1" width="67" style="136" customWidth="1"/>
    <col min="2" max="2" width="9.5703125" style="136" customWidth="1"/>
    <col min="3" max="6" width="16.5703125" style="136" customWidth="1"/>
    <col min="7" max="7" width="12" style="136" bestFit="1" customWidth="1"/>
    <col min="8" max="8" width="14" style="136" bestFit="1" customWidth="1"/>
    <col min="9" max="19" width="11.5703125" style="136" bestFit="1" customWidth="1"/>
    <col min="20" max="20" width="10.28515625" style="136" bestFit="1" customWidth="1"/>
    <col min="21" max="24" width="11.5703125" style="136" bestFit="1" customWidth="1"/>
    <col min="25" max="16384" width="9.28515625" style="136"/>
  </cols>
  <sheetData>
    <row r="1" spans="1:17" s="179" customFormat="1" ht="21" customHeight="1">
      <c r="A1" s="15" t="s">
        <v>1302</v>
      </c>
      <c r="B1" s="230"/>
      <c r="E1" s="759"/>
      <c r="F1" s="759"/>
      <c r="G1" s="758"/>
      <c r="H1" s="758"/>
    </row>
    <row r="2" spans="1:17" s="179" customFormat="1" ht="21" customHeight="1">
      <c r="A2" s="15" t="s">
        <v>1303</v>
      </c>
      <c r="B2" s="230"/>
      <c r="C2" s="766" t="s">
        <v>1304</v>
      </c>
      <c r="D2" s="767"/>
      <c r="E2" s="767"/>
      <c r="F2" s="768"/>
      <c r="G2" s="709"/>
      <c r="H2" s="709"/>
    </row>
    <row r="3" spans="1:17" s="179" customFormat="1" ht="21" customHeight="1">
      <c r="A3" s="15" t="s">
        <v>1285</v>
      </c>
      <c r="B3" s="230"/>
      <c r="C3" s="760" t="s">
        <v>1305</v>
      </c>
      <c r="D3" s="761"/>
      <c r="E3" s="761"/>
      <c r="F3" s="762"/>
      <c r="G3" s="709"/>
      <c r="H3" s="709"/>
    </row>
    <row r="4" spans="1:17" s="179" customFormat="1" ht="21" customHeight="1">
      <c r="A4" s="15" t="s">
        <v>1306</v>
      </c>
      <c r="B4" s="230"/>
      <c r="C4" s="763">
        <v>45657</v>
      </c>
      <c r="D4" s="764"/>
      <c r="E4" s="764"/>
      <c r="F4" s="765"/>
      <c r="G4" s="709"/>
      <c r="H4" s="709"/>
    </row>
    <row r="5" spans="1:17" s="179" customFormat="1" ht="21" customHeight="1">
      <c r="A5" s="15" t="s">
        <v>1307</v>
      </c>
      <c r="B5" s="230"/>
      <c r="C5" s="766" t="s">
        <v>1308</v>
      </c>
      <c r="D5" s="767"/>
      <c r="E5" s="767"/>
      <c r="F5" s="768"/>
      <c r="G5" s="709"/>
      <c r="H5" s="709"/>
    </row>
    <row r="6" spans="1:17" s="179" customFormat="1" ht="21" customHeight="1">
      <c r="A6" s="15" t="s">
        <v>1288</v>
      </c>
      <c r="B6" s="230"/>
      <c r="C6" s="763">
        <f>C4</f>
        <v>45657</v>
      </c>
      <c r="D6" s="764"/>
      <c r="E6" s="764"/>
      <c r="F6" s="765"/>
      <c r="G6" s="758"/>
      <c r="H6" s="758"/>
      <c r="J6" s="181"/>
      <c r="O6" s="181"/>
      <c r="Q6" s="181"/>
    </row>
    <row r="7" spans="1:17" s="179" customFormat="1">
      <c r="A7" s="230" t="s">
        <v>1309</v>
      </c>
      <c r="B7" s="230"/>
      <c r="C7" s="181"/>
      <c r="E7" s="709"/>
      <c r="F7" s="709"/>
      <c r="G7" s="709"/>
      <c r="H7" s="709"/>
      <c r="J7" s="181"/>
      <c r="O7" s="181"/>
      <c r="Q7" s="181"/>
    </row>
    <row r="8" spans="1:17" ht="19.5" customHeight="1">
      <c r="A8" s="26"/>
      <c r="B8" s="26"/>
      <c r="C8" s="711" t="s">
        <v>1291</v>
      </c>
      <c r="D8" s="711" t="s">
        <v>1298</v>
      </c>
      <c r="E8" s="711" t="s">
        <v>1299</v>
      </c>
      <c r="F8" s="711" t="s">
        <v>1300</v>
      </c>
    </row>
    <row r="10" spans="1:17" ht="15.75" customHeight="1">
      <c r="A10" s="298" t="s">
        <v>1310</v>
      </c>
      <c r="B10" s="16"/>
    </row>
    <row r="11" spans="1:17" ht="15.75" customHeight="1">
      <c r="A11" s="299" t="s">
        <v>59</v>
      </c>
      <c r="B11" s="300">
        <v>1</v>
      </c>
      <c r="C11" s="623">
        <v>90833825.569999993</v>
      </c>
      <c r="D11" s="623">
        <v>126055854.11000001</v>
      </c>
      <c r="E11" s="623">
        <v>113979520.31</v>
      </c>
      <c r="F11" s="623">
        <v>60385663.060000002</v>
      </c>
    </row>
    <row r="12" spans="1:17" ht="15.75" customHeight="1">
      <c r="A12" s="299" t="s">
        <v>61</v>
      </c>
      <c r="B12" s="300">
        <v>2</v>
      </c>
      <c r="C12" s="623"/>
      <c r="D12" s="623"/>
      <c r="E12" s="623"/>
      <c r="F12" s="623"/>
    </row>
    <row r="13" spans="1:17" ht="15.75" customHeight="1">
      <c r="A13" s="299" t="s">
        <v>63</v>
      </c>
      <c r="B13" s="300">
        <v>3</v>
      </c>
      <c r="C13" s="623">
        <v>17800733.210000001</v>
      </c>
      <c r="D13" s="623">
        <v>6633487.2100000009</v>
      </c>
      <c r="E13" s="623">
        <v>6756649.8700000001</v>
      </c>
      <c r="F13" s="623">
        <v>11562693.52</v>
      </c>
    </row>
    <row r="14" spans="1:17" ht="15.75" customHeight="1">
      <c r="A14" s="299" t="s">
        <v>65</v>
      </c>
      <c r="B14" s="300">
        <v>4</v>
      </c>
      <c r="C14" s="623"/>
      <c r="D14" s="623"/>
      <c r="E14" s="623"/>
      <c r="F14" s="623"/>
    </row>
    <row r="15" spans="1:17" ht="15.75" customHeight="1">
      <c r="A15" s="299" t="s">
        <v>67</v>
      </c>
      <c r="B15" s="300">
        <v>5</v>
      </c>
      <c r="C15" s="623"/>
      <c r="D15" s="623"/>
      <c r="E15" s="623"/>
      <c r="F15" s="623"/>
    </row>
    <row r="16" spans="1:17" ht="15.75" customHeight="1">
      <c r="A16" s="299" t="s">
        <v>69</v>
      </c>
      <c r="B16" s="300">
        <v>6</v>
      </c>
      <c r="C16" s="623">
        <v>0</v>
      </c>
      <c r="D16" s="623"/>
      <c r="E16" s="623"/>
      <c r="F16" s="623">
        <v>0</v>
      </c>
    </row>
    <row r="17" spans="1:6" ht="15.75" customHeight="1">
      <c r="A17" s="301" t="s">
        <v>1311</v>
      </c>
      <c r="B17" s="300">
        <v>7</v>
      </c>
      <c r="C17" s="623">
        <v>8205005.0199999996</v>
      </c>
      <c r="D17" s="623">
        <v>7248413.8499999996</v>
      </c>
      <c r="E17" s="623">
        <v>8380321.60201333</v>
      </c>
      <c r="F17" s="623">
        <v>1419004</v>
      </c>
    </row>
    <row r="18" spans="1:6" ht="15.75" customHeight="1">
      <c r="A18" s="301" t="s">
        <v>1312</v>
      </c>
      <c r="B18" s="300">
        <v>8</v>
      </c>
      <c r="C18" s="623">
        <v>0</v>
      </c>
      <c r="D18" s="623">
        <v>0</v>
      </c>
      <c r="E18" s="623">
        <v>3000000</v>
      </c>
      <c r="F18" s="623">
        <v>3200000</v>
      </c>
    </row>
    <row r="19" spans="1:6" ht="15.75" customHeight="1">
      <c r="A19" s="301" t="s">
        <v>1313</v>
      </c>
      <c r="B19" s="300">
        <v>9</v>
      </c>
      <c r="C19" s="623">
        <v>18220163</v>
      </c>
      <c r="D19" s="623">
        <v>7404720</v>
      </c>
      <c r="E19" s="623">
        <v>7404720</v>
      </c>
      <c r="F19" s="623">
        <v>11169640</v>
      </c>
    </row>
    <row r="20" spans="1:6" ht="15.75" customHeight="1">
      <c r="A20" s="301" t="s">
        <v>1314</v>
      </c>
      <c r="B20" s="300">
        <v>10</v>
      </c>
      <c r="C20" s="623">
        <v>1277659.23</v>
      </c>
      <c r="D20" s="623">
        <v>654028.07999999996</v>
      </c>
      <c r="E20" s="623">
        <v>1238704.4400000002</v>
      </c>
      <c r="F20" s="623">
        <v>939384.12</v>
      </c>
    </row>
    <row r="21" spans="1:6" ht="15.75" customHeight="1">
      <c r="A21" s="185"/>
      <c r="C21" s="303" t="s">
        <v>1315</v>
      </c>
      <c r="D21" s="303" t="s">
        <v>1315</v>
      </c>
      <c r="E21" s="303" t="s">
        <v>1315</v>
      </c>
      <c r="F21" s="303" t="s">
        <v>1315</v>
      </c>
    </row>
    <row r="22" spans="1:6" ht="15.75" customHeight="1">
      <c r="A22" s="298" t="s">
        <v>74</v>
      </c>
      <c r="B22" s="300">
        <v>11</v>
      </c>
      <c r="C22" s="624">
        <f>SUM(C11:C20)</f>
        <v>136337386.03</v>
      </c>
      <c r="D22" s="624">
        <f>SUM(D11:D20)</f>
        <v>147996503.25000003</v>
      </c>
      <c r="E22" s="624">
        <f>SUM(E11:E20)</f>
        <v>140759916.22201335</v>
      </c>
      <c r="F22" s="624">
        <f>SUM(F11:F20)</f>
        <v>88676384.700000003</v>
      </c>
    </row>
    <row r="23" spans="1:6" ht="15.75" customHeight="1">
      <c r="A23" s="302"/>
      <c r="B23" s="135"/>
      <c r="C23" s="184"/>
      <c r="D23" s="184"/>
      <c r="E23" s="184"/>
      <c r="F23" s="184"/>
    </row>
    <row r="24" spans="1:6" ht="15.75" customHeight="1">
      <c r="A24" s="304" t="s">
        <v>1316</v>
      </c>
      <c r="B24" s="14"/>
      <c r="C24" s="184"/>
      <c r="D24" s="184"/>
      <c r="E24" s="184"/>
      <c r="F24" s="184"/>
    </row>
    <row r="25" spans="1:6" ht="15.75" customHeight="1">
      <c r="A25" s="299" t="s">
        <v>76</v>
      </c>
      <c r="B25" s="300">
        <v>12</v>
      </c>
      <c r="C25" s="623"/>
      <c r="D25" s="623"/>
      <c r="E25" s="623"/>
      <c r="F25" s="623"/>
    </row>
    <row r="26" spans="1:6" ht="15.75" customHeight="1">
      <c r="A26" s="299" t="s">
        <v>78</v>
      </c>
      <c r="B26" s="300">
        <v>13</v>
      </c>
      <c r="C26" s="623"/>
      <c r="D26" s="623"/>
      <c r="E26" s="623"/>
      <c r="F26" s="623"/>
    </row>
    <row r="27" spans="1:6" ht="15.75" customHeight="1">
      <c r="A27" s="299" t="s">
        <v>80</v>
      </c>
      <c r="B27" s="300">
        <v>14</v>
      </c>
      <c r="C27" s="623"/>
      <c r="D27" s="623"/>
      <c r="E27" s="623"/>
      <c r="F27" s="623"/>
    </row>
    <row r="28" spans="1:6" ht="15.75" customHeight="1">
      <c r="A28" s="299" t="s">
        <v>82</v>
      </c>
      <c r="B28" s="300">
        <v>15</v>
      </c>
      <c r="C28" s="623"/>
      <c r="D28" s="623"/>
      <c r="E28" s="623"/>
      <c r="F28" s="623"/>
    </row>
    <row r="29" spans="1:6" ht="15.75" customHeight="1">
      <c r="A29" s="299" t="s">
        <v>84</v>
      </c>
      <c r="B29" s="300">
        <v>16</v>
      </c>
      <c r="C29" s="623"/>
      <c r="D29" s="623"/>
      <c r="E29" s="623"/>
      <c r="F29" s="623"/>
    </row>
    <row r="30" spans="1:6" ht="15.75" customHeight="1">
      <c r="A30" s="299" t="s">
        <v>86</v>
      </c>
      <c r="B30" s="300">
        <v>17</v>
      </c>
      <c r="C30" s="623"/>
      <c r="D30" s="623"/>
      <c r="E30" s="623"/>
      <c r="F30" s="623"/>
    </row>
    <row r="31" spans="1:6" ht="15.75" customHeight="1">
      <c r="A31" s="301" t="s">
        <v>1317</v>
      </c>
      <c r="B31" s="300">
        <v>18</v>
      </c>
      <c r="C31" s="623"/>
      <c r="D31" s="623"/>
      <c r="E31" s="623"/>
      <c r="F31" s="623"/>
    </row>
    <row r="32" spans="1:6" ht="15.75" customHeight="1">
      <c r="A32" s="301" t="s">
        <v>1318</v>
      </c>
      <c r="B32" s="300">
        <v>19</v>
      </c>
      <c r="C32" s="623"/>
      <c r="D32" s="623"/>
      <c r="E32" s="623"/>
      <c r="F32" s="623"/>
    </row>
    <row r="33" spans="1:6" ht="15.75" customHeight="1">
      <c r="A33" s="299" t="s">
        <v>1318</v>
      </c>
      <c r="B33" s="300">
        <v>20</v>
      </c>
      <c r="C33" s="623"/>
      <c r="D33" s="623"/>
      <c r="E33" s="623"/>
      <c r="F33" s="623"/>
    </row>
    <row r="34" spans="1:6" ht="15.75" customHeight="1">
      <c r="A34" s="302"/>
      <c r="B34" s="135"/>
      <c r="C34" s="303" t="s">
        <v>1315</v>
      </c>
      <c r="D34" s="303" t="s">
        <v>1315</v>
      </c>
      <c r="E34" s="303" t="s">
        <v>1315</v>
      </c>
      <c r="F34" s="303" t="s">
        <v>1315</v>
      </c>
    </row>
    <row r="35" spans="1:6" ht="15.75" customHeight="1">
      <c r="A35" s="298" t="s">
        <v>91</v>
      </c>
      <c r="B35" s="300">
        <v>21</v>
      </c>
      <c r="C35" s="624">
        <f>SUM(C25:C33)</f>
        <v>0</v>
      </c>
      <c r="D35" s="624">
        <f>SUM(D25:D33)</f>
        <v>0</v>
      </c>
      <c r="E35" s="624">
        <f>SUM(E25:E33)</f>
        <v>0</v>
      </c>
      <c r="F35" s="624">
        <f>SUM(F25:F33)</f>
        <v>0</v>
      </c>
    </row>
    <row r="36" spans="1:6" ht="15.75" customHeight="1">
      <c r="A36" s="298" t="s">
        <v>1319</v>
      </c>
      <c r="B36" s="16"/>
      <c r="C36" s="184"/>
      <c r="D36" s="184"/>
      <c r="E36" s="184"/>
      <c r="F36" s="184"/>
    </row>
    <row r="37" spans="1:6" ht="15.75" customHeight="1">
      <c r="A37" s="299" t="s">
        <v>93</v>
      </c>
      <c r="B37" s="300">
        <v>22</v>
      </c>
      <c r="C37" s="623"/>
      <c r="D37" s="623"/>
      <c r="E37" s="623"/>
      <c r="F37" s="623"/>
    </row>
    <row r="38" spans="1:6" ht="15.75" customHeight="1">
      <c r="A38" s="299" t="s">
        <v>95</v>
      </c>
      <c r="B38" s="300">
        <v>23</v>
      </c>
      <c r="C38" s="623"/>
      <c r="D38" s="623"/>
      <c r="E38" s="623"/>
      <c r="F38" s="623"/>
    </row>
    <row r="39" spans="1:6" ht="15.75" customHeight="1">
      <c r="A39" s="299" t="s">
        <v>97</v>
      </c>
      <c r="B39" s="300">
        <v>24</v>
      </c>
      <c r="C39" s="623"/>
      <c r="D39" s="623"/>
      <c r="E39" s="623"/>
      <c r="F39" s="623"/>
    </row>
    <row r="40" spans="1:6" ht="15.75" customHeight="1">
      <c r="A40" s="299" t="s">
        <v>99</v>
      </c>
      <c r="B40" s="300">
        <v>25</v>
      </c>
      <c r="C40" s="623"/>
      <c r="D40" s="623"/>
      <c r="E40" s="623"/>
      <c r="F40" s="623"/>
    </row>
    <row r="41" spans="1:6" ht="15.75" customHeight="1">
      <c r="A41" s="299" t="s">
        <v>101</v>
      </c>
      <c r="B41" s="300">
        <v>26</v>
      </c>
      <c r="C41" s="623"/>
      <c r="D41" s="623"/>
      <c r="E41" s="623"/>
      <c r="F41" s="623"/>
    </row>
    <row r="42" spans="1:6" ht="15.75" customHeight="1">
      <c r="A42" s="301" t="s">
        <v>104</v>
      </c>
      <c r="B42" s="300">
        <v>27</v>
      </c>
      <c r="C42" s="623"/>
      <c r="D42" s="623"/>
      <c r="E42" s="623"/>
      <c r="F42" s="623"/>
    </row>
    <row r="43" spans="1:6" ht="15.75" customHeight="1">
      <c r="A43" s="301" t="s">
        <v>1318</v>
      </c>
      <c r="B43" s="300">
        <v>28</v>
      </c>
      <c r="C43" s="623"/>
      <c r="D43" s="623"/>
      <c r="E43" s="623"/>
      <c r="F43" s="623"/>
    </row>
    <row r="44" spans="1:6" ht="15.75" customHeight="1">
      <c r="A44" s="301" t="s">
        <v>1318</v>
      </c>
      <c r="B44" s="300">
        <v>29</v>
      </c>
      <c r="C44" s="623"/>
      <c r="D44" s="623"/>
      <c r="E44" s="623"/>
      <c r="F44" s="623"/>
    </row>
    <row r="45" spans="1:6" ht="15.75" customHeight="1">
      <c r="A45" s="298"/>
      <c r="B45" s="16"/>
      <c r="C45" s="303" t="s">
        <v>1315</v>
      </c>
      <c r="D45" s="303" t="s">
        <v>1315</v>
      </c>
      <c r="E45" s="303" t="s">
        <v>1315</v>
      </c>
      <c r="F45" s="303" t="s">
        <v>1315</v>
      </c>
    </row>
    <row r="46" spans="1:6" ht="15.75" customHeight="1">
      <c r="A46" s="298" t="s">
        <v>106</v>
      </c>
      <c r="B46" s="300">
        <v>30</v>
      </c>
      <c r="C46" s="624">
        <f>SUM(C37:C44)</f>
        <v>0</v>
      </c>
      <c r="D46" s="624">
        <f>SUM(D37:D44)</f>
        <v>0</v>
      </c>
      <c r="E46" s="624">
        <f>SUM(E37:E44)</f>
        <v>0</v>
      </c>
      <c r="F46" s="624">
        <f>SUM(F37:F44)</f>
        <v>0</v>
      </c>
    </row>
    <row r="47" spans="1:6" ht="15.75" customHeight="1">
      <c r="A47" s="185"/>
      <c r="C47" s="305" t="s">
        <v>1315</v>
      </c>
      <c r="D47" s="305" t="s">
        <v>1315</v>
      </c>
      <c r="E47" s="305" t="s">
        <v>1315</v>
      </c>
      <c r="F47" s="306" t="s">
        <v>1315</v>
      </c>
    </row>
    <row r="48" spans="1:6" ht="15.75" customHeight="1">
      <c r="A48" s="298" t="s">
        <v>108</v>
      </c>
      <c r="B48" s="300">
        <v>31</v>
      </c>
      <c r="C48" s="624">
        <f>C22+C35+C46</f>
        <v>136337386.03</v>
      </c>
      <c r="D48" s="624">
        <f>D22+D35+D46</f>
        <v>147996503.25000003</v>
      </c>
      <c r="E48" s="624">
        <f>E22+E35+E46</f>
        <v>140759916.22201335</v>
      </c>
      <c r="F48" s="624">
        <f>F22+F35+F46</f>
        <v>88676384.700000003</v>
      </c>
    </row>
    <row r="49" spans="1:24" ht="15.75" customHeight="1">
      <c r="A49" s="185"/>
      <c r="C49" s="306" t="s">
        <v>1320</v>
      </c>
      <c r="D49" s="306" t="s">
        <v>1320</v>
      </c>
      <c r="E49" s="306" t="s">
        <v>1320</v>
      </c>
      <c r="F49" s="306" t="s">
        <v>1320</v>
      </c>
    </row>
    <row r="50" spans="1:24" ht="15.75" customHeight="1">
      <c r="A50" s="298" t="s">
        <v>110</v>
      </c>
      <c r="B50" s="16"/>
    </row>
    <row r="51" spans="1:24" ht="15.75" customHeight="1">
      <c r="A51" s="185"/>
    </row>
    <row r="52" spans="1:24" ht="15.75" customHeight="1">
      <c r="A52" s="298" t="s">
        <v>1321</v>
      </c>
      <c r="B52" s="16"/>
    </row>
    <row r="53" spans="1:24" ht="15.75" customHeight="1">
      <c r="A53" s="299" t="s">
        <v>111</v>
      </c>
      <c r="B53" s="300">
        <v>32</v>
      </c>
      <c r="C53" s="623"/>
      <c r="D53" s="623"/>
      <c r="E53" s="623"/>
      <c r="F53" s="623"/>
    </row>
    <row r="54" spans="1:24" ht="15.75" customHeight="1">
      <c r="A54" s="299" t="s">
        <v>113</v>
      </c>
      <c r="B54" s="300">
        <v>33</v>
      </c>
      <c r="C54" s="623">
        <v>55422234.289999999</v>
      </c>
      <c r="D54" s="623">
        <v>63662391.07</v>
      </c>
      <c r="E54" s="623">
        <v>62654805.969999999</v>
      </c>
      <c r="F54" s="623">
        <v>8257047</v>
      </c>
    </row>
    <row r="55" spans="1:24" ht="15.75" customHeight="1">
      <c r="A55" s="299" t="s">
        <v>115</v>
      </c>
      <c r="B55" s="300">
        <v>34</v>
      </c>
      <c r="C55" s="623"/>
      <c r="D55" s="623"/>
      <c r="E55" s="623"/>
      <c r="F55" s="623"/>
      <c r="H55" s="104"/>
      <c r="I55" s="104"/>
    </row>
    <row r="56" spans="1:24" ht="15.75" customHeight="1">
      <c r="A56" s="299" t="s">
        <v>117</v>
      </c>
      <c r="B56" s="300">
        <v>35</v>
      </c>
      <c r="C56" s="623"/>
      <c r="D56" s="623"/>
      <c r="E56" s="623"/>
      <c r="F56" s="623"/>
      <c r="G56" s="307"/>
      <c r="H56" s="307"/>
      <c r="I56" s="307"/>
      <c r="J56" s="307"/>
      <c r="K56" s="307"/>
      <c r="L56" s="307"/>
      <c r="M56" s="307"/>
      <c r="N56" s="307"/>
      <c r="O56" s="307"/>
      <c r="P56" s="307"/>
      <c r="Q56" s="307"/>
      <c r="R56" s="307"/>
      <c r="S56" s="307"/>
      <c r="T56" s="307"/>
      <c r="U56" s="307"/>
      <c r="V56" s="307"/>
      <c r="W56" s="307"/>
      <c r="X56" s="307">
        <f>L56+L57</f>
        <v>0</v>
      </c>
    </row>
    <row r="57" spans="1:24" ht="15.75" customHeight="1">
      <c r="A57" s="299" t="s">
        <v>119</v>
      </c>
      <c r="B57" s="300">
        <v>36</v>
      </c>
      <c r="C57" s="623"/>
      <c r="D57" s="623"/>
      <c r="E57" s="623"/>
      <c r="F57" s="623"/>
    </row>
    <row r="58" spans="1:24" ht="15.75" customHeight="1">
      <c r="A58" s="299" t="s">
        <v>121</v>
      </c>
      <c r="B58" s="300">
        <v>37</v>
      </c>
      <c r="C58" s="623">
        <v>2001366.9100000001</v>
      </c>
      <c r="D58" s="623">
        <v>6493788.0499999998</v>
      </c>
      <c r="E58" s="623">
        <v>1038307.58</v>
      </c>
      <c r="F58" s="623">
        <v>6347</v>
      </c>
    </row>
    <row r="59" spans="1:24" ht="15.75" customHeight="1">
      <c r="A59" s="299" t="s">
        <v>123</v>
      </c>
      <c r="B59" s="300">
        <v>38</v>
      </c>
      <c r="C59" s="623">
        <v>290320.07000000007</v>
      </c>
      <c r="D59" s="623">
        <v>-304397.26999999996</v>
      </c>
      <c r="E59" s="623">
        <v>1103234.7</v>
      </c>
      <c r="F59" s="623">
        <v>-1136409.3999999999</v>
      </c>
    </row>
    <row r="60" spans="1:24" ht="15.75" customHeight="1">
      <c r="A60" s="299" t="s">
        <v>125</v>
      </c>
      <c r="B60" s="300">
        <v>39</v>
      </c>
      <c r="C60" s="623">
        <v>875875.21</v>
      </c>
      <c r="D60" s="623">
        <v>875875.21</v>
      </c>
      <c r="E60" s="623">
        <v>1164542</v>
      </c>
      <c r="F60" s="623">
        <v>1001345.43</v>
      </c>
      <c r="H60" s="308"/>
    </row>
    <row r="61" spans="1:24" ht="15.75" customHeight="1">
      <c r="A61" s="299" t="s">
        <v>127</v>
      </c>
      <c r="B61" s="300">
        <v>40</v>
      </c>
      <c r="C61" s="623"/>
      <c r="D61" s="623"/>
      <c r="E61" s="623"/>
      <c r="F61" s="623"/>
      <c r="G61" s="104"/>
    </row>
    <row r="62" spans="1:24" ht="15.75" customHeight="1">
      <c r="A62" s="301" t="s">
        <v>1322</v>
      </c>
      <c r="B62" s="300">
        <v>41</v>
      </c>
      <c r="C62" s="623">
        <v>1328565.27</v>
      </c>
      <c r="D62" s="623">
        <v>871247.46</v>
      </c>
      <c r="E62" s="623">
        <v>197065.65</v>
      </c>
      <c r="F62" s="623">
        <v>3052615.27</v>
      </c>
      <c r="G62" s="307"/>
      <c r="H62" s="307"/>
      <c r="I62" s="307"/>
      <c r="J62" s="307"/>
      <c r="K62" s="307"/>
      <c r="L62" s="307"/>
      <c r="M62" s="307"/>
      <c r="N62" s="307"/>
      <c r="O62" s="307"/>
      <c r="P62" s="307"/>
      <c r="Q62" s="307"/>
      <c r="R62" s="307"/>
    </row>
    <row r="63" spans="1:24" ht="15.75" customHeight="1">
      <c r="A63" s="301" t="s">
        <v>1318</v>
      </c>
      <c r="B63" s="300">
        <v>42</v>
      </c>
      <c r="C63" s="623">
        <v>1530000</v>
      </c>
      <c r="D63" s="623">
        <v>1530000</v>
      </c>
      <c r="E63" s="623">
        <v>0</v>
      </c>
      <c r="F63" s="623">
        <v>0</v>
      </c>
      <c r="G63" s="307"/>
      <c r="H63" s="307"/>
      <c r="I63" s="307"/>
      <c r="J63" s="307"/>
      <c r="K63" s="307"/>
      <c r="L63" s="307"/>
      <c r="M63" s="307"/>
      <c r="N63" s="307"/>
      <c r="O63" s="307"/>
      <c r="P63" s="307"/>
      <c r="Q63" s="307"/>
      <c r="R63" s="307"/>
    </row>
    <row r="64" spans="1:24" ht="15.75" customHeight="1">
      <c r="A64" s="301" t="s">
        <v>1318</v>
      </c>
      <c r="B64" s="300">
        <v>43</v>
      </c>
      <c r="C64" s="623"/>
      <c r="D64" s="623"/>
      <c r="E64" s="623"/>
      <c r="F64" s="623"/>
      <c r="G64" s="307"/>
      <c r="H64" s="307"/>
      <c r="I64" s="307"/>
      <c r="J64" s="307"/>
      <c r="K64" s="307"/>
      <c r="L64" s="307"/>
      <c r="M64" s="307"/>
      <c r="N64" s="307"/>
      <c r="O64" s="307"/>
      <c r="P64" s="307"/>
      <c r="Q64" s="307"/>
      <c r="R64" s="307"/>
    </row>
    <row r="65" spans="1:8" ht="15.75" customHeight="1">
      <c r="A65" s="299" t="s">
        <v>1318</v>
      </c>
      <c r="B65" s="300">
        <v>44</v>
      </c>
      <c r="C65" s="623"/>
      <c r="D65" s="623"/>
      <c r="E65" s="623"/>
      <c r="F65" s="623"/>
    </row>
    <row r="66" spans="1:8" ht="15.75" customHeight="1">
      <c r="A66" s="185"/>
      <c r="C66" s="305" t="s">
        <v>1315</v>
      </c>
      <c r="D66" s="305" t="s">
        <v>1315</v>
      </c>
      <c r="E66" s="305" t="s">
        <v>1315</v>
      </c>
      <c r="F66" s="306" t="s">
        <v>1315</v>
      </c>
    </row>
    <row r="67" spans="1:8" ht="15.75" customHeight="1">
      <c r="A67" s="298" t="s">
        <v>132</v>
      </c>
      <c r="B67" s="300">
        <v>45</v>
      </c>
      <c r="C67" s="624">
        <f>SUM(C53:C65)</f>
        <v>61448361.750000007</v>
      </c>
      <c r="D67" s="624">
        <f>SUM(D53:D65)</f>
        <v>73128904.519999996</v>
      </c>
      <c r="E67" s="624">
        <f>SUM(E53:E65)</f>
        <v>66157955.899999999</v>
      </c>
      <c r="F67" s="624">
        <f>SUM(F53:F65)</f>
        <v>11180945.299999999</v>
      </c>
      <c r="H67" s="178"/>
    </row>
    <row r="68" spans="1:8" ht="15.75" customHeight="1">
      <c r="A68" s="298" t="s">
        <v>1323</v>
      </c>
      <c r="B68" s="16"/>
    </row>
    <row r="69" spans="1:8" ht="15.75" customHeight="1">
      <c r="A69" s="299" t="s">
        <v>134</v>
      </c>
      <c r="B69" s="300">
        <v>46</v>
      </c>
      <c r="C69" s="623"/>
      <c r="D69" s="623"/>
      <c r="E69" s="623"/>
      <c r="F69" s="623"/>
    </row>
    <row r="70" spans="1:8" ht="15.75" customHeight="1">
      <c r="A70" s="299" t="s">
        <v>136</v>
      </c>
      <c r="B70" s="300">
        <v>47</v>
      </c>
      <c r="C70" s="623">
        <v>133217.21000000834</v>
      </c>
      <c r="D70" s="623">
        <v>137966.21999999881</v>
      </c>
      <c r="E70" s="623">
        <v>169947.39999997616</v>
      </c>
      <c r="F70" s="623">
        <v>156881.01999998093</v>
      </c>
    </row>
    <row r="71" spans="1:8" ht="15.75" customHeight="1">
      <c r="A71" s="301" t="s">
        <v>139</v>
      </c>
      <c r="B71" s="300">
        <v>48</v>
      </c>
      <c r="C71" s="623"/>
      <c r="D71" s="623"/>
      <c r="E71" s="623"/>
      <c r="F71" s="623"/>
    </row>
    <row r="72" spans="1:8" ht="15.75" customHeight="1">
      <c r="A72" s="301" t="s">
        <v>1318</v>
      </c>
      <c r="B72" s="300">
        <v>49</v>
      </c>
      <c r="C72" s="623"/>
      <c r="D72" s="623"/>
      <c r="E72" s="623"/>
      <c r="F72" s="623"/>
    </row>
    <row r="73" spans="1:8" ht="15.75" customHeight="1">
      <c r="A73" s="301" t="s">
        <v>1318</v>
      </c>
      <c r="B73" s="300">
        <v>50</v>
      </c>
      <c r="C73" s="623"/>
      <c r="D73" s="623"/>
      <c r="E73" s="623"/>
      <c r="F73" s="623"/>
    </row>
    <row r="74" spans="1:8" ht="15.75" customHeight="1">
      <c r="A74" s="299" t="s">
        <v>1318</v>
      </c>
      <c r="B74" s="300">
        <v>51</v>
      </c>
      <c r="C74" s="623"/>
      <c r="D74" s="623"/>
      <c r="E74" s="623"/>
      <c r="F74" s="623"/>
    </row>
    <row r="75" spans="1:8" ht="15.75" customHeight="1">
      <c r="A75" s="302"/>
      <c r="B75" s="135"/>
      <c r="C75" s="305" t="s">
        <v>1315</v>
      </c>
      <c r="D75" s="305" t="s">
        <v>1315</v>
      </c>
      <c r="E75" s="305" t="s">
        <v>1315</v>
      </c>
      <c r="F75" s="305" t="s">
        <v>1315</v>
      </c>
    </row>
    <row r="76" spans="1:8" ht="15.75" customHeight="1">
      <c r="A76" s="298" t="s">
        <v>141</v>
      </c>
      <c r="B76" s="300">
        <v>52</v>
      </c>
      <c r="C76" s="624">
        <f>SUM(C69:C74)</f>
        <v>133217.21000000834</v>
      </c>
      <c r="D76" s="624">
        <f>SUM(D69:D74)</f>
        <v>137966.21999999881</v>
      </c>
      <c r="E76" s="624">
        <f>SUM(E69:E74)</f>
        <v>169947.39999997616</v>
      </c>
      <c r="F76" s="624">
        <f>SUM(F69:F74)</f>
        <v>156881.01999998093</v>
      </c>
      <c r="G76" s="104"/>
      <c r="H76" s="104"/>
    </row>
    <row r="77" spans="1:8" ht="15.75" customHeight="1">
      <c r="A77" s="185"/>
      <c r="C77" s="305" t="s">
        <v>1315</v>
      </c>
      <c r="D77" s="305" t="s">
        <v>1315</v>
      </c>
      <c r="E77" s="305" t="s">
        <v>1315</v>
      </c>
      <c r="F77" s="305" t="s">
        <v>1315</v>
      </c>
    </row>
    <row r="78" spans="1:8" ht="15.75" customHeight="1">
      <c r="A78" s="298" t="s">
        <v>143</v>
      </c>
      <c r="B78" s="300">
        <v>53</v>
      </c>
      <c r="C78" s="624">
        <f>C67+C76</f>
        <v>61581578.960000016</v>
      </c>
      <c r="D78" s="624">
        <f>D67+D76</f>
        <v>73266870.739999995</v>
      </c>
      <c r="E78" s="624">
        <f>E67+E76</f>
        <v>66327903.299999975</v>
      </c>
      <c r="F78" s="624">
        <f>F67+F76</f>
        <v>11337826.31999998</v>
      </c>
    </row>
    <row r="79" spans="1:8" ht="15.75" customHeight="1">
      <c r="A79" s="185"/>
      <c r="C79" s="305" t="s">
        <v>1320</v>
      </c>
      <c r="D79" s="305" t="s">
        <v>1320</v>
      </c>
      <c r="E79" s="305" t="s">
        <v>1320</v>
      </c>
      <c r="F79" s="305" t="s">
        <v>1320</v>
      </c>
    </row>
    <row r="80" spans="1:8" ht="15.75" customHeight="1">
      <c r="A80" s="298" t="s">
        <v>145</v>
      </c>
      <c r="B80" s="16"/>
      <c r="C80" s="308"/>
      <c r="D80" s="308"/>
      <c r="E80" s="308"/>
    </row>
    <row r="81" spans="1:8" ht="15.75" customHeight="1">
      <c r="A81" s="299" t="s">
        <v>146</v>
      </c>
      <c r="B81" s="300">
        <v>54</v>
      </c>
      <c r="C81" s="623"/>
      <c r="D81" s="623"/>
      <c r="E81" s="623">
        <f>E18</f>
        <v>3000000</v>
      </c>
      <c r="F81" s="623">
        <f>F18</f>
        <v>3200000</v>
      </c>
    </row>
    <row r="82" spans="1:8" ht="15.75" customHeight="1">
      <c r="A82" s="299" t="s">
        <v>148</v>
      </c>
      <c r="B82" s="300">
        <v>55</v>
      </c>
      <c r="C82" s="623">
        <f>+C22-C78</f>
        <v>74755807.069999993</v>
      </c>
      <c r="D82" s="623">
        <f>+D22-D78</f>
        <v>74729632.510000035</v>
      </c>
      <c r="E82" s="623">
        <f>+E22-E78</f>
        <v>74432012.922013372</v>
      </c>
      <c r="F82" s="623">
        <f>+F22-F78</f>
        <v>77338558.380000025</v>
      </c>
    </row>
    <row r="83" spans="1:8" ht="15.75" customHeight="1">
      <c r="A83" s="299" t="s">
        <v>150</v>
      </c>
      <c r="B83" s="300">
        <v>56</v>
      </c>
      <c r="C83" s="623"/>
      <c r="D83" s="623"/>
      <c r="E83" s="623"/>
      <c r="F83" s="623"/>
      <c r="H83" s="104"/>
    </row>
    <row r="84" spans="1:8" ht="15.75" customHeight="1">
      <c r="A84" s="299" t="s">
        <v>152</v>
      </c>
      <c r="B84" s="300">
        <v>57</v>
      </c>
      <c r="C84" s="623"/>
      <c r="D84" s="623"/>
      <c r="E84" s="623"/>
      <c r="F84" s="623"/>
    </row>
    <row r="85" spans="1:8" ht="15.75" customHeight="1">
      <c r="A85" s="301" t="s">
        <v>1324</v>
      </c>
      <c r="B85" s="300">
        <v>58</v>
      </c>
      <c r="C85" s="623"/>
      <c r="D85" s="623"/>
      <c r="E85" s="623"/>
      <c r="F85" s="623"/>
    </row>
    <row r="86" spans="1:8" ht="15.75" customHeight="1">
      <c r="A86" s="301" t="s">
        <v>1318</v>
      </c>
      <c r="B86" s="300">
        <v>59</v>
      </c>
      <c r="C86" s="623"/>
      <c r="D86" s="623"/>
      <c r="E86" s="623"/>
      <c r="F86" s="623"/>
    </row>
    <row r="87" spans="1:8" ht="15.75" customHeight="1">
      <c r="A87" s="301" t="s">
        <v>1318</v>
      </c>
      <c r="B87" s="300">
        <v>60</v>
      </c>
      <c r="C87" s="623"/>
      <c r="D87" s="623"/>
      <c r="E87" s="623"/>
      <c r="F87" s="623"/>
    </row>
    <row r="88" spans="1:8" ht="15.75" customHeight="1">
      <c r="A88" s="301" t="s">
        <v>1318</v>
      </c>
      <c r="B88" s="300">
        <v>61</v>
      </c>
      <c r="C88" s="623"/>
      <c r="D88" s="623"/>
      <c r="E88" s="623"/>
      <c r="F88" s="623"/>
    </row>
    <row r="89" spans="1:8" ht="15.75" customHeight="1">
      <c r="A89" s="299" t="s">
        <v>157</v>
      </c>
      <c r="B89" s="300">
        <v>62</v>
      </c>
      <c r="C89" s="623"/>
      <c r="D89" s="623"/>
      <c r="E89" s="623"/>
      <c r="F89" s="623"/>
      <c r="H89" s="104"/>
    </row>
    <row r="90" spans="1:8" ht="15.75" customHeight="1">
      <c r="A90" s="185"/>
      <c r="C90" s="305" t="s">
        <v>1315</v>
      </c>
      <c r="D90" s="305" t="s">
        <v>1315</v>
      </c>
      <c r="E90" s="305" t="s">
        <v>1315</v>
      </c>
      <c r="F90" s="305" t="s">
        <v>1315</v>
      </c>
    </row>
    <row r="91" spans="1:8" ht="15.75" customHeight="1">
      <c r="A91" s="298" t="s">
        <v>159</v>
      </c>
      <c r="B91" s="300">
        <v>63</v>
      </c>
      <c r="C91" s="624">
        <f>SUM(C81:C88)+C89</f>
        <v>74755807.069999993</v>
      </c>
      <c r="D91" s="624">
        <f>SUM(D81:D88)+D89</f>
        <v>74729632.510000035</v>
      </c>
      <c r="E91" s="624">
        <f>SUM(E81:E88)+E89</f>
        <v>77432012.922013372</v>
      </c>
      <c r="F91" s="624">
        <f>SUM(F81:F88)+F89</f>
        <v>80538558.380000025</v>
      </c>
      <c r="H91" s="104"/>
    </row>
    <row r="92" spans="1:8" ht="15.75" customHeight="1">
      <c r="A92" s="298" t="s">
        <v>161</v>
      </c>
      <c r="B92" s="300">
        <v>64</v>
      </c>
      <c r="C92" s="624">
        <f>C78+C91</f>
        <v>136337386.03</v>
      </c>
      <c r="D92" s="624">
        <f>D78+D91</f>
        <v>147996503.25000003</v>
      </c>
      <c r="E92" s="624">
        <f>E78+E91</f>
        <v>143759916.22201335</v>
      </c>
      <c r="F92" s="624">
        <f>F78+F91</f>
        <v>91876384.700000003</v>
      </c>
    </row>
    <row r="93" spans="1:8" ht="15.75" customHeight="1">
      <c r="A93" s="298" t="s">
        <v>163</v>
      </c>
      <c r="B93" s="300">
        <v>65</v>
      </c>
      <c r="C93" s="624">
        <f>C48-C78</f>
        <v>74755807.069999993</v>
      </c>
      <c r="D93" s="624">
        <f>D48-D78</f>
        <v>74729632.510000035</v>
      </c>
      <c r="E93" s="624">
        <f>E48-E78</f>
        <v>74432012.922013372</v>
      </c>
      <c r="F93" s="624">
        <f>F48-F78</f>
        <v>77338558.380000025</v>
      </c>
    </row>
    <row r="94" spans="1:8" ht="15.75" customHeight="1">
      <c r="A94" s="298" t="s">
        <v>165</v>
      </c>
      <c r="B94" s="300">
        <v>66</v>
      </c>
      <c r="C94" s="624">
        <f>C78+C93</f>
        <v>136337386.03</v>
      </c>
      <c r="D94" s="624">
        <f>D78+D93</f>
        <v>147996503.25000003</v>
      </c>
      <c r="E94" s="624">
        <f>E78+E93</f>
        <v>140759916.22201335</v>
      </c>
      <c r="F94" s="624">
        <f>F78+F93</f>
        <v>88676384.700000003</v>
      </c>
    </row>
    <row r="95" spans="1:8" ht="12" customHeight="1">
      <c r="C95" s="305" t="s">
        <v>1320</v>
      </c>
      <c r="D95" s="305" t="s">
        <v>1320</v>
      </c>
      <c r="E95" s="305" t="s">
        <v>1320</v>
      </c>
      <c r="F95" s="305" t="s">
        <v>1320</v>
      </c>
    </row>
    <row r="96" spans="1:8">
      <c r="C96" s="309"/>
      <c r="D96" s="309"/>
      <c r="E96" s="309"/>
      <c r="F96" s="310"/>
    </row>
    <row r="97" spans="3:6">
      <c r="F97" s="178"/>
    </row>
    <row r="98" spans="3:6">
      <c r="E98" s="178"/>
      <c r="F98" s="178"/>
    </row>
    <row r="100" spans="3:6">
      <c r="F100" s="178"/>
    </row>
    <row r="101" spans="3:6">
      <c r="D101" s="135"/>
      <c r="E101" s="135"/>
      <c r="F101" s="135"/>
    </row>
    <row r="102" spans="3:6">
      <c r="E102" s="311"/>
      <c r="F102" s="178"/>
    </row>
    <row r="103" spans="3:6">
      <c r="E103" s="311"/>
      <c r="F103" s="178"/>
    </row>
    <row r="106" spans="3:6">
      <c r="C106" s="308"/>
    </row>
    <row r="109" spans="3:6">
      <c r="C109" s="308"/>
      <c r="D109" s="308"/>
      <c r="E109" s="308"/>
      <c r="F109" s="308"/>
    </row>
  </sheetData>
  <sheetProtection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E10670-3EB8-46CA-99C8-90C587794A2C}"/>
</file>

<file path=customXml/itemProps2.xml><?xml version="1.0" encoding="utf-8"?>
<ds:datastoreItem xmlns:ds="http://schemas.openxmlformats.org/officeDocument/2006/customXml" ds:itemID="{1256CB10-AFFA-49EE-8DE3-A887FA8514D8}"/>
</file>

<file path=customXml/itemProps3.xml><?xml version="1.0" encoding="utf-8"?>
<ds:datastoreItem xmlns:ds="http://schemas.openxmlformats.org/officeDocument/2006/customXml" ds:itemID="{A94FEDF4-6A44-46BB-B8E4-8A40A1A86C45}"/>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Mock, Colin J (EHS)</cp:lastModifiedBy>
  <cp:revision/>
  <dcterms:created xsi:type="dcterms:W3CDTF">2012-07-31T22:32:51Z</dcterms:created>
  <dcterms:modified xsi:type="dcterms:W3CDTF">2025-06-18T14:51:55Z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MediaServiceImageTags">
    <vt:lpwstr/>
  </property>
  <property fmtid="{D5CDD505-2E9C-101B-9397-08002B2CF9AE}" pid="13" name="Order">
    <vt:r8>245700</vt:r8>
  </property>
  <property fmtid="{D5CDD505-2E9C-101B-9397-08002B2CF9AE}" pid="14" name="xd_Signature">
    <vt:bool>false</vt:bool>
  </property>
  <property fmtid="{D5CDD505-2E9C-101B-9397-08002B2CF9AE}" pid="15" name="xd_ProgID">
    <vt:lpwstr/>
  </property>
  <property fmtid="{D5CDD505-2E9C-101B-9397-08002B2CF9AE}" pid="16" name="_SourceUrl">
    <vt:lpwstr/>
  </property>
  <property fmtid="{D5CDD505-2E9C-101B-9397-08002B2CF9AE}" pid="17" name="_SharedFileIndex">
    <vt:lpwstr/>
  </property>
  <property fmtid="{D5CDD505-2E9C-101B-9397-08002B2CF9AE}" pid="18" name="ComplianceAssetId">
    <vt:lpwstr/>
  </property>
  <property fmtid="{D5CDD505-2E9C-101B-9397-08002B2CF9AE}" pid="19" name="TemplateUrl">
    <vt:lpwstr/>
  </property>
  <property fmtid="{D5CDD505-2E9C-101B-9397-08002B2CF9AE}" pid="20" name="_ExtendedDescription">
    <vt:lpwstr/>
  </property>
  <property fmtid="{D5CDD505-2E9C-101B-9397-08002B2CF9AE}" pid="21" name="TriggerFlowInfo">
    <vt:lpwstr/>
  </property>
</Properties>
</file>