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codeName="ThisWorkbook" defaultThemeVersion="124226"/>
  <mc:AlternateContent xmlns:mc="http://schemas.openxmlformats.org/markup-compatibility/2006">
    <mc:Choice Requires="x15">
      <x15ac:absPath xmlns:x15ac="http://schemas.microsoft.com/office/spreadsheetml/2010/11/ac" url="S:\1-FinAdmin\Attestations\EOHHS\"/>
    </mc:Choice>
  </mc:AlternateContent>
  <xr:revisionPtr revIDLastSave="0" documentId="8_{E6E0B7B7-10D6-4D69-A097-064464D1E93B}" xr6:coauthVersionLast="47" xr6:coauthVersionMax="47" xr10:uidLastSave="{00000000-0000-0000-0000-000000000000}"/>
  <bookViews>
    <workbookView xWindow="-120" yWindow="-120" windowWidth="29040" windowHeight="15720" tabRatio="790" firstSheet="25" activeTab="25"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Schedule 3A_Income Statement" sheetId="36" r:id="rId10"/>
    <sheet name="Schedule 3B_Income_Eastern" sheetId="37" r:id="rId11"/>
    <sheet name="Schedule 3C_Income_Western" sheetId="53" r:id="rId12"/>
    <sheet name="Schedule 3D_Income_The Cape" sheetId="54" r:id="rId13"/>
    <sheet name="4_Footnotes" sheetId="50" r:id="rId14"/>
    <sheet name="Schedule 5_Cash Flow" sheetId="13" r:id="rId15"/>
    <sheet name="Schedule 6_Medical Expense" sheetId="40" r:id="rId16"/>
    <sheet name="Schedule 7_Utilization" sheetId="28" r:id="rId17"/>
    <sheet name="Schedule 8_Indicators" sheetId="6" r:id="rId18"/>
    <sheet name="Schedule 9_Solvency Req." sheetId="7" r:id="rId19"/>
    <sheet name="Schedule 10_APMs" sheetId="49" r:id="rId20"/>
    <sheet name="11A_Lag Report Physician" sheetId="44" r:id="rId21"/>
    <sheet name="11B_Lag Report Inpatient" sheetId="45" r:id="rId22"/>
    <sheet name="11C_Lag Report Outpatient" sheetId="46" r:id="rId23"/>
    <sheet name="11D_Lag Report Pharmacy" sheetId="47" r:id="rId24"/>
    <sheet name="11E_Lag Report Other" sheetId="48" r:id="rId25"/>
    <sheet name="Schedule 12_Certification" sheetId="8" r:id="rId26"/>
    <sheet name="Notes" sheetId="11" r:id="rId27"/>
    <sheet name="ChangeLog" sheetId="52" r:id="rId28"/>
    <sheet name="ICO MS" sheetId="2" state="hidden" r:id="rId29"/>
  </sheets>
  <externalReferences>
    <externalReference r:id="rId30"/>
    <externalReference r:id="rId31"/>
    <externalReference r:id="rId32"/>
  </externalReferences>
  <definedNames>
    <definedName name="__123Graph_A" hidden="1">[1]General!$AC$35:$AO$35</definedName>
    <definedName name="__123Graph_AAUTHS" hidden="1">[1]General!$AC$57:$AC$65</definedName>
    <definedName name="__123Graph_AIPIBNR" hidden="1">#REF!</definedName>
    <definedName name="__123Graph_ATOTAL" hidden="1">[1]General!$AC$10:$AO$10</definedName>
    <definedName name="__123Graph_ATYPEA" hidden="1">#REF!</definedName>
    <definedName name="__123Graph_ATYPED" hidden="1">#REF!</definedName>
    <definedName name="__123Graph_ATYPEE" hidden="1">[1]General!$AC$20:$AO$20</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[1]General!$AC$14:$AO$14</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[1]General!$AG$57:$AG$65</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[1]General!$AC$15:$AO$15</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Specification'!$A$7:$G$101</definedName>
    <definedName name="_xlnm._FilterDatabase" localSheetId="6" hidden="1">'COS Technical Specifications'!$A$3:$H$82</definedName>
    <definedName name="_Key1" localSheetId="13" hidden="1">#REF!</definedName>
    <definedName name="_Key1" localSheetId="5" hidden="1">#REF!</definedName>
    <definedName name="_Key1" localSheetId="7"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hidden="1">#REF!</definedName>
    <definedName name="_Key2" localSheetId="13" hidden="1">#REF!</definedName>
    <definedName name="_Key2" localSheetId="5" hidden="1">#REF!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2" hidden="1">#REF!</definedName>
    <definedName name="_Key2" hidden="1">#REF!</definedName>
    <definedName name="_May15">5</definedName>
    <definedName name="_one94" localSheetId="13">#REF!</definedName>
    <definedName name="_one94" localSheetId="5">#REF!</definedName>
    <definedName name="_one94" localSheetId="19">#REF!</definedName>
    <definedName name="_one94" localSheetId="11">#REF!</definedName>
    <definedName name="_one94" localSheetId="12">#REF!</definedName>
    <definedName name="_one94">#REF!</definedName>
    <definedName name="_Order1" hidden="1">255</definedName>
    <definedName name="_Order2" hidden="1">255</definedName>
    <definedName name="_Sort" localSheetId="13" hidden="1">#REF!</definedName>
    <definedName name="_Sort" localSheetId="5" hidden="1">#REF!</definedName>
    <definedName name="_Sort" localSheetId="7"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hidden="1">#REF!</definedName>
    <definedName name="agmc6" localSheetId="13">'[2]Page 1'!#REF!</definedName>
    <definedName name="agmc6" localSheetId="27">'[2]Page 1'!#REF!</definedName>
    <definedName name="agmc6" localSheetId="5">#REF!</definedName>
    <definedName name="agmc6" localSheetId="19">'[2]Page 1'!#REF!</definedName>
    <definedName name="agmc6" localSheetId="11">'[2]Page 1'!#REF!</definedName>
    <definedName name="agmc6" localSheetId="12">'[2]Page 1'!#REF!</definedName>
    <definedName name="agmc6">#REF!</definedName>
    <definedName name="April12">300</definedName>
    <definedName name="April15">4</definedName>
    <definedName name="April9">300</definedName>
    <definedName name="August14">400</definedName>
    <definedName name="August15">8</definedName>
    <definedName name="Calendar" localSheetId="13">#REF!</definedName>
    <definedName name="Calendar" localSheetId="5">#REF!</definedName>
    <definedName name="Calendar" localSheetId="19">#REF!</definedName>
    <definedName name="Calendar" localSheetId="11">#REF!</definedName>
    <definedName name="Calendar" localSheetId="12">#REF!</definedName>
    <definedName name="Calendar">#REF!</definedName>
    <definedName name="ClaimsProcsd" localSheetId="13">#REF!</definedName>
    <definedName name="ClaimsProcsd" localSheetId="5">#REF!</definedName>
    <definedName name="ClaimsProcsd" localSheetId="19">#REF!</definedName>
    <definedName name="ClaimsProcsd" localSheetId="11">#REF!</definedName>
    <definedName name="ClaimsProcsd" localSheetId="12">#REF!</definedName>
    <definedName name="ClaimsProcsd">#REF!</definedName>
    <definedName name="combobox">"Drop Down 3"</definedName>
    <definedName name="CoPay_IP" localSheetId="13">#REF!</definedName>
    <definedName name="CoPay_IP" localSheetId="5">#REF!</definedName>
    <definedName name="CoPay_IP" localSheetId="19">#REF!</definedName>
    <definedName name="CoPay_IP" localSheetId="11">#REF!</definedName>
    <definedName name="CoPay_IP" localSheetId="12">#REF!</definedName>
    <definedName name="CoPay_IP">#REF!</definedName>
    <definedName name="CoPay_Other" localSheetId="13">#REF!</definedName>
    <definedName name="CoPay_Other" localSheetId="5">#REF!</definedName>
    <definedName name="CoPay_Other" localSheetId="19">#REF!</definedName>
    <definedName name="CoPay_Other" localSheetId="11">#REF!</definedName>
    <definedName name="CoPay_Other" localSheetId="12">#REF!</definedName>
    <definedName name="CoPay_Other">#REF!</definedName>
    <definedName name="CoPay_Rx" localSheetId="13">#REF!</definedName>
    <definedName name="CoPay_Rx" localSheetId="5">#REF!</definedName>
    <definedName name="CoPay_Rx" localSheetId="19">#REF!</definedName>
    <definedName name="CoPay_Rx" localSheetId="11">#REF!</definedName>
    <definedName name="CoPay_Rx" localSheetId="12">#REF!</definedName>
    <definedName name="CoPay_Rx">#REF!</definedName>
    <definedName name="CoPay_XrayRad" localSheetId="13">#REF!</definedName>
    <definedName name="CoPay_XrayRad" localSheetId="5">#REF!</definedName>
    <definedName name="CoPay_XrayRad" localSheetId="11">#REF!</definedName>
    <definedName name="CoPay_XrayRad" localSheetId="12">#REF!</definedName>
    <definedName name="CoPay_XrayRad">#REF!</definedName>
    <definedName name="Data" localSheetId="13">#REF!</definedName>
    <definedName name="Data" localSheetId="5">#REF!</definedName>
    <definedName name="Data" localSheetId="11">#REF!</definedName>
    <definedName name="Data" localSheetId="12">#REF!</definedName>
    <definedName name="Data">#REF!</definedName>
    <definedName name="Date1">36740</definedName>
    <definedName name="DC_COS" localSheetId="13">#REF!</definedName>
    <definedName name="DC_COS" localSheetId="5">#REF!</definedName>
    <definedName name="DC_COS" localSheetId="19">#REF!</definedName>
    <definedName name="DC_COS" localSheetId="11">#REF!</definedName>
    <definedName name="DC_COS" localSheetId="12">#REF!</definedName>
    <definedName name="DC_COS">#REF!</definedName>
    <definedName name="December14">400</definedName>
    <definedName name="December15">12</definedName>
    <definedName name="Dept" localSheetId="13">#REF!</definedName>
    <definedName name="Dept" localSheetId="5">#REF!</definedName>
    <definedName name="Dept" localSheetId="19">#REF!</definedName>
    <definedName name="Dept" localSheetId="11">#REF!</definedName>
    <definedName name="Dept" localSheetId="12">#REF!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13">#REF!</definedName>
    <definedName name="INCSTATEMENT" localSheetId="5">#REF!</definedName>
    <definedName name="INCSTATEMENT" localSheetId="19">#REF!</definedName>
    <definedName name="INCSTATEMENT" localSheetId="11">#REF!</definedName>
    <definedName name="INCSTATEMENT" localSheetId="12">#REF!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13">#REF!</definedName>
    <definedName name="Link1" localSheetId="27">[3]AdministrativeExpenses!#REF!</definedName>
    <definedName name="Link1" localSheetId="5">[3]AdministrativeExpenses!#REF!</definedName>
    <definedName name="Link1" localSheetId="19">#REF!</definedName>
    <definedName name="Link1" localSheetId="11">#REF!</definedName>
    <definedName name="Link1" localSheetId="12">#REF!</definedName>
    <definedName name="Link1">#REF!</definedName>
    <definedName name="Macro10" localSheetId="13">#N/A</definedName>
    <definedName name="Macro10" localSheetId="27">ChangeLog!Macro10</definedName>
    <definedName name="Macro10" localSheetId="19">#N/A</definedName>
    <definedName name="Macro10">'4_Footnotes'!Macro10</definedName>
    <definedName name="macro11" localSheetId="13">#N/A</definedName>
    <definedName name="macro11" localSheetId="27">ChangeLog!macro11</definedName>
    <definedName name="macro11" localSheetId="19">#N/A</definedName>
    <definedName name="macro11">'4_Footnotes'!macro11</definedName>
    <definedName name="macro14" localSheetId="13">#N/A</definedName>
    <definedName name="macro14" localSheetId="27">ChangeLog!macro14</definedName>
    <definedName name="macro14" localSheetId="19">#N/A</definedName>
    <definedName name="macro14">'4_Footnotes'!macro14</definedName>
    <definedName name="Macro4" localSheetId="13">#N/A</definedName>
    <definedName name="Macro4" localSheetId="27">ChangeLog!Macro4</definedName>
    <definedName name="Macro4" localSheetId="19">#N/A</definedName>
    <definedName name="Macro4">'4_Footnotes'!Macro4</definedName>
    <definedName name="Macro5" localSheetId="13">#N/A</definedName>
    <definedName name="Macro5" localSheetId="27">ChangeLog!Macro5</definedName>
    <definedName name="Macro5" localSheetId="19">#N/A</definedName>
    <definedName name="Macro5">'4_Footnotes'!Macro5</definedName>
    <definedName name="Macro6" localSheetId="13">#N/A</definedName>
    <definedName name="Macro6" localSheetId="27">ChangeLog!Macro6</definedName>
    <definedName name="Macro6" localSheetId="19">#N/A</definedName>
    <definedName name="Macro6">'4_Footnotes'!Macro6</definedName>
    <definedName name="March12">300</definedName>
    <definedName name="March15">3</definedName>
    <definedName name="March4">20000</definedName>
    <definedName name="March9">300</definedName>
    <definedName name="New_2005" localSheetId="13">#REF!</definedName>
    <definedName name="New_2005" localSheetId="5">#REF!</definedName>
    <definedName name="New_2005" localSheetId="19">#REF!</definedName>
    <definedName name="New_2005" localSheetId="11">#REF!</definedName>
    <definedName name="New_2005" localSheetId="12">#REF!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13">#REF!</definedName>
    <definedName name="plancntygrpscores" localSheetId="5">#REF!</definedName>
    <definedName name="plancntygrpscores" localSheetId="19">#REF!</definedName>
    <definedName name="plancntygrpscores" localSheetId="11">#REF!</definedName>
    <definedName name="plancntygrpscores" localSheetId="12">#REF!</definedName>
    <definedName name="plancntygrpscores">#REF!</definedName>
    <definedName name="previous" localSheetId="13">#REF!</definedName>
    <definedName name="previous" localSheetId="5">#REF!</definedName>
    <definedName name="previous" localSheetId="19">#REF!</definedName>
    <definedName name="previous" localSheetId="11">#REF!</definedName>
    <definedName name="previous" localSheetId="12">#REF!</definedName>
    <definedName name="previous">#REF!</definedName>
    <definedName name="_xlnm.Print_Area" localSheetId="20">'11A_Lag Report Physician'!$A$1:$AH$47</definedName>
    <definedName name="_xlnm.Print_Area" localSheetId="21">'11B_Lag Report Inpatient'!$A$1:$AH$47</definedName>
    <definedName name="_xlnm.Print_Area" localSheetId="22">'11C_Lag Report Outpatient'!$A$1:$AH$47</definedName>
    <definedName name="_xlnm.Print_Area" localSheetId="23">'11D_Lag Report Pharmacy'!$A$1:$AH$47</definedName>
    <definedName name="_xlnm.Print_Area" localSheetId="24">'11E_Lag Report Other'!$A$1:$AH$47</definedName>
    <definedName name="_xlnm.Print_Area" localSheetId="13">'4_Footnotes'!$A$1:$D$28</definedName>
    <definedName name="_xlnm.Print_Area" localSheetId="27">ChangeLog!$A$1:$D$12</definedName>
    <definedName name="_xlnm.Print_Area" localSheetId="8">'Schedule 2_Balance Sheet'!$A$1:$F$96</definedName>
    <definedName name="_xlnm.Print_Area" localSheetId="9">'Schedule 3A_Income Statement'!$A$1:$K$98</definedName>
    <definedName name="_xlnm.Print_Area" localSheetId="10">'Schedule 3B_Income_Eastern'!$A$1:$K$98</definedName>
    <definedName name="_xlnm.Print_Area" localSheetId="11">'Schedule 3C_Income_Western'!$A$1:$K$98</definedName>
    <definedName name="_xlnm.Print_Area" localSheetId="12">'Schedule 3D_Income_The Cape'!$A$1:$K$98</definedName>
    <definedName name="_xlnm.Print_Area" localSheetId="14">'Schedule 5_Cash Flow'!$A$1:$E$47</definedName>
    <definedName name="_xlnm.Print_Area" localSheetId="17">'Schedule 8_Indicators'!$A$1:$E$46</definedName>
    <definedName name="_xlnm.Print_Area" localSheetId="18">'Schedule 9_Solvency Req.'!$A$1:$J$64</definedName>
    <definedName name="Print_Area_MI" localSheetId="13">#REF!</definedName>
    <definedName name="Print_Area_MI" localSheetId="5">#REF!</definedName>
    <definedName name="Print_Area_MI" localSheetId="19">#REF!</definedName>
    <definedName name="Print_Area_MI" localSheetId="11">#REF!</definedName>
    <definedName name="Print_Area_MI" localSheetId="12">#REF!</definedName>
    <definedName name="Print_Area_MI">#REF!</definedName>
    <definedName name="_xlnm.Print_Titles" localSheetId="20">'11A_Lag Report Physician'!$A:$B,'11A_Lag Report Physician'!$1:$6</definedName>
    <definedName name="_xlnm.Print_Titles" localSheetId="21">'11B_Lag Report Inpatient'!$A:$B,'11B_Lag Report Inpatient'!$1:$6</definedName>
    <definedName name="_xlnm.Print_Titles" localSheetId="22">'11C_Lag Report Outpatient'!$A:$B,'11C_Lag Report Outpatient'!$1:$6</definedName>
    <definedName name="_xlnm.Print_Titles" localSheetId="23">'11D_Lag Report Pharmacy'!$A:$B,'11D_Lag Report Pharmacy'!$1:$6</definedName>
    <definedName name="_xlnm.Print_Titles" localSheetId="24">'11E_Lag Report Other'!$A:$B,'11E_Lag Report Other'!$1:$6</definedName>
    <definedName name="_xlnm.Print_Titles" localSheetId="13">'4_Footnotes'!$1:$8</definedName>
    <definedName name="_xlnm.Print_Titles" localSheetId="19">'Schedule 10_APMs'!$2:$8</definedName>
    <definedName name="Prt_Shts" localSheetId="13">#REF!</definedName>
    <definedName name="Prt_Shts" localSheetId="5">#REF!</definedName>
    <definedName name="Prt_Shts" localSheetId="11">#REF!</definedName>
    <definedName name="Prt_Shts" localSheetId="12">#REF!</definedName>
    <definedName name="Prt_Shts">#REF!</definedName>
    <definedName name="Region" localSheetId="13">#REF!</definedName>
    <definedName name="Region" localSheetId="27">#REF!</definedName>
    <definedName name="Region" localSheetId="5">#REF!</definedName>
    <definedName name="Region" localSheetId="19">#REF!</definedName>
    <definedName name="Region" localSheetId="11">#REF!</definedName>
    <definedName name="Region" localSheetId="12">#REF!</definedName>
    <definedName name="Region">#REF!</definedName>
    <definedName name="Regions" localSheetId="13">#REF!</definedName>
    <definedName name="Regions" localSheetId="27">#REF!</definedName>
    <definedName name="Regions" localSheetId="5">#REF!</definedName>
    <definedName name="Regions" localSheetId="19">#REF!</definedName>
    <definedName name="Regions" localSheetId="11">#REF!</definedName>
    <definedName name="Regions" localSheetId="12">#REF!</definedName>
    <definedName name="Regions">#REF!</definedName>
    <definedName name="respmgr">"Charlie"</definedName>
    <definedName name="second" localSheetId="13">#REF!</definedName>
    <definedName name="second" localSheetId="5">#REF!</definedName>
    <definedName name="second" localSheetId="19">#REF!</definedName>
    <definedName name="second" localSheetId="11">#REF!</definedName>
    <definedName name="second" localSheetId="12">#REF!</definedName>
    <definedName name="second">#REF!</definedName>
    <definedName name="September15">9</definedName>
    <definedName name="sum">#REF!</definedName>
    <definedName name="Table_1_Summary" localSheetId="13">#REF!</definedName>
    <definedName name="Table_1_Summary" localSheetId="5">#REF!</definedName>
    <definedName name="Table_1_Summary" localSheetId="19">#REF!</definedName>
    <definedName name="Table_1_Summary" localSheetId="11">#REF!</definedName>
    <definedName name="Table_1_Summary" localSheetId="12">#REF!</definedName>
    <definedName name="Table_1_Summary">#REF!</definedName>
    <definedName name="tblInstDeletionsStateExport" localSheetId="13">#REF!</definedName>
    <definedName name="tblInstDeletionsStateExport" localSheetId="5">#REF!</definedName>
    <definedName name="tblInstDeletionsStateExport" localSheetId="19">#REF!</definedName>
    <definedName name="tblInstDeletionsStateExport" localSheetId="11">#REF!</definedName>
    <definedName name="tblInstDeletionsStateExport" localSheetId="12">#REF!</definedName>
    <definedName name="tblInstDeletionsStateExport">#REF!</definedName>
    <definedName name="tblInstStateExport" localSheetId="13">#REF!</definedName>
    <definedName name="tblInstStateExport" localSheetId="5">#REF!</definedName>
    <definedName name="tblInstStateExport" localSheetId="19">#REF!</definedName>
    <definedName name="tblInstStateExport" localSheetId="11">#REF!</definedName>
    <definedName name="tblInstStateExport" localSheetId="12">#REF!</definedName>
    <definedName name="tblInstStateExport">#REF!</definedName>
    <definedName name="tblProvDeletionsStateExport" localSheetId="13">#REF!</definedName>
    <definedName name="tblProvDeletionsStateExport" localSheetId="5">#REF!</definedName>
    <definedName name="tblProvDeletionsStateExport" localSheetId="11">#REF!</definedName>
    <definedName name="tblProvDeletionsStateExport" localSheetId="12">#REF!</definedName>
    <definedName name="tblProvDeletionsStateExport">#REF!</definedName>
    <definedName name="tblProvStateExport" localSheetId="13">#REF!</definedName>
    <definedName name="tblProvStateExport" localSheetId="5">#REF!</definedName>
    <definedName name="tblProvStateExport" localSheetId="11">#REF!</definedName>
    <definedName name="tblProvStateExport" localSheetId="12">#REF!</definedName>
    <definedName name="tblProvStateExport">#REF!</definedName>
    <definedName name="third" localSheetId="13">#REF!</definedName>
    <definedName name="third" localSheetId="5">#REF!</definedName>
    <definedName name="third" localSheetId="11">#REF!</definedName>
    <definedName name="third" localSheetId="12">#REF!</definedName>
    <definedName name="third">#REF!</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Y55" i="40" l="1"/>
  <c r="BY52" i="40"/>
  <c r="BY53" i="40" s="1"/>
  <c r="BJ55" i="40"/>
  <c r="BJ52" i="40"/>
  <c r="BJ53" i="40" s="1"/>
  <c r="AU55" i="40"/>
  <c r="AU52" i="40"/>
  <c r="AU53" i="40" s="1"/>
  <c r="AF55" i="40"/>
  <c r="AF52" i="40"/>
  <c r="AF53" i="40" s="1"/>
  <c r="Q55" i="40"/>
  <c r="BY54" i="40" l="1"/>
  <c r="BJ54" i="40"/>
  <c r="AU54" i="40"/>
  <c r="AF54" i="40"/>
  <c r="E21" i="13" l="1"/>
  <c r="D21" i="13" l="1"/>
  <c r="C21" i="13"/>
  <c r="B21" i="13"/>
  <c r="F18" i="12" l="1"/>
  <c r="E19" i="13" l="1"/>
  <c r="D19" i="13"/>
  <c r="F81" i="12" l="1"/>
  <c r="E81" i="12"/>
  <c r="E23" i="13" l="1"/>
  <c r="E22" i="13"/>
  <c r="E18" i="13"/>
  <c r="E17" i="13"/>
  <c r="D23" i="13" l="1"/>
  <c r="D22" i="13"/>
  <c r="D18" i="13"/>
  <c r="D17" i="13"/>
  <c r="C23" i="13" l="1"/>
  <c r="C22" i="13"/>
  <c r="C19" i="13"/>
  <c r="C17" i="13"/>
  <c r="C18" i="13"/>
  <c r="B19" i="13" l="1"/>
  <c r="D82" i="12" l="1"/>
  <c r="C6" i="12" l="1"/>
  <c r="B23" i="13"/>
  <c r="B22" i="13"/>
  <c r="B18" i="13" l="1"/>
  <c r="B17" i="13"/>
  <c r="I18" i="40" l="1"/>
  <c r="U18" i="40"/>
  <c r="X18" i="40"/>
  <c r="Y18" i="40" l="1"/>
  <c r="AE18" i="40" s="1"/>
  <c r="CA43" i="54"/>
  <c r="BZ43" i="54"/>
  <c r="BY43" i="54"/>
  <c r="BX43" i="54"/>
  <c r="BW43" i="54"/>
  <c r="BV43" i="54"/>
  <c r="BU43" i="54"/>
  <c r="BT43" i="54"/>
  <c r="BR43" i="54"/>
  <c r="BQ43" i="54"/>
  <c r="BP43" i="54"/>
  <c r="BO43" i="54"/>
  <c r="BN43" i="54"/>
  <c r="BM43" i="54"/>
  <c r="BL43" i="54"/>
  <c r="BK43" i="54"/>
  <c r="BG43" i="54" l="1"/>
  <c r="BF43" i="54"/>
  <c r="BE43" i="54"/>
  <c r="BD43" i="54"/>
  <c r="BC43" i="54"/>
  <c r="BB43" i="54"/>
  <c r="BA43" i="54"/>
  <c r="AZ43" i="54"/>
  <c r="AX43" i="54"/>
  <c r="AW43" i="54"/>
  <c r="AV43" i="54"/>
  <c r="AU43" i="54"/>
  <c r="AT43" i="54"/>
  <c r="AS43" i="54"/>
  <c r="AR43" i="54"/>
  <c r="AQ43" i="54"/>
  <c r="AI43" i="54"/>
  <c r="AG43" i="54"/>
  <c r="AM43" i="54"/>
  <c r="AK43" i="54"/>
  <c r="S43" i="54"/>
  <c r="R43" i="54"/>
  <c r="O43" i="54"/>
  <c r="N43" i="54"/>
  <c r="Q43" i="54"/>
  <c r="P43" i="54"/>
  <c r="M43" i="54"/>
  <c r="CA43" i="53"/>
  <c r="BZ43" i="53"/>
  <c r="BY43" i="53"/>
  <c r="BX43" i="53"/>
  <c r="BW43" i="53"/>
  <c r="BV43" i="53"/>
  <c r="BU43" i="53"/>
  <c r="BT43" i="53"/>
  <c r="BR43" i="53"/>
  <c r="BQ43" i="53"/>
  <c r="BP43" i="53"/>
  <c r="BO43" i="53"/>
  <c r="BN43" i="53"/>
  <c r="BM43" i="53"/>
  <c r="BL43" i="53"/>
  <c r="BK43" i="53"/>
  <c r="BG43" i="53"/>
  <c r="BF43" i="53"/>
  <c r="BE43" i="53"/>
  <c r="BD43" i="53"/>
  <c r="BC43" i="53"/>
  <c r="BB43" i="53"/>
  <c r="BA43" i="53"/>
  <c r="AZ43" i="53"/>
  <c r="AX43" i="53"/>
  <c r="AW43" i="53"/>
  <c r="AV43" i="53"/>
  <c r="AU43" i="53"/>
  <c r="AT43" i="53"/>
  <c r="AS43" i="53"/>
  <c r="AR43" i="53"/>
  <c r="AQ43" i="53"/>
  <c r="AI43" i="53"/>
  <c r="AM43" i="53"/>
  <c r="AK43" i="53"/>
  <c r="AG43" i="53"/>
  <c r="S43" i="53"/>
  <c r="P43" i="53"/>
  <c r="O43" i="53"/>
  <c r="R43" i="53"/>
  <c r="Q43" i="53"/>
  <c r="N43" i="53"/>
  <c r="M43" i="53"/>
  <c r="CA43" i="37"/>
  <c r="BX43" i="37"/>
  <c r="BW43" i="37"/>
  <c r="BT43" i="37"/>
  <c r="BR43" i="37"/>
  <c r="BQ43" i="37"/>
  <c r="BP43" i="37"/>
  <c r="BO43" i="37"/>
  <c r="BN43" i="37"/>
  <c r="BM43" i="37"/>
  <c r="BL43" i="37"/>
  <c r="BK43" i="37"/>
  <c r="BZ43" i="37"/>
  <c r="BY43" i="37"/>
  <c r="BV43" i="37"/>
  <c r="BU43" i="37"/>
  <c r="AX43" i="37"/>
  <c r="AW43" i="37"/>
  <c r="AV43" i="37"/>
  <c r="AU43" i="37"/>
  <c r="AT43" i="37"/>
  <c r="AS43" i="37"/>
  <c r="AR43" i="37"/>
  <c r="AQ43" i="37"/>
  <c r="BG43" i="37"/>
  <c r="BF43" i="37"/>
  <c r="BE43" i="37"/>
  <c r="BD43" i="37"/>
  <c r="BC43" i="37"/>
  <c r="BB43" i="37"/>
  <c r="BA43" i="37"/>
  <c r="AZ43" i="37"/>
  <c r="AF43" i="37"/>
  <c r="AD43" i="37"/>
  <c r="AC43" i="37"/>
  <c r="AB43" i="37"/>
  <c r="AA43" i="37"/>
  <c r="Z43" i="37"/>
  <c r="Y43" i="37"/>
  <c r="X43" i="37"/>
  <c r="W43" i="37"/>
  <c r="AM43" i="37"/>
  <c r="AL43" i="37"/>
  <c r="AK43" i="37"/>
  <c r="AJ43" i="37"/>
  <c r="AI43" i="37"/>
  <c r="AH43" i="37"/>
  <c r="AG43" i="37"/>
  <c r="L43" i="37"/>
  <c r="J43" i="37"/>
  <c r="I43" i="37"/>
  <c r="H43" i="37"/>
  <c r="G43" i="37"/>
  <c r="F43" i="37"/>
  <c r="E43" i="37"/>
  <c r="D43" i="37"/>
  <c r="C43" i="37"/>
  <c r="S43" i="37"/>
  <c r="R43" i="37"/>
  <c r="Q43" i="37"/>
  <c r="P43" i="37"/>
  <c r="O43" i="37"/>
  <c r="N43" i="37"/>
  <c r="M43" i="37"/>
  <c r="AR66" i="54" l="1"/>
  <c r="CG45" i="54"/>
  <c r="AW66" i="54"/>
  <c r="AS66" i="53"/>
  <c r="AJ44" i="36"/>
  <c r="BO66" i="53"/>
  <c r="BF66" i="54"/>
  <c r="AH45" i="36"/>
  <c r="AH44" i="36"/>
  <c r="BZ45" i="36"/>
  <c r="AL45" i="36"/>
  <c r="AL44" i="36"/>
  <c r="AJ45" i="36"/>
  <c r="AF44" i="36"/>
  <c r="AF45" i="36"/>
  <c r="AW14" i="54"/>
  <c r="I14" i="54"/>
  <c r="BD14" i="54"/>
  <c r="L27" i="39"/>
  <c r="BB14" i="54"/>
  <c r="N14" i="54"/>
  <c r="AQ14" i="54"/>
  <c r="L13" i="39"/>
  <c r="CA85" i="36"/>
  <c r="BZ85" i="36"/>
  <c r="BY85" i="36"/>
  <c r="BX85" i="36"/>
  <c r="BW85" i="36"/>
  <c r="BV85" i="36"/>
  <c r="BU85" i="36"/>
  <c r="BT85" i="36"/>
  <c r="CA84" i="36"/>
  <c r="BZ84" i="36"/>
  <c r="BY84" i="36"/>
  <c r="BX84" i="36"/>
  <c r="BW84" i="36"/>
  <c r="BV84" i="36"/>
  <c r="BU84" i="36"/>
  <c r="BT84" i="36"/>
  <c r="CA83" i="36"/>
  <c r="BZ83" i="36"/>
  <c r="BY83" i="36"/>
  <c r="BX83" i="36"/>
  <c r="BW83" i="36"/>
  <c r="BV83" i="36"/>
  <c r="BU83" i="36"/>
  <c r="BT83" i="36"/>
  <c r="CA82" i="36"/>
  <c r="BZ82" i="36"/>
  <c r="BY82" i="36"/>
  <c r="BX82" i="36"/>
  <c r="BW82" i="36"/>
  <c r="BV82" i="36"/>
  <c r="BU82" i="36"/>
  <c r="BT82" i="36"/>
  <c r="CA80" i="36"/>
  <c r="BZ80" i="36"/>
  <c r="BY80" i="36"/>
  <c r="BX80" i="36"/>
  <c r="BW80" i="36"/>
  <c r="BV80" i="36"/>
  <c r="BU80" i="36"/>
  <c r="BT80" i="36"/>
  <c r="CA78" i="36"/>
  <c r="BZ78" i="36"/>
  <c r="BY78" i="36"/>
  <c r="BX78" i="36"/>
  <c r="BW78" i="36"/>
  <c r="BV78" i="36"/>
  <c r="BU78" i="36"/>
  <c r="BT78" i="36"/>
  <c r="CA77" i="36"/>
  <c r="BZ77" i="36"/>
  <c r="BY77" i="36"/>
  <c r="BX77" i="36"/>
  <c r="BW77" i="36"/>
  <c r="BV77" i="36"/>
  <c r="BU77" i="36"/>
  <c r="BT77" i="36"/>
  <c r="CA76" i="36"/>
  <c r="BZ76" i="36"/>
  <c r="BY76" i="36"/>
  <c r="BX76" i="36"/>
  <c r="BW76" i="36"/>
  <c r="BV76" i="36"/>
  <c r="BU76" i="36"/>
  <c r="BT76" i="36"/>
  <c r="BR85" i="36"/>
  <c r="BQ85" i="36"/>
  <c r="BP85" i="36"/>
  <c r="BO85" i="36"/>
  <c r="BN85" i="36"/>
  <c r="BM85" i="36"/>
  <c r="BL85" i="36"/>
  <c r="BK85" i="36"/>
  <c r="BR84" i="36"/>
  <c r="BQ84" i="36"/>
  <c r="BP84" i="36"/>
  <c r="BO84" i="36"/>
  <c r="BN84" i="36"/>
  <c r="BM84" i="36"/>
  <c r="BL84" i="36"/>
  <c r="BK84" i="36"/>
  <c r="BR83" i="36"/>
  <c r="BQ83" i="36"/>
  <c r="BP83" i="36"/>
  <c r="BO83" i="36"/>
  <c r="BN83" i="36"/>
  <c r="BM83" i="36"/>
  <c r="BL83" i="36"/>
  <c r="BK83" i="36"/>
  <c r="BR82" i="36"/>
  <c r="BQ82" i="36"/>
  <c r="BP82" i="36"/>
  <c r="BO82" i="36"/>
  <c r="BN82" i="36"/>
  <c r="BM82" i="36"/>
  <c r="BL82" i="36"/>
  <c r="BK82" i="36"/>
  <c r="BR80" i="36"/>
  <c r="BQ80" i="36"/>
  <c r="BP80" i="36"/>
  <c r="BO80" i="36"/>
  <c r="BN80" i="36"/>
  <c r="BM80" i="36"/>
  <c r="BL80" i="36"/>
  <c r="BK80" i="36"/>
  <c r="BR78" i="36"/>
  <c r="BQ78" i="36"/>
  <c r="BP78" i="36"/>
  <c r="BO78" i="36"/>
  <c r="BN78" i="36"/>
  <c r="BM78" i="36"/>
  <c r="BL78" i="36"/>
  <c r="BK78" i="36"/>
  <c r="BR77" i="36"/>
  <c r="BQ77" i="36"/>
  <c r="BP77" i="36"/>
  <c r="BO77" i="36"/>
  <c r="BN77" i="36"/>
  <c r="BM77" i="36"/>
  <c r="BL77" i="36"/>
  <c r="BK77" i="36"/>
  <c r="BR76" i="36"/>
  <c r="BQ76" i="36"/>
  <c r="BP76" i="36"/>
  <c r="BO76" i="36"/>
  <c r="BN76" i="36"/>
  <c r="BM76" i="36"/>
  <c r="BL76" i="36"/>
  <c r="BK76" i="36"/>
  <c r="BG85" i="36"/>
  <c r="BF85" i="36"/>
  <c r="BE85" i="36"/>
  <c r="BD85" i="36"/>
  <c r="BC85" i="36"/>
  <c r="BB85" i="36"/>
  <c r="BA85" i="36"/>
  <c r="AZ85" i="36"/>
  <c r="BG84" i="36"/>
  <c r="BF84" i="36"/>
  <c r="BE84" i="36"/>
  <c r="BD84" i="36"/>
  <c r="BC84" i="36"/>
  <c r="BB84" i="36"/>
  <c r="BA84" i="36"/>
  <c r="AZ84" i="36"/>
  <c r="BG83" i="36"/>
  <c r="BF83" i="36"/>
  <c r="BE83" i="36"/>
  <c r="BD83" i="36"/>
  <c r="BC83" i="36"/>
  <c r="BB83" i="36"/>
  <c r="BA83" i="36"/>
  <c r="AZ83" i="36"/>
  <c r="BG82" i="36"/>
  <c r="BF82" i="36"/>
  <c r="BE82" i="36"/>
  <c r="BD82" i="36"/>
  <c r="BC82" i="36"/>
  <c r="BB82" i="36"/>
  <c r="BA82" i="36"/>
  <c r="AZ82" i="36"/>
  <c r="BG80" i="36"/>
  <c r="BF80" i="36"/>
  <c r="BE80" i="36"/>
  <c r="BD80" i="36"/>
  <c r="BC80" i="36"/>
  <c r="BB80" i="36"/>
  <c r="BA80" i="36"/>
  <c r="AZ80" i="36"/>
  <c r="BG78" i="36"/>
  <c r="BF78" i="36"/>
  <c r="BE78" i="36"/>
  <c r="BD78" i="36"/>
  <c r="BC78" i="36"/>
  <c r="BB78" i="36"/>
  <c r="BA78" i="36"/>
  <c r="AZ78" i="36"/>
  <c r="BG77" i="36"/>
  <c r="BF77" i="36"/>
  <c r="BE77" i="36"/>
  <c r="BD77" i="36"/>
  <c r="BC77" i="36"/>
  <c r="BB77" i="36"/>
  <c r="BA77" i="36"/>
  <c r="AZ77" i="36"/>
  <c r="BG76" i="36"/>
  <c r="BF76" i="36"/>
  <c r="BE76" i="36"/>
  <c r="BD76" i="36"/>
  <c r="BC76" i="36"/>
  <c r="BB76" i="36"/>
  <c r="BA76" i="36"/>
  <c r="AZ76" i="36"/>
  <c r="AX85" i="36"/>
  <c r="AW85" i="36"/>
  <c r="AV85" i="36"/>
  <c r="AU85" i="36"/>
  <c r="AT85" i="36"/>
  <c r="AS85" i="36"/>
  <c r="AR85" i="36"/>
  <c r="AQ85" i="36"/>
  <c r="AX84" i="36"/>
  <c r="AW84" i="36"/>
  <c r="AV84" i="36"/>
  <c r="AU84" i="36"/>
  <c r="AT84" i="36"/>
  <c r="AS84" i="36"/>
  <c r="AR84" i="36"/>
  <c r="AQ84" i="36"/>
  <c r="AX83" i="36"/>
  <c r="AW83" i="36"/>
  <c r="AV83" i="36"/>
  <c r="AU83" i="36"/>
  <c r="AT83" i="36"/>
  <c r="AS83" i="36"/>
  <c r="AR83" i="36"/>
  <c r="AQ83" i="36"/>
  <c r="AX82" i="36"/>
  <c r="AW82" i="36"/>
  <c r="AV82" i="36"/>
  <c r="AU82" i="36"/>
  <c r="AT82" i="36"/>
  <c r="AS82" i="36"/>
  <c r="AR82" i="36"/>
  <c r="AQ82" i="36"/>
  <c r="AX80" i="36"/>
  <c r="AW80" i="36"/>
  <c r="AV80" i="36"/>
  <c r="AU80" i="36"/>
  <c r="AT80" i="36"/>
  <c r="AS80" i="36"/>
  <c r="AR80" i="36"/>
  <c r="AQ80" i="36"/>
  <c r="AX78" i="36"/>
  <c r="AW78" i="36"/>
  <c r="AV78" i="36"/>
  <c r="AU78" i="36"/>
  <c r="AT78" i="36"/>
  <c r="AS78" i="36"/>
  <c r="AR78" i="36"/>
  <c r="AQ78" i="36"/>
  <c r="AX77" i="36"/>
  <c r="AW77" i="36"/>
  <c r="AV77" i="36"/>
  <c r="AU77" i="36"/>
  <c r="AT77" i="36"/>
  <c r="AS77" i="36"/>
  <c r="AR77" i="36"/>
  <c r="AQ77" i="36"/>
  <c r="AX76" i="36"/>
  <c r="AW76" i="36"/>
  <c r="AV76" i="36"/>
  <c r="AU76" i="36"/>
  <c r="AT76" i="36"/>
  <c r="AS76" i="36"/>
  <c r="AR76" i="36"/>
  <c r="AQ76" i="36"/>
  <c r="AM85" i="36"/>
  <c r="AL85" i="36"/>
  <c r="AK85" i="36"/>
  <c r="AJ85" i="36"/>
  <c r="AI85" i="36"/>
  <c r="AH85" i="36"/>
  <c r="AG85" i="36"/>
  <c r="AF85" i="36"/>
  <c r="AM84" i="36"/>
  <c r="AL84" i="36"/>
  <c r="AK84" i="36"/>
  <c r="AJ84" i="36"/>
  <c r="AI84" i="36"/>
  <c r="AH84" i="36"/>
  <c r="AG84" i="36"/>
  <c r="AF84" i="36"/>
  <c r="AM83" i="36"/>
  <c r="AL83" i="36"/>
  <c r="AK83" i="36"/>
  <c r="AJ83" i="36"/>
  <c r="AI83" i="36"/>
  <c r="AH83" i="36"/>
  <c r="AG83" i="36"/>
  <c r="AF83" i="36"/>
  <c r="AM82" i="36"/>
  <c r="AL82" i="36"/>
  <c r="AK82" i="36"/>
  <c r="AJ82" i="36"/>
  <c r="AI82" i="36"/>
  <c r="AH82" i="36"/>
  <c r="AG82" i="36"/>
  <c r="AF82" i="36"/>
  <c r="AM80" i="36"/>
  <c r="AL80" i="36"/>
  <c r="AK80" i="36"/>
  <c r="AJ80" i="36"/>
  <c r="AI80" i="36"/>
  <c r="AH80" i="36"/>
  <c r="AG80" i="36"/>
  <c r="AF80" i="36"/>
  <c r="AM78" i="36"/>
  <c r="AL78" i="36"/>
  <c r="AK78" i="36"/>
  <c r="AJ78" i="36"/>
  <c r="AI78" i="36"/>
  <c r="AH78" i="36"/>
  <c r="AG78" i="36"/>
  <c r="AF78" i="36"/>
  <c r="AM77" i="36"/>
  <c r="AL77" i="36"/>
  <c r="AK77" i="36"/>
  <c r="AJ77" i="36"/>
  <c r="AI77" i="36"/>
  <c r="AH77" i="36"/>
  <c r="AG77" i="36"/>
  <c r="AF77" i="36"/>
  <c r="AM76" i="36"/>
  <c r="AL76" i="36"/>
  <c r="AK76" i="36"/>
  <c r="AJ76" i="36"/>
  <c r="AI76" i="36"/>
  <c r="AH76" i="36"/>
  <c r="AG76" i="36"/>
  <c r="AF76" i="36"/>
  <c r="AD85" i="36"/>
  <c r="AC85" i="36"/>
  <c r="AB85" i="36"/>
  <c r="AA85" i="36"/>
  <c r="Z85" i="36"/>
  <c r="Y85" i="36"/>
  <c r="X85" i="36"/>
  <c r="W85" i="36"/>
  <c r="AD84" i="36"/>
  <c r="AC84" i="36"/>
  <c r="AB84" i="36"/>
  <c r="AA84" i="36"/>
  <c r="Z84" i="36"/>
  <c r="Y84" i="36"/>
  <c r="X84" i="36"/>
  <c r="W84" i="36"/>
  <c r="AD83" i="36"/>
  <c r="AC83" i="36"/>
  <c r="AB83" i="36"/>
  <c r="AA83" i="36"/>
  <c r="Z83" i="36"/>
  <c r="Y83" i="36"/>
  <c r="X83" i="36"/>
  <c r="W83" i="36"/>
  <c r="AD82" i="36"/>
  <c r="AC82" i="36"/>
  <c r="AB82" i="36"/>
  <c r="AA82" i="36"/>
  <c r="Z82" i="36"/>
  <c r="Y82" i="36"/>
  <c r="X82" i="36"/>
  <c r="W82" i="36"/>
  <c r="AD80" i="36"/>
  <c r="AC80" i="36"/>
  <c r="AB80" i="36"/>
  <c r="AA80" i="36"/>
  <c r="Z80" i="36"/>
  <c r="Y80" i="36"/>
  <c r="X80" i="36"/>
  <c r="W80" i="36"/>
  <c r="AD78" i="36"/>
  <c r="AC78" i="36"/>
  <c r="AB78" i="36"/>
  <c r="AA78" i="36"/>
  <c r="Z78" i="36"/>
  <c r="Y78" i="36"/>
  <c r="X78" i="36"/>
  <c r="W78" i="36"/>
  <c r="AD77" i="36"/>
  <c r="AC77" i="36"/>
  <c r="AB77" i="36"/>
  <c r="AA77" i="36"/>
  <c r="Z77" i="36"/>
  <c r="Y77" i="36"/>
  <c r="X77" i="36"/>
  <c r="W77" i="36"/>
  <c r="AD76" i="36"/>
  <c r="AC76" i="36"/>
  <c r="AB76" i="36"/>
  <c r="AA76" i="36"/>
  <c r="Z76" i="36"/>
  <c r="Y76" i="36"/>
  <c r="X76" i="36"/>
  <c r="W76" i="36"/>
  <c r="S85" i="36"/>
  <c r="R85" i="36"/>
  <c r="Q85" i="36"/>
  <c r="P85" i="36"/>
  <c r="O85" i="36"/>
  <c r="N85" i="36"/>
  <c r="M85" i="36"/>
  <c r="L85" i="36"/>
  <c r="S84" i="36"/>
  <c r="R84" i="36"/>
  <c r="Q84" i="36"/>
  <c r="P84" i="36"/>
  <c r="O84" i="36"/>
  <c r="N84" i="36"/>
  <c r="M84" i="36"/>
  <c r="L84" i="36"/>
  <c r="S83" i="36"/>
  <c r="R83" i="36"/>
  <c r="Q83" i="36"/>
  <c r="P83" i="36"/>
  <c r="O83" i="36"/>
  <c r="N83" i="36"/>
  <c r="M83" i="36"/>
  <c r="L83" i="36"/>
  <c r="S82" i="36"/>
  <c r="R82" i="36"/>
  <c r="Q82" i="36"/>
  <c r="P82" i="36"/>
  <c r="O82" i="36"/>
  <c r="N82" i="36"/>
  <c r="M82" i="36"/>
  <c r="L82" i="36"/>
  <c r="S80" i="36"/>
  <c r="R80" i="36"/>
  <c r="Q80" i="36"/>
  <c r="P80" i="36"/>
  <c r="O80" i="36"/>
  <c r="N80" i="36"/>
  <c r="M80" i="36"/>
  <c r="L80" i="36"/>
  <c r="S78" i="36"/>
  <c r="R78" i="36"/>
  <c r="Q78" i="36"/>
  <c r="P78" i="36"/>
  <c r="O78" i="36"/>
  <c r="N78" i="36"/>
  <c r="M78" i="36"/>
  <c r="L78" i="36"/>
  <c r="S77" i="36"/>
  <c r="R77" i="36"/>
  <c r="Q77" i="36"/>
  <c r="P77" i="36"/>
  <c r="O77" i="36"/>
  <c r="N77" i="36"/>
  <c r="M77" i="36"/>
  <c r="L77" i="36"/>
  <c r="S76" i="36"/>
  <c r="R76" i="36"/>
  <c r="Q76" i="36"/>
  <c r="P76" i="36"/>
  <c r="O76" i="36"/>
  <c r="N76" i="36"/>
  <c r="M76" i="36"/>
  <c r="L76" i="36"/>
  <c r="J85" i="36"/>
  <c r="I85" i="36"/>
  <c r="H85" i="36"/>
  <c r="G85" i="36"/>
  <c r="F85" i="36"/>
  <c r="E85" i="36"/>
  <c r="D85" i="36"/>
  <c r="J84" i="36"/>
  <c r="I84" i="36"/>
  <c r="H84" i="36"/>
  <c r="G84" i="36"/>
  <c r="F84" i="36"/>
  <c r="E84" i="36"/>
  <c r="D84" i="36"/>
  <c r="J83" i="36"/>
  <c r="I83" i="36"/>
  <c r="H83" i="36"/>
  <c r="G83" i="36"/>
  <c r="F83" i="36"/>
  <c r="E83" i="36"/>
  <c r="D83" i="36"/>
  <c r="J82" i="36"/>
  <c r="I82" i="36"/>
  <c r="H82" i="36"/>
  <c r="G82" i="36"/>
  <c r="F82" i="36"/>
  <c r="E82" i="36"/>
  <c r="D82" i="36"/>
  <c r="J80" i="36"/>
  <c r="I80" i="36"/>
  <c r="H80" i="36"/>
  <c r="G80" i="36"/>
  <c r="F80" i="36"/>
  <c r="E80" i="36"/>
  <c r="D80" i="36"/>
  <c r="J78" i="36"/>
  <c r="I78" i="36"/>
  <c r="H78" i="36"/>
  <c r="G78" i="36"/>
  <c r="F78" i="36"/>
  <c r="E78" i="36"/>
  <c r="D78" i="36"/>
  <c r="J77" i="36"/>
  <c r="I77" i="36"/>
  <c r="H77" i="36"/>
  <c r="G77" i="36"/>
  <c r="F77" i="36"/>
  <c r="E77" i="36"/>
  <c r="D77" i="36"/>
  <c r="J76" i="36"/>
  <c r="I76" i="36"/>
  <c r="H76" i="36"/>
  <c r="G76" i="36"/>
  <c r="F76" i="36"/>
  <c r="E76" i="36"/>
  <c r="D76" i="36"/>
  <c r="C85" i="36"/>
  <c r="C84" i="36"/>
  <c r="C83" i="36"/>
  <c r="C82" i="36"/>
  <c r="C80" i="36"/>
  <c r="C78" i="36"/>
  <c r="C77" i="36"/>
  <c r="C76" i="36"/>
  <c r="CA64" i="36"/>
  <c r="BZ64" i="36"/>
  <c r="BY64" i="36"/>
  <c r="BX64" i="36"/>
  <c r="BW64" i="36"/>
  <c r="BV64" i="36"/>
  <c r="BU64" i="36"/>
  <c r="BT64" i="36"/>
  <c r="CA63" i="36"/>
  <c r="BZ63" i="36"/>
  <c r="BY63" i="36"/>
  <c r="BX63" i="36"/>
  <c r="BW63" i="36"/>
  <c r="BV63" i="36"/>
  <c r="BU63" i="36"/>
  <c r="BT63" i="36"/>
  <c r="CA62" i="36"/>
  <c r="CA70" i="36" s="1"/>
  <c r="BZ62" i="36"/>
  <c r="BZ70" i="36" s="1"/>
  <c r="BY62" i="36"/>
  <c r="BX62" i="36"/>
  <c r="BW62" i="36"/>
  <c r="BW70" i="36" s="1"/>
  <c r="BV62" i="36"/>
  <c r="BV70" i="36" s="1"/>
  <c r="BU62" i="36"/>
  <c r="BT62" i="36"/>
  <c r="CA61" i="36"/>
  <c r="BZ61" i="36"/>
  <c r="BY61" i="36"/>
  <c r="BX61" i="36"/>
  <c r="BW61" i="36"/>
  <c r="BV61" i="36"/>
  <c r="BU61" i="36"/>
  <c r="BT61" i="36"/>
  <c r="CA60" i="36"/>
  <c r="BZ60" i="36"/>
  <c r="BY60" i="36"/>
  <c r="BX60" i="36"/>
  <c r="BW60" i="36"/>
  <c r="BV60" i="36"/>
  <c r="BU60" i="36"/>
  <c r="BT60" i="36"/>
  <c r="CA59" i="36"/>
  <c r="BZ59" i="36"/>
  <c r="BY59" i="36"/>
  <c r="BX59" i="36"/>
  <c r="BW59" i="36"/>
  <c r="BV59" i="36"/>
  <c r="BU59" i="36"/>
  <c r="BT59" i="36"/>
  <c r="CA58" i="36"/>
  <c r="BZ58" i="36"/>
  <c r="BY58" i="36"/>
  <c r="BX58" i="36"/>
  <c r="BW58" i="36"/>
  <c r="BV58" i="36"/>
  <c r="BU58" i="36"/>
  <c r="BT58" i="36"/>
  <c r="CA57" i="36"/>
  <c r="BZ57" i="36"/>
  <c r="BY57" i="36"/>
  <c r="BX57" i="36"/>
  <c r="BW57" i="36"/>
  <c r="BV57" i="36"/>
  <c r="BU57" i="36"/>
  <c r="BT57" i="36"/>
  <c r="CA56" i="36"/>
  <c r="BZ56" i="36"/>
  <c r="BY56" i="36"/>
  <c r="BX56" i="36"/>
  <c r="BW56" i="36"/>
  <c r="BV56" i="36"/>
  <c r="BU56" i="36"/>
  <c r="BT56" i="36"/>
  <c r="CA55" i="36"/>
  <c r="BZ55" i="36"/>
  <c r="BY55" i="36"/>
  <c r="BX55" i="36"/>
  <c r="BW55" i="36"/>
  <c r="BV55" i="36"/>
  <c r="BU55" i="36"/>
  <c r="BT55" i="36"/>
  <c r="CA54" i="36"/>
  <c r="BZ54" i="36"/>
  <c r="BY54" i="36"/>
  <c r="BX54" i="36"/>
  <c r="BW54" i="36"/>
  <c r="BV54" i="36"/>
  <c r="BU54" i="36"/>
  <c r="BT54" i="36"/>
  <c r="CA53" i="36"/>
  <c r="BZ53" i="36"/>
  <c r="BY53" i="36"/>
  <c r="BX53" i="36"/>
  <c r="BW53" i="36"/>
  <c r="BV53" i="36"/>
  <c r="BU53" i="36"/>
  <c r="BT53" i="36"/>
  <c r="CA52" i="36"/>
  <c r="BZ52" i="36"/>
  <c r="BY52" i="36"/>
  <c r="BX52" i="36"/>
  <c r="BW52" i="36"/>
  <c r="BV52" i="36"/>
  <c r="BU52" i="36"/>
  <c r="BT52" i="36"/>
  <c r="CA51" i="36"/>
  <c r="BZ51" i="36"/>
  <c r="BY51" i="36"/>
  <c r="BX51" i="36"/>
  <c r="BW51" i="36"/>
  <c r="BV51" i="36"/>
  <c r="BU51" i="36"/>
  <c r="BT51" i="36"/>
  <c r="CA50" i="36"/>
  <c r="BZ50" i="36"/>
  <c r="BY50" i="36"/>
  <c r="BX50" i="36"/>
  <c r="BW50" i="36"/>
  <c r="BV50" i="36"/>
  <c r="BU50" i="36"/>
  <c r="BT50" i="36"/>
  <c r="CA49" i="36"/>
  <c r="BZ49" i="36"/>
  <c r="BY49" i="36"/>
  <c r="BX49" i="36"/>
  <c r="BW49" i="36"/>
  <c r="BV49" i="36"/>
  <c r="BU49" i="36"/>
  <c r="BT49" i="36"/>
  <c r="CA48" i="36"/>
  <c r="BZ48" i="36"/>
  <c r="BY48" i="36"/>
  <c r="BX48" i="36"/>
  <c r="BW48" i="36"/>
  <c r="BV48" i="36"/>
  <c r="BU48" i="36"/>
  <c r="BT48" i="36"/>
  <c r="BZ47" i="36"/>
  <c r="BX47" i="36"/>
  <c r="BV47" i="36"/>
  <c r="BT47" i="36"/>
  <c r="BZ46" i="36"/>
  <c r="BX46" i="36"/>
  <c r="BW46" i="36"/>
  <c r="BV46" i="36"/>
  <c r="BU46" i="36"/>
  <c r="BT46" i="36"/>
  <c r="CA43" i="36"/>
  <c r="BZ43" i="36"/>
  <c r="BY43" i="36"/>
  <c r="BX43" i="36"/>
  <c r="BW43" i="36"/>
  <c r="BV43" i="36"/>
  <c r="BU43" i="36"/>
  <c r="BT43" i="36"/>
  <c r="CA42" i="36"/>
  <c r="BZ42" i="36"/>
  <c r="BY42" i="36"/>
  <c r="BX42" i="36"/>
  <c r="BW42" i="36"/>
  <c r="BV42" i="36"/>
  <c r="BU42" i="36"/>
  <c r="BT42" i="36"/>
  <c r="CA41" i="36"/>
  <c r="BZ41" i="36"/>
  <c r="BY41" i="36"/>
  <c r="BX41" i="36"/>
  <c r="BW41" i="36"/>
  <c r="BV41" i="36"/>
  <c r="BU41" i="36"/>
  <c r="BT41" i="36"/>
  <c r="CA40" i="36"/>
  <c r="BZ40" i="36"/>
  <c r="BY40" i="36"/>
  <c r="BX40" i="36"/>
  <c r="BW40" i="36"/>
  <c r="BV40" i="36"/>
  <c r="BU40" i="36"/>
  <c r="BT40" i="36"/>
  <c r="CA39" i="36"/>
  <c r="BZ39" i="36"/>
  <c r="BY39" i="36"/>
  <c r="BX39" i="36"/>
  <c r="BW39" i="36"/>
  <c r="BV39" i="36"/>
  <c r="BU39" i="36"/>
  <c r="BT39" i="36"/>
  <c r="CA38" i="36"/>
  <c r="BZ38" i="36"/>
  <c r="BY38" i="36"/>
  <c r="BX38" i="36"/>
  <c r="BW38" i="36"/>
  <c r="BV38" i="36"/>
  <c r="BU38" i="36"/>
  <c r="BT38" i="36"/>
  <c r="CA37" i="36"/>
  <c r="BZ37" i="36"/>
  <c r="BY37" i="36"/>
  <c r="BX37" i="36"/>
  <c r="BW37" i="36"/>
  <c r="BV37" i="36"/>
  <c r="BU37" i="36"/>
  <c r="BT37" i="36"/>
  <c r="CA36" i="36"/>
  <c r="BZ36" i="36"/>
  <c r="BY36" i="36"/>
  <c r="BX36" i="36"/>
  <c r="BW36" i="36"/>
  <c r="BV36" i="36"/>
  <c r="BU36" i="36"/>
  <c r="BT36" i="36"/>
  <c r="CA35" i="36"/>
  <c r="BZ35" i="36"/>
  <c r="BY35" i="36"/>
  <c r="BX35" i="36"/>
  <c r="BW35" i="36"/>
  <c r="BV35" i="36"/>
  <c r="BU35" i="36"/>
  <c r="BT35" i="36"/>
  <c r="BR64" i="36"/>
  <c r="BQ64" i="36"/>
  <c r="BP64" i="36"/>
  <c r="BO64" i="36"/>
  <c r="BN64" i="36"/>
  <c r="BM64" i="36"/>
  <c r="BL64" i="36"/>
  <c r="BK64" i="36"/>
  <c r="BR63" i="36"/>
  <c r="BQ63" i="36"/>
  <c r="BP63" i="36"/>
  <c r="BO63" i="36"/>
  <c r="BN63" i="36"/>
  <c r="BM63" i="36"/>
  <c r="BL63" i="36"/>
  <c r="BK63" i="36"/>
  <c r="BR62" i="36"/>
  <c r="BR70" i="36" s="1"/>
  <c r="BQ62" i="36"/>
  <c r="BQ70" i="36" s="1"/>
  <c r="BP62" i="36"/>
  <c r="BO62" i="36"/>
  <c r="BN62" i="36"/>
  <c r="BN70" i="36" s="1"/>
  <c r="BM62" i="36"/>
  <c r="BM70" i="36" s="1"/>
  <c r="BL62" i="36"/>
  <c r="BK62" i="36"/>
  <c r="BR61" i="36"/>
  <c r="BQ61" i="36"/>
  <c r="BP61" i="36"/>
  <c r="BO61" i="36"/>
  <c r="BN61" i="36"/>
  <c r="BM61" i="36"/>
  <c r="BL61" i="36"/>
  <c r="BK61" i="36"/>
  <c r="BR60" i="36"/>
  <c r="BQ60" i="36"/>
  <c r="BP60" i="36"/>
  <c r="BO60" i="36"/>
  <c r="BN60" i="36"/>
  <c r="BM60" i="36"/>
  <c r="BL60" i="36"/>
  <c r="BK60" i="36"/>
  <c r="BR59" i="36"/>
  <c r="BQ59" i="36"/>
  <c r="BP59" i="36"/>
  <c r="BO59" i="36"/>
  <c r="BN59" i="36"/>
  <c r="BM59" i="36"/>
  <c r="BL59" i="36"/>
  <c r="BK59" i="36"/>
  <c r="BR58" i="36"/>
  <c r="BQ58" i="36"/>
  <c r="BP58" i="36"/>
  <c r="BO58" i="36"/>
  <c r="BN58" i="36"/>
  <c r="BM58" i="36"/>
  <c r="BL58" i="36"/>
  <c r="BK58" i="36"/>
  <c r="BR57" i="36"/>
  <c r="BQ57" i="36"/>
  <c r="BP57" i="36"/>
  <c r="BO57" i="36"/>
  <c r="BN57" i="36"/>
  <c r="BM57" i="36"/>
  <c r="BL57" i="36"/>
  <c r="BK57" i="36"/>
  <c r="BR56" i="36"/>
  <c r="BQ56" i="36"/>
  <c r="BP56" i="36"/>
  <c r="BO56" i="36"/>
  <c r="BN56" i="36"/>
  <c r="BM56" i="36"/>
  <c r="BL56" i="36"/>
  <c r="BK56" i="36"/>
  <c r="BR55" i="36"/>
  <c r="BQ55" i="36"/>
  <c r="BP55" i="36"/>
  <c r="BO55" i="36"/>
  <c r="BN55" i="36"/>
  <c r="BM55" i="36"/>
  <c r="BL55" i="36"/>
  <c r="BK55" i="36"/>
  <c r="BR54" i="36"/>
  <c r="BQ54" i="36"/>
  <c r="BP54" i="36"/>
  <c r="BO54" i="36"/>
  <c r="BN54" i="36"/>
  <c r="BM54" i="36"/>
  <c r="BL54" i="36"/>
  <c r="BK54" i="36"/>
  <c r="BR53" i="36"/>
  <c r="BQ53" i="36"/>
  <c r="BP53" i="36"/>
  <c r="BO53" i="36"/>
  <c r="BN53" i="36"/>
  <c r="BM53" i="36"/>
  <c r="BL53" i="36"/>
  <c r="BK53" i="36"/>
  <c r="BR52" i="36"/>
  <c r="BQ52" i="36"/>
  <c r="BP52" i="36"/>
  <c r="BO52" i="36"/>
  <c r="BN52" i="36"/>
  <c r="BM52" i="36"/>
  <c r="BL52" i="36"/>
  <c r="BK52" i="36"/>
  <c r="BR51" i="36"/>
  <c r="BQ51" i="36"/>
  <c r="BP51" i="36"/>
  <c r="BO51" i="36"/>
  <c r="BN51" i="36"/>
  <c r="BM51" i="36"/>
  <c r="BL51" i="36"/>
  <c r="BK51" i="36"/>
  <c r="BR50" i="36"/>
  <c r="BQ50" i="36"/>
  <c r="BP50" i="36"/>
  <c r="BO50" i="36"/>
  <c r="BN50" i="36"/>
  <c r="BM50" i="36"/>
  <c r="BL50" i="36"/>
  <c r="BK50" i="36"/>
  <c r="BR49" i="36"/>
  <c r="BQ49" i="36"/>
  <c r="BP49" i="36"/>
  <c r="BO49" i="36"/>
  <c r="BN49" i="36"/>
  <c r="BM49" i="36"/>
  <c r="BL49" i="36"/>
  <c r="BK49" i="36"/>
  <c r="BR48" i="36"/>
  <c r="BQ48" i="36"/>
  <c r="BP48" i="36"/>
  <c r="BO48" i="36"/>
  <c r="BN48" i="36"/>
  <c r="BM48" i="36"/>
  <c r="BL48" i="36"/>
  <c r="BK48" i="36"/>
  <c r="BR43" i="36"/>
  <c r="BQ43" i="36"/>
  <c r="BP43" i="36"/>
  <c r="BO43" i="36"/>
  <c r="BN43" i="36"/>
  <c r="BM43" i="36"/>
  <c r="BL43" i="36"/>
  <c r="BK43" i="36"/>
  <c r="BR42" i="36"/>
  <c r="BQ42" i="36"/>
  <c r="BP42" i="36"/>
  <c r="BO42" i="36"/>
  <c r="BN42" i="36"/>
  <c r="BM42" i="36"/>
  <c r="BL42" i="36"/>
  <c r="BK42" i="36"/>
  <c r="BR41" i="36"/>
  <c r="BQ41" i="36"/>
  <c r="BP41" i="36"/>
  <c r="BO41" i="36"/>
  <c r="BN41" i="36"/>
  <c r="BM41" i="36"/>
  <c r="BL41" i="36"/>
  <c r="BK41" i="36"/>
  <c r="BR40" i="36"/>
  <c r="BQ40" i="36"/>
  <c r="BP40" i="36"/>
  <c r="BO40" i="36"/>
  <c r="BN40" i="36"/>
  <c r="BM40" i="36"/>
  <c r="BL40" i="36"/>
  <c r="BK40" i="36"/>
  <c r="BR39" i="36"/>
  <c r="BQ39" i="36"/>
  <c r="BP39" i="36"/>
  <c r="BO39" i="36"/>
  <c r="BN39" i="36"/>
  <c r="BM39" i="36"/>
  <c r="BL39" i="36"/>
  <c r="BK39" i="36"/>
  <c r="BR38" i="36"/>
  <c r="BQ38" i="36"/>
  <c r="BP38" i="36"/>
  <c r="BO38" i="36"/>
  <c r="BN38" i="36"/>
  <c r="BM38" i="36"/>
  <c r="BL38" i="36"/>
  <c r="BK38" i="36"/>
  <c r="BR37" i="36"/>
  <c r="BQ37" i="36"/>
  <c r="BP37" i="36"/>
  <c r="BO37" i="36"/>
  <c r="BN37" i="36"/>
  <c r="BM37" i="36"/>
  <c r="BL37" i="36"/>
  <c r="BK37" i="36"/>
  <c r="BR36" i="36"/>
  <c r="BQ36" i="36"/>
  <c r="BP36" i="36"/>
  <c r="BO36" i="36"/>
  <c r="BN36" i="36"/>
  <c r="BM36" i="36"/>
  <c r="BL36" i="36"/>
  <c r="BK36" i="36"/>
  <c r="BR35" i="36"/>
  <c r="BQ35" i="36"/>
  <c r="BP35" i="36"/>
  <c r="BO35" i="36"/>
  <c r="BN35" i="36"/>
  <c r="BM35" i="36"/>
  <c r="BL35" i="36"/>
  <c r="BK35" i="36"/>
  <c r="BG64" i="36"/>
  <c r="BF64" i="36"/>
  <c r="BE64" i="36"/>
  <c r="BD64" i="36"/>
  <c r="BC64" i="36"/>
  <c r="BB64" i="36"/>
  <c r="BA64" i="36"/>
  <c r="AZ64" i="36"/>
  <c r="BG63" i="36"/>
  <c r="BF63" i="36"/>
  <c r="BE63" i="36"/>
  <c r="BD63" i="36"/>
  <c r="BC63" i="36"/>
  <c r="BB63" i="36"/>
  <c r="BA63" i="36"/>
  <c r="AZ63" i="36"/>
  <c r="BG62" i="36"/>
  <c r="BG70" i="36" s="1"/>
  <c r="BF62" i="36"/>
  <c r="BF70" i="36" s="1"/>
  <c r="BE62" i="36"/>
  <c r="BD62" i="36"/>
  <c r="BC62" i="36"/>
  <c r="BC70" i="36" s="1"/>
  <c r="BB62" i="36"/>
  <c r="BB70" i="36" s="1"/>
  <c r="BA62" i="36"/>
  <c r="AZ62" i="36"/>
  <c r="BG61" i="36"/>
  <c r="BF61" i="36"/>
  <c r="BE61" i="36"/>
  <c r="BD61" i="36"/>
  <c r="BC61" i="36"/>
  <c r="BB61" i="36"/>
  <c r="BA61" i="36"/>
  <c r="AZ61" i="36"/>
  <c r="BG60" i="36"/>
  <c r="BF60" i="36"/>
  <c r="BE60" i="36"/>
  <c r="BD60" i="36"/>
  <c r="BC60" i="36"/>
  <c r="BB60" i="36"/>
  <c r="BA60" i="36"/>
  <c r="AZ60" i="36"/>
  <c r="BG59" i="36"/>
  <c r="BF59" i="36"/>
  <c r="BE59" i="36"/>
  <c r="BD59" i="36"/>
  <c r="BC59" i="36"/>
  <c r="BB59" i="36"/>
  <c r="BA59" i="36"/>
  <c r="AZ59" i="36"/>
  <c r="BG58" i="36"/>
  <c r="BF58" i="36"/>
  <c r="BE58" i="36"/>
  <c r="BD58" i="36"/>
  <c r="BC58" i="36"/>
  <c r="BB58" i="36"/>
  <c r="BA58" i="36"/>
  <c r="AZ58" i="36"/>
  <c r="BG57" i="36"/>
  <c r="BF57" i="36"/>
  <c r="BE57" i="36"/>
  <c r="BD57" i="36"/>
  <c r="BC57" i="36"/>
  <c r="BB57" i="36"/>
  <c r="BA57" i="36"/>
  <c r="AZ57" i="36"/>
  <c r="BG56" i="36"/>
  <c r="BF56" i="36"/>
  <c r="BE56" i="36"/>
  <c r="BD56" i="36"/>
  <c r="BC56" i="36"/>
  <c r="BB56" i="36"/>
  <c r="BA56" i="36"/>
  <c r="AZ56" i="36"/>
  <c r="BG55" i="36"/>
  <c r="BF55" i="36"/>
  <c r="BE55" i="36"/>
  <c r="BD55" i="36"/>
  <c r="BC55" i="36"/>
  <c r="BB55" i="36"/>
  <c r="BA55" i="36"/>
  <c r="AZ55" i="36"/>
  <c r="BG54" i="36"/>
  <c r="BF54" i="36"/>
  <c r="BE54" i="36"/>
  <c r="BD54" i="36"/>
  <c r="BC54" i="36"/>
  <c r="BB54" i="36"/>
  <c r="BA54" i="36"/>
  <c r="AZ54" i="36"/>
  <c r="BG53" i="36"/>
  <c r="BF53" i="36"/>
  <c r="BE53" i="36"/>
  <c r="BD53" i="36"/>
  <c r="BC53" i="36"/>
  <c r="BB53" i="36"/>
  <c r="BA53" i="36"/>
  <c r="AZ53" i="36"/>
  <c r="BG52" i="36"/>
  <c r="BF52" i="36"/>
  <c r="BE52" i="36"/>
  <c r="BD52" i="36"/>
  <c r="BC52" i="36"/>
  <c r="BB52" i="36"/>
  <c r="BA52" i="36"/>
  <c r="AZ52" i="36"/>
  <c r="BG51" i="36"/>
  <c r="BF51" i="36"/>
  <c r="BE51" i="36"/>
  <c r="BD51" i="36"/>
  <c r="BC51" i="36"/>
  <c r="BB51" i="36"/>
  <c r="BA51" i="36"/>
  <c r="AZ51" i="36"/>
  <c r="BG50" i="36"/>
  <c r="BF50" i="36"/>
  <c r="BE50" i="36"/>
  <c r="BD50" i="36"/>
  <c r="BC50" i="36"/>
  <c r="BB50" i="36"/>
  <c r="BA50" i="36"/>
  <c r="AZ50" i="36"/>
  <c r="BG49" i="36"/>
  <c r="BF49" i="36"/>
  <c r="BE49" i="36"/>
  <c r="BD49" i="36"/>
  <c r="BC49" i="36"/>
  <c r="BB49" i="36"/>
  <c r="BA49" i="36"/>
  <c r="AZ49" i="36"/>
  <c r="BG48" i="36"/>
  <c r="BF48" i="36"/>
  <c r="BE48" i="36"/>
  <c r="BD48" i="36"/>
  <c r="BC48" i="36"/>
  <c r="BB48" i="36"/>
  <c r="BA48" i="36"/>
  <c r="AZ48" i="36"/>
  <c r="BF47" i="36"/>
  <c r="BD47" i="36"/>
  <c r="BB47" i="36"/>
  <c r="AZ47" i="36"/>
  <c r="BG46" i="36"/>
  <c r="BF46" i="36"/>
  <c r="BE46" i="36"/>
  <c r="BD46" i="36"/>
  <c r="BC46" i="36"/>
  <c r="BB46" i="36"/>
  <c r="BA46" i="36"/>
  <c r="AZ46" i="36"/>
  <c r="BG43" i="36"/>
  <c r="BF43" i="36"/>
  <c r="BE43" i="36"/>
  <c r="BD43" i="36"/>
  <c r="BC43" i="36"/>
  <c r="BB43" i="36"/>
  <c r="BA43" i="36"/>
  <c r="AZ43" i="36"/>
  <c r="BG42" i="36"/>
  <c r="BF42" i="36"/>
  <c r="BE42" i="36"/>
  <c r="BD42" i="36"/>
  <c r="BC42" i="36"/>
  <c r="BB42" i="36"/>
  <c r="BA42" i="36"/>
  <c r="AZ42" i="36"/>
  <c r="BG41" i="36"/>
  <c r="BF41" i="36"/>
  <c r="BE41" i="36"/>
  <c r="BD41" i="36"/>
  <c r="BC41" i="36"/>
  <c r="BB41" i="36"/>
  <c r="BA41" i="36"/>
  <c r="AZ41" i="36"/>
  <c r="BG40" i="36"/>
  <c r="BF40" i="36"/>
  <c r="BE40" i="36"/>
  <c r="BD40" i="36"/>
  <c r="BC40" i="36"/>
  <c r="BB40" i="36"/>
  <c r="BA40" i="36"/>
  <c r="AZ40" i="36"/>
  <c r="BG39" i="36"/>
  <c r="BF39" i="36"/>
  <c r="BE39" i="36"/>
  <c r="BD39" i="36"/>
  <c r="BC39" i="36"/>
  <c r="BB39" i="36"/>
  <c r="BA39" i="36"/>
  <c r="AZ39" i="36"/>
  <c r="BG38" i="36"/>
  <c r="BF38" i="36"/>
  <c r="BE38" i="36"/>
  <c r="BD38" i="36"/>
  <c r="BC38" i="36"/>
  <c r="BB38" i="36"/>
  <c r="BA38" i="36"/>
  <c r="AZ38" i="36"/>
  <c r="BG37" i="36"/>
  <c r="BF37" i="36"/>
  <c r="BE37" i="36"/>
  <c r="BD37" i="36"/>
  <c r="BC37" i="36"/>
  <c r="BB37" i="36"/>
  <c r="BA37" i="36"/>
  <c r="AZ37" i="36"/>
  <c r="BG36" i="36"/>
  <c r="BF36" i="36"/>
  <c r="BE36" i="36"/>
  <c r="BD36" i="36"/>
  <c r="BC36" i="36"/>
  <c r="BB36" i="36"/>
  <c r="BA36" i="36"/>
  <c r="AZ36" i="36"/>
  <c r="BG35" i="36"/>
  <c r="BF35" i="36"/>
  <c r="BE35" i="36"/>
  <c r="BD35" i="36"/>
  <c r="BC35" i="36"/>
  <c r="BB35" i="36"/>
  <c r="BA35" i="36"/>
  <c r="AZ35" i="36"/>
  <c r="AX64" i="36"/>
  <c r="AW64" i="36"/>
  <c r="AV64" i="36"/>
  <c r="AU64" i="36"/>
  <c r="AT64" i="36"/>
  <c r="AS64" i="36"/>
  <c r="AR64" i="36"/>
  <c r="AQ64" i="36"/>
  <c r="AX63" i="36"/>
  <c r="AW63" i="36"/>
  <c r="AV63" i="36"/>
  <c r="AU63" i="36"/>
  <c r="AT63" i="36"/>
  <c r="AS63" i="36"/>
  <c r="AR63" i="36"/>
  <c r="AQ63" i="36"/>
  <c r="AX62" i="36"/>
  <c r="AX70" i="36" s="1"/>
  <c r="AW62" i="36"/>
  <c r="AW70" i="36" s="1"/>
  <c r="AV62" i="36"/>
  <c r="AU62" i="36"/>
  <c r="AT62" i="36"/>
  <c r="AT70" i="36" s="1"/>
  <c r="AS62" i="36"/>
  <c r="AS70" i="36" s="1"/>
  <c r="AR62" i="36"/>
  <c r="AQ62" i="36"/>
  <c r="AX61" i="36"/>
  <c r="AW61" i="36"/>
  <c r="AV61" i="36"/>
  <c r="AU61" i="36"/>
  <c r="AT61" i="36"/>
  <c r="AS61" i="36"/>
  <c r="AR61" i="36"/>
  <c r="AQ61" i="36"/>
  <c r="AX60" i="36"/>
  <c r="AW60" i="36"/>
  <c r="AV60" i="36"/>
  <c r="AU60" i="36"/>
  <c r="AT60" i="36"/>
  <c r="AS60" i="36"/>
  <c r="AR60" i="36"/>
  <c r="AQ60" i="36"/>
  <c r="AX59" i="36"/>
  <c r="AW59" i="36"/>
  <c r="AV59" i="36"/>
  <c r="AU59" i="36"/>
  <c r="AT59" i="36"/>
  <c r="AS59" i="36"/>
  <c r="AR59" i="36"/>
  <c r="AQ59" i="36"/>
  <c r="AX58" i="36"/>
  <c r="AW58" i="36"/>
  <c r="AV58" i="36"/>
  <c r="AU58" i="36"/>
  <c r="AT58" i="36"/>
  <c r="AS58" i="36"/>
  <c r="AR58" i="36"/>
  <c r="AQ58" i="36"/>
  <c r="AX57" i="36"/>
  <c r="AW57" i="36"/>
  <c r="AV57" i="36"/>
  <c r="AU57" i="36"/>
  <c r="AT57" i="36"/>
  <c r="AS57" i="36"/>
  <c r="AR57" i="36"/>
  <c r="AQ57" i="36"/>
  <c r="AX56" i="36"/>
  <c r="AW56" i="36"/>
  <c r="AV56" i="36"/>
  <c r="AU56" i="36"/>
  <c r="AT56" i="36"/>
  <c r="AS56" i="36"/>
  <c r="AR56" i="36"/>
  <c r="AQ56" i="36"/>
  <c r="AX55" i="36"/>
  <c r="AW55" i="36"/>
  <c r="AV55" i="36"/>
  <c r="AU55" i="36"/>
  <c r="AT55" i="36"/>
  <c r="AS55" i="36"/>
  <c r="AR55" i="36"/>
  <c r="AQ55" i="36"/>
  <c r="AX54" i="36"/>
  <c r="AW54" i="36"/>
  <c r="AV54" i="36"/>
  <c r="AU54" i="36"/>
  <c r="AT54" i="36"/>
  <c r="AS54" i="36"/>
  <c r="AR54" i="36"/>
  <c r="AQ54" i="36"/>
  <c r="AX53" i="36"/>
  <c r="AW53" i="36"/>
  <c r="AV53" i="36"/>
  <c r="AU53" i="36"/>
  <c r="AT53" i="36"/>
  <c r="AS53" i="36"/>
  <c r="AR53" i="36"/>
  <c r="AQ53" i="36"/>
  <c r="AX52" i="36"/>
  <c r="AW52" i="36"/>
  <c r="AV52" i="36"/>
  <c r="AU52" i="36"/>
  <c r="AT52" i="36"/>
  <c r="AS52" i="36"/>
  <c r="AR52" i="36"/>
  <c r="AQ52" i="36"/>
  <c r="AX51" i="36"/>
  <c r="AW51" i="36"/>
  <c r="AV51" i="36"/>
  <c r="AU51" i="36"/>
  <c r="AT51" i="36"/>
  <c r="AS51" i="36"/>
  <c r="AR51" i="36"/>
  <c r="AQ51" i="36"/>
  <c r="AX50" i="36"/>
  <c r="AW50" i="36"/>
  <c r="AV50" i="36"/>
  <c r="AU50" i="36"/>
  <c r="AT50" i="36"/>
  <c r="AS50" i="36"/>
  <c r="AR50" i="36"/>
  <c r="AQ50" i="36"/>
  <c r="AX49" i="36"/>
  <c r="AW49" i="36"/>
  <c r="AV49" i="36"/>
  <c r="AU49" i="36"/>
  <c r="AT49" i="36"/>
  <c r="AS49" i="36"/>
  <c r="AR49" i="36"/>
  <c r="AQ49" i="36"/>
  <c r="AX48" i="36"/>
  <c r="AW48" i="36"/>
  <c r="AV48" i="36"/>
  <c r="AU48" i="36"/>
  <c r="AT48" i="36"/>
  <c r="AS48" i="36"/>
  <c r="AR48" i="36"/>
  <c r="AQ48" i="36"/>
  <c r="AX43" i="36"/>
  <c r="AW43" i="36"/>
  <c r="AV43" i="36"/>
  <c r="AU43" i="36"/>
  <c r="AT43" i="36"/>
  <c r="AS43" i="36"/>
  <c r="AR43" i="36"/>
  <c r="AQ43" i="36"/>
  <c r="AX42" i="36"/>
  <c r="AW42" i="36"/>
  <c r="AV42" i="36"/>
  <c r="AU42" i="36"/>
  <c r="AT42" i="36"/>
  <c r="AS42" i="36"/>
  <c r="AR42" i="36"/>
  <c r="AQ42" i="36"/>
  <c r="AX41" i="36"/>
  <c r="AW41" i="36"/>
  <c r="AV41" i="36"/>
  <c r="AU41" i="36"/>
  <c r="AT41" i="36"/>
  <c r="AS41" i="36"/>
  <c r="AR41" i="36"/>
  <c r="AQ41" i="36"/>
  <c r="AX40" i="36"/>
  <c r="AW40" i="36"/>
  <c r="AV40" i="36"/>
  <c r="AU40" i="36"/>
  <c r="AT40" i="36"/>
  <c r="AS40" i="36"/>
  <c r="AR40" i="36"/>
  <c r="AQ40" i="36"/>
  <c r="AX39" i="36"/>
  <c r="AW39" i="36"/>
  <c r="AV39" i="36"/>
  <c r="AU39" i="36"/>
  <c r="AT39" i="36"/>
  <c r="AS39" i="36"/>
  <c r="AR39" i="36"/>
  <c r="AQ39" i="36"/>
  <c r="AX38" i="36"/>
  <c r="AW38" i="36"/>
  <c r="AV38" i="36"/>
  <c r="AU38" i="36"/>
  <c r="AT38" i="36"/>
  <c r="AS38" i="36"/>
  <c r="AR38" i="36"/>
  <c r="AQ38" i="36"/>
  <c r="AX37" i="36"/>
  <c r="AW37" i="36"/>
  <c r="AV37" i="36"/>
  <c r="AU37" i="36"/>
  <c r="AT37" i="36"/>
  <c r="AS37" i="36"/>
  <c r="AR37" i="36"/>
  <c r="AQ37" i="36"/>
  <c r="AX36" i="36"/>
  <c r="AW36" i="36"/>
  <c r="AV36" i="36"/>
  <c r="AU36" i="36"/>
  <c r="AT36" i="36"/>
  <c r="AS36" i="36"/>
  <c r="AR36" i="36"/>
  <c r="AQ36" i="36"/>
  <c r="AX35" i="36"/>
  <c r="AW35" i="36"/>
  <c r="AV35" i="36"/>
  <c r="AU35" i="36"/>
  <c r="AT35" i="36"/>
  <c r="AS35" i="36"/>
  <c r="AR35" i="36"/>
  <c r="AQ35" i="36"/>
  <c r="AM64" i="36"/>
  <c r="AL64" i="36"/>
  <c r="AK64" i="36"/>
  <c r="AJ64" i="36"/>
  <c r="AI64" i="36"/>
  <c r="AH64" i="36"/>
  <c r="AG64" i="36"/>
  <c r="AF64" i="36"/>
  <c r="AM63" i="36"/>
  <c r="AL63" i="36"/>
  <c r="AK63" i="36"/>
  <c r="AJ63" i="36"/>
  <c r="AI63" i="36"/>
  <c r="AH63" i="36"/>
  <c r="AG63" i="36"/>
  <c r="AF63" i="36"/>
  <c r="AM62" i="36"/>
  <c r="AM70" i="36" s="1"/>
  <c r="AL62" i="36"/>
  <c r="AL70" i="36" s="1"/>
  <c r="AK62" i="36"/>
  <c r="AJ62" i="36"/>
  <c r="AI62" i="36"/>
  <c r="AI70" i="36" s="1"/>
  <c r="AH62" i="36"/>
  <c r="AH70" i="36" s="1"/>
  <c r="AG62" i="36"/>
  <c r="AF62" i="36"/>
  <c r="AM61" i="36"/>
  <c r="AL61" i="36"/>
  <c r="AK61" i="36"/>
  <c r="AJ61" i="36"/>
  <c r="AI61" i="36"/>
  <c r="AH61" i="36"/>
  <c r="AG61" i="36"/>
  <c r="AF61" i="36"/>
  <c r="AM60" i="36"/>
  <c r="AL60" i="36"/>
  <c r="AK60" i="36"/>
  <c r="AJ60" i="36"/>
  <c r="AI60" i="36"/>
  <c r="AH60" i="36"/>
  <c r="AG60" i="36"/>
  <c r="AF60" i="36"/>
  <c r="AM59" i="36"/>
  <c r="AL59" i="36"/>
  <c r="AK59" i="36"/>
  <c r="AJ59" i="36"/>
  <c r="AI59" i="36"/>
  <c r="AH59" i="36"/>
  <c r="AG59" i="36"/>
  <c r="AF59" i="36"/>
  <c r="AM58" i="36"/>
  <c r="AL58" i="36"/>
  <c r="AK58" i="36"/>
  <c r="AJ58" i="36"/>
  <c r="AI58" i="36"/>
  <c r="AH58" i="36"/>
  <c r="AG58" i="36"/>
  <c r="AF58" i="36"/>
  <c r="AM57" i="36"/>
  <c r="AL57" i="36"/>
  <c r="AK57" i="36"/>
  <c r="AJ57" i="36"/>
  <c r="AI57" i="36"/>
  <c r="AH57" i="36"/>
  <c r="AG57" i="36"/>
  <c r="AF57" i="36"/>
  <c r="AM56" i="36"/>
  <c r="AL56" i="36"/>
  <c r="AK56" i="36"/>
  <c r="AJ56" i="36"/>
  <c r="AI56" i="36"/>
  <c r="AH56" i="36"/>
  <c r="AG56" i="36"/>
  <c r="AF56" i="36"/>
  <c r="AM55" i="36"/>
  <c r="AL55" i="36"/>
  <c r="AK55" i="36"/>
  <c r="AJ55" i="36"/>
  <c r="AI55" i="36"/>
  <c r="AH55" i="36"/>
  <c r="AG55" i="36"/>
  <c r="AF55" i="36"/>
  <c r="AM54" i="36"/>
  <c r="AL54" i="36"/>
  <c r="AK54" i="36"/>
  <c r="AJ54" i="36"/>
  <c r="AI54" i="36"/>
  <c r="AH54" i="36"/>
  <c r="AG54" i="36"/>
  <c r="AF54" i="36"/>
  <c r="AM53" i="36"/>
  <c r="AL53" i="36"/>
  <c r="AK53" i="36"/>
  <c r="AJ53" i="36"/>
  <c r="AI53" i="36"/>
  <c r="AH53" i="36"/>
  <c r="AG53" i="36"/>
  <c r="AF53" i="36"/>
  <c r="AM52" i="36"/>
  <c r="AL52" i="36"/>
  <c r="AK52" i="36"/>
  <c r="AJ52" i="36"/>
  <c r="AI52" i="36"/>
  <c r="AH52" i="36"/>
  <c r="AG52" i="36"/>
  <c r="AF52" i="36"/>
  <c r="AM51" i="36"/>
  <c r="AL51" i="36"/>
  <c r="AK51" i="36"/>
  <c r="AJ51" i="36"/>
  <c r="AI51" i="36"/>
  <c r="AH51" i="36"/>
  <c r="AG51" i="36"/>
  <c r="AF51" i="36"/>
  <c r="AM50" i="36"/>
  <c r="AL50" i="36"/>
  <c r="AK50" i="36"/>
  <c r="AJ50" i="36"/>
  <c r="AI50" i="36"/>
  <c r="AH50" i="36"/>
  <c r="AG50" i="36"/>
  <c r="AF50" i="36"/>
  <c r="AM49" i="36"/>
  <c r="AL49" i="36"/>
  <c r="AK49" i="36"/>
  <c r="AJ49" i="36"/>
  <c r="AI49" i="36"/>
  <c r="AH49" i="36"/>
  <c r="AG49" i="36"/>
  <c r="AF49" i="36"/>
  <c r="AM48" i="36"/>
  <c r="AL48" i="36"/>
  <c r="AK48" i="36"/>
  <c r="AJ48" i="36"/>
  <c r="AI48" i="36"/>
  <c r="AH48" i="36"/>
  <c r="AG48" i="36"/>
  <c r="AF48" i="36"/>
  <c r="AL47" i="36"/>
  <c r="AJ47" i="36"/>
  <c r="AH47" i="36"/>
  <c r="AF47" i="36"/>
  <c r="AM46" i="36"/>
  <c r="AL46" i="36"/>
  <c r="AK46" i="36"/>
  <c r="AJ46" i="36"/>
  <c r="AI46" i="36"/>
  <c r="AH46" i="36"/>
  <c r="AG46" i="36"/>
  <c r="AF46" i="36"/>
  <c r="AM43" i="36"/>
  <c r="AL43" i="36"/>
  <c r="AK43" i="36"/>
  <c r="AJ43" i="36"/>
  <c r="AI43" i="36"/>
  <c r="AH43" i="36"/>
  <c r="AG43" i="36"/>
  <c r="AF43" i="36"/>
  <c r="AM42" i="36"/>
  <c r="AL42" i="36"/>
  <c r="AK42" i="36"/>
  <c r="AJ42" i="36"/>
  <c r="AI42" i="36"/>
  <c r="AH42" i="36"/>
  <c r="AG42" i="36"/>
  <c r="AF42" i="36"/>
  <c r="AM41" i="36"/>
  <c r="AL41" i="36"/>
  <c r="AK41" i="36"/>
  <c r="AJ41" i="36"/>
  <c r="AI41" i="36"/>
  <c r="AH41" i="36"/>
  <c r="AG41" i="36"/>
  <c r="AF41" i="36"/>
  <c r="AM40" i="36"/>
  <c r="AL40" i="36"/>
  <c r="AK40" i="36"/>
  <c r="AJ40" i="36"/>
  <c r="AI40" i="36"/>
  <c r="AH40" i="36"/>
  <c r="AG40" i="36"/>
  <c r="AF40" i="36"/>
  <c r="AM39" i="36"/>
  <c r="AL39" i="36"/>
  <c r="AK39" i="36"/>
  <c r="AJ39" i="36"/>
  <c r="AI39" i="36"/>
  <c r="AH39" i="36"/>
  <c r="AG39" i="36"/>
  <c r="AF39" i="36"/>
  <c r="AM38" i="36"/>
  <c r="AL38" i="36"/>
  <c r="AK38" i="36"/>
  <c r="AJ38" i="36"/>
  <c r="AI38" i="36"/>
  <c r="AH38" i="36"/>
  <c r="AG38" i="36"/>
  <c r="AF38" i="36"/>
  <c r="AM37" i="36"/>
  <c r="AL37" i="36"/>
  <c r="AK37" i="36"/>
  <c r="AJ37" i="36"/>
  <c r="AI37" i="36"/>
  <c r="AH37" i="36"/>
  <c r="AG37" i="36"/>
  <c r="AF37" i="36"/>
  <c r="AM36" i="36"/>
  <c r="AL36" i="36"/>
  <c r="AK36" i="36"/>
  <c r="AJ36" i="36"/>
  <c r="AI36" i="36"/>
  <c r="AH36" i="36"/>
  <c r="AG36" i="36"/>
  <c r="AF36" i="36"/>
  <c r="AM35" i="36"/>
  <c r="AL35" i="36"/>
  <c r="AK35" i="36"/>
  <c r="AJ35" i="36"/>
  <c r="AI35" i="36"/>
  <c r="AH35" i="36"/>
  <c r="AG35" i="36"/>
  <c r="AF35" i="36"/>
  <c r="AD64" i="36"/>
  <c r="AC64" i="36"/>
  <c r="AB64" i="36"/>
  <c r="AA64" i="36"/>
  <c r="Z64" i="36"/>
  <c r="Y64" i="36"/>
  <c r="X64" i="36"/>
  <c r="W64" i="36"/>
  <c r="AD63" i="36"/>
  <c r="AC63" i="36"/>
  <c r="AB63" i="36"/>
  <c r="AA63" i="36"/>
  <c r="Z63" i="36"/>
  <c r="Y63" i="36"/>
  <c r="X63" i="36"/>
  <c r="W63" i="36"/>
  <c r="AD62" i="36"/>
  <c r="AD70" i="36" s="1"/>
  <c r="AC62" i="36"/>
  <c r="AC70" i="36" s="1"/>
  <c r="AB62" i="36"/>
  <c r="AA62" i="36"/>
  <c r="Z62" i="36"/>
  <c r="Z70" i="36" s="1"/>
  <c r="Y62" i="36"/>
  <c r="Y70" i="36" s="1"/>
  <c r="X62" i="36"/>
  <c r="W62" i="36"/>
  <c r="AD61" i="36"/>
  <c r="AC61" i="36"/>
  <c r="AB61" i="36"/>
  <c r="AA61" i="36"/>
  <c r="Z61" i="36"/>
  <c r="Y61" i="36"/>
  <c r="X61" i="36"/>
  <c r="W61" i="36"/>
  <c r="AD60" i="36"/>
  <c r="AC60" i="36"/>
  <c r="AB60" i="36"/>
  <c r="AA60" i="36"/>
  <c r="Z60" i="36"/>
  <c r="Y60" i="36"/>
  <c r="X60" i="36"/>
  <c r="W60" i="36"/>
  <c r="AD59" i="36"/>
  <c r="AC59" i="36"/>
  <c r="AB59" i="36"/>
  <c r="AA59" i="36"/>
  <c r="Z59" i="36"/>
  <c r="Y59" i="36"/>
  <c r="X59" i="36"/>
  <c r="W59" i="36"/>
  <c r="AD58" i="36"/>
  <c r="AC58" i="36"/>
  <c r="AB58" i="36"/>
  <c r="AA58" i="36"/>
  <c r="Z58" i="36"/>
  <c r="Y58" i="36"/>
  <c r="X58" i="36"/>
  <c r="W58" i="36"/>
  <c r="AD57" i="36"/>
  <c r="AC57" i="36"/>
  <c r="AB57" i="36"/>
  <c r="AA57" i="36"/>
  <c r="Z57" i="36"/>
  <c r="Y57" i="36"/>
  <c r="X57" i="36"/>
  <c r="W57" i="36"/>
  <c r="AD56" i="36"/>
  <c r="AC56" i="36"/>
  <c r="AB56" i="36"/>
  <c r="AA56" i="36"/>
  <c r="Z56" i="36"/>
  <c r="Y56" i="36"/>
  <c r="X56" i="36"/>
  <c r="W56" i="36"/>
  <c r="AD55" i="36"/>
  <c r="AC55" i="36"/>
  <c r="AB55" i="36"/>
  <c r="AA55" i="36"/>
  <c r="Z55" i="36"/>
  <c r="Y55" i="36"/>
  <c r="X55" i="36"/>
  <c r="W55" i="36"/>
  <c r="AD54" i="36"/>
  <c r="AC54" i="36"/>
  <c r="AB54" i="36"/>
  <c r="AA54" i="36"/>
  <c r="Z54" i="36"/>
  <c r="Y54" i="36"/>
  <c r="X54" i="36"/>
  <c r="W54" i="36"/>
  <c r="AD53" i="36"/>
  <c r="AC53" i="36"/>
  <c r="AB53" i="36"/>
  <c r="AA53" i="36"/>
  <c r="Z53" i="36"/>
  <c r="Y53" i="36"/>
  <c r="X53" i="36"/>
  <c r="W53" i="36"/>
  <c r="AD52" i="36"/>
  <c r="AC52" i="36"/>
  <c r="AB52" i="36"/>
  <c r="AA52" i="36"/>
  <c r="Z52" i="36"/>
  <c r="Y52" i="36"/>
  <c r="X52" i="36"/>
  <c r="W52" i="36"/>
  <c r="AD51" i="36"/>
  <c r="AC51" i="36"/>
  <c r="AB51" i="36"/>
  <c r="AA51" i="36"/>
  <c r="Z51" i="36"/>
  <c r="Y51" i="36"/>
  <c r="X51" i="36"/>
  <c r="W51" i="36"/>
  <c r="AD50" i="36"/>
  <c r="AC50" i="36"/>
  <c r="AB50" i="36"/>
  <c r="AA50" i="36"/>
  <c r="Z50" i="36"/>
  <c r="Y50" i="36"/>
  <c r="X50" i="36"/>
  <c r="W50" i="36"/>
  <c r="AD49" i="36"/>
  <c r="AC49" i="36"/>
  <c r="AB49" i="36"/>
  <c r="AA49" i="36"/>
  <c r="Z49" i="36"/>
  <c r="Y49" i="36"/>
  <c r="X49" i="36"/>
  <c r="W49" i="36"/>
  <c r="AD48" i="36"/>
  <c r="AC48" i="36"/>
  <c r="AB48" i="36"/>
  <c r="AA48" i="36"/>
  <c r="Z48" i="36"/>
  <c r="Y48" i="36"/>
  <c r="X48" i="36"/>
  <c r="W48" i="36"/>
  <c r="AD43" i="36"/>
  <c r="AC43" i="36"/>
  <c r="AB43" i="36"/>
  <c r="AA43" i="36"/>
  <c r="Z43" i="36"/>
  <c r="Y43" i="36"/>
  <c r="X43" i="36"/>
  <c r="W43" i="36"/>
  <c r="AD42" i="36"/>
  <c r="AC42" i="36"/>
  <c r="AB42" i="36"/>
  <c r="AA42" i="36"/>
  <c r="Z42" i="36"/>
  <c r="Y42" i="36"/>
  <c r="X42" i="36"/>
  <c r="W42" i="36"/>
  <c r="AD41" i="36"/>
  <c r="AC41" i="36"/>
  <c r="AB41" i="36"/>
  <c r="AA41" i="36"/>
  <c r="Z41" i="36"/>
  <c r="Y41" i="36"/>
  <c r="X41" i="36"/>
  <c r="W41" i="36"/>
  <c r="AD40" i="36"/>
  <c r="AC40" i="36"/>
  <c r="AB40" i="36"/>
  <c r="AA40" i="36"/>
  <c r="Z40" i="36"/>
  <c r="Y40" i="36"/>
  <c r="X40" i="36"/>
  <c r="W40" i="36"/>
  <c r="AD39" i="36"/>
  <c r="AC39" i="36"/>
  <c r="AB39" i="36"/>
  <c r="AA39" i="36"/>
  <c r="Z39" i="36"/>
  <c r="Y39" i="36"/>
  <c r="X39" i="36"/>
  <c r="W39" i="36"/>
  <c r="AD38" i="36"/>
  <c r="AC38" i="36"/>
  <c r="AB38" i="36"/>
  <c r="AA38" i="36"/>
  <c r="Z38" i="36"/>
  <c r="Y38" i="36"/>
  <c r="X38" i="36"/>
  <c r="W38" i="36"/>
  <c r="AD37" i="36"/>
  <c r="AC37" i="36"/>
  <c r="AB37" i="36"/>
  <c r="AA37" i="36"/>
  <c r="Z37" i="36"/>
  <c r="Y37" i="36"/>
  <c r="X37" i="36"/>
  <c r="W37" i="36"/>
  <c r="AD36" i="36"/>
  <c r="AC36" i="36"/>
  <c r="AB36" i="36"/>
  <c r="AA36" i="36"/>
  <c r="Z36" i="36"/>
  <c r="Y36" i="36"/>
  <c r="X36" i="36"/>
  <c r="W36" i="36"/>
  <c r="AD35" i="36"/>
  <c r="AC35" i="36"/>
  <c r="AB35" i="36"/>
  <c r="AA35" i="36"/>
  <c r="Z35" i="36"/>
  <c r="Y35" i="36"/>
  <c r="X35" i="36"/>
  <c r="W35" i="36"/>
  <c r="S64" i="36"/>
  <c r="R64" i="36"/>
  <c r="Q64" i="36"/>
  <c r="P64" i="36"/>
  <c r="O64" i="36"/>
  <c r="N64" i="36"/>
  <c r="M64" i="36"/>
  <c r="L64" i="36"/>
  <c r="S63" i="36"/>
  <c r="R63" i="36"/>
  <c r="Q63" i="36"/>
  <c r="P63" i="36"/>
  <c r="O63" i="36"/>
  <c r="N63" i="36"/>
  <c r="M63" i="36"/>
  <c r="L63" i="36"/>
  <c r="S62" i="36"/>
  <c r="S70" i="36" s="1"/>
  <c r="R62" i="36"/>
  <c r="R70" i="36" s="1"/>
  <c r="Q62" i="36"/>
  <c r="P62" i="36"/>
  <c r="O62" i="36"/>
  <c r="O70" i="36" s="1"/>
  <c r="N62" i="36"/>
  <c r="N70" i="36" s="1"/>
  <c r="M62" i="36"/>
  <c r="L62" i="36"/>
  <c r="S61" i="36"/>
  <c r="R61" i="36"/>
  <c r="Q61" i="36"/>
  <c r="P61" i="36"/>
  <c r="O61" i="36"/>
  <c r="N61" i="36"/>
  <c r="M61" i="36"/>
  <c r="L61" i="36"/>
  <c r="S60" i="36"/>
  <c r="R60" i="36"/>
  <c r="Q60" i="36"/>
  <c r="P60" i="36"/>
  <c r="O60" i="36"/>
  <c r="N60" i="36"/>
  <c r="M60" i="36"/>
  <c r="L60" i="36"/>
  <c r="S59" i="36"/>
  <c r="R59" i="36"/>
  <c r="Q59" i="36"/>
  <c r="P59" i="36"/>
  <c r="O59" i="36"/>
  <c r="N59" i="36"/>
  <c r="M59" i="36"/>
  <c r="L59" i="36"/>
  <c r="S58" i="36"/>
  <c r="R58" i="36"/>
  <c r="Q58" i="36"/>
  <c r="P58" i="36"/>
  <c r="O58" i="36"/>
  <c r="N58" i="36"/>
  <c r="M58" i="36"/>
  <c r="L58" i="36"/>
  <c r="S57" i="36"/>
  <c r="R57" i="36"/>
  <c r="Q57" i="36"/>
  <c r="P57" i="36"/>
  <c r="O57" i="36"/>
  <c r="N57" i="36"/>
  <c r="M57" i="36"/>
  <c r="L57" i="36"/>
  <c r="S56" i="36"/>
  <c r="R56" i="36"/>
  <c r="Q56" i="36"/>
  <c r="P56" i="36"/>
  <c r="O56" i="36"/>
  <c r="N56" i="36"/>
  <c r="M56" i="36"/>
  <c r="L56" i="36"/>
  <c r="S55" i="36"/>
  <c r="R55" i="36"/>
  <c r="Q55" i="36"/>
  <c r="P55" i="36"/>
  <c r="O55" i="36"/>
  <c r="N55" i="36"/>
  <c r="M55" i="36"/>
  <c r="L55" i="36"/>
  <c r="S54" i="36"/>
  <c r="R54" i="36"/>
  <c r="Q54" i="36"/>
  <c r="P54" i="36"/>
  <c r="O54" i="36"/>
  <c r="N54" i="36"/>
  <c r="M54" i="36"/>
  <c r="L54" i="36"/>
  <c r="S53" i="36"/>
  <c r="R53" i="36"/>
  <c r="Q53" i="36"/>
  <c r="P53" i="36"/>
  <c r="O53" i="36"/>
  <c r="N53" i="36"/>
  <c r="M53" i="36"/>
  <c r="L53" i="36"/>
  <c r="S52" i="36"/>
  <c r="R52" i="36"/>
  <c r="Q52" i="36"/>
  <c r="P52" i="36"/>
  <c r="O52" i="36"/>
  <c r="N52" i="36"/>
  <c r="M52" i="36"/>
  <c r="L52" i="36"/>
  <c r="S51" i="36"/>
  <c r="R51" i="36"/>
  <c r="Q51" i="36"/>
  <c r="P51" i="36"/>
  <c r="O51" i="36"/>
  <c r="N51" i="36"/>
  <c r="M51" i="36"/>
  <c r="L51" i="36"/>
  <c r="S50" i="36"/>
  <c r="R50" i="36"/>
  <c r="Q50" i="36"/>
  <c r="P50" i="36"/>
  <c r="O50" i="36"/>
  <c r="N50" i="36"/>
  <c r="M50" i="36"/>
  <c r="L50" i="36"/>
  <c r="S49" i="36"/>
  <c r="R49" i="36"/>
  <c r="Q49" i="36"/>
  <c r="P49" i="36"/>
  <c r="O49" i="36"/>
  <c r="N49" i="36"/>
  <c r="M49" i="36"/>
  <c r="L49" i="36"/>
  <c r="S48" i="36"/>
  <c r="R48" i="36"/>
  <c r="Q48" i="36"/>
  <c r="P48" i="36"/>
  <c r="O48" i="36"/>
  <c r="N48" i="36"/>
  <c r="M48" i="36"/>
  <c r="L48" i="36"/>
  <c r="R47" i="36"/>
  <c r="P47" i="36"/>
  <c r="N47" i="36"/>
  <c r="L47" i="36"/>
  <c r="S46" i="36"/>
  <c r="R46" i="36"/>
  <c r="Q46" i="36"/>
  <c r="P46" i="36"/>
  <c r="O46" i="36"/>
  <c r="N46" i="36"/>
  <c r="M46" i="36"/>
  <c r="L46" i="36"/>
  <c r="L45" i="36"/>
  <c r="L44" i="36"/>
  <c r="S43" i="36"/>
  <c r="R43" i="36"/>
  <c r="Q43" i="36"/>
  <c r="P43" i="36"/>
  <c r="O43" i="36"/>
  <c r="N43" i="36"/>
  <c r="M43" i="36"/>
  <c r="L43" i="36"/>
  <c r="S42" i="36"/>
  <c r="R42" i="36"/>
  <c r="Q42" i="36"/>
  <c r="P42" i="36"/>
  <c r="O42" i="36"/>
  <c r="N42" i="36"/>
  <c r="M42" i="36"/>
  <c r="L42" i="36"/>
  <c r="S41" i="36"/>
  <c r="R41" i="36"/>
  <c r="Q41" i="36"/>
  <c r="P41" i="36"/>
  <c r="O41" i="36"/>
  <c r="N41" i="36"/>
  <c r="M41" i="36"/>
  <c r="L41" i="36"/>
  <c r="S40" i="36"/>
  <c r="R40" i="36"/>
  <c r="Q40" i="36"/>
  <c r="P40" i="36"/>
  <c r="O40" i="36"/>
  <c r="N40" i="36"/>
  <c r="M40" i="36"/>
  <c r="L40" i="36"/>
  <c r="S39" i="36"/>
  <c r="R39" i="36"/>
  <c r="Q39" i="36"/>
  <c r="P39" i="36"/>
  <c r="O39" i="36"/>
  <c r="N39" i="36"/>
  <c r="M39" i="36"/>
  <c r="L39" i="36"/>
  <c r="S38" i="36"/>
  <c r="R38" i="36"/>
  <c r="Q38" i="36"/>
  <c r="P38" i="36"/>
  <c r="O38" i="36"/>
  <c r="N38" i="36"/>
  <c r="M38" i="36"/>
  <c r="L38" i="36"/>
  <c r="S37" i="36"/>
  <c r="R37" i="36"/>
  <c r="Q37" i="36"/>
  <c r="P37" i="36"/>
  <c r="O37" i="36"/>
  <c r="N37" i="36"/>
  <c r="M37" i="36"/>
  <c r="L37" i="36"/>
  <c r="S36" i="36"/>
  <c r="R36" i="36"/>
  <c r="Q36" i="36"/>
  <c r="P36" i="36"/>
  <c r="O36" i="36"/>
  <c r="N36" i="36"/>
  <c r="M36" i="36"/>
  <c r="L36" i="36"/>
  <c r="S35" i="36"/>
  <c r="R35" i="36"/>
  <c r="Q35" i="36"/>
  <c r="P35" i="36"/>
  <c r="O35" i="36"/>
  <c r="N35" i="36"/>
  <c r="M35" i="36"/>
  <c r="L35" i="36"/>
  <c r="J64" i="36"/>
  <c r="I64" i="36"/>
  <c r="H64" i="36"/>
  <c r="G64" i="36"/>
  <c r="F64" i="36"/>
  <c r="E64" i="36"/>
  <c r="D64" i="36"/>
  <c r="J63" i="36"/>
  <c r="I63" i="36"/>
  <c r="H63" i="36"/>
  <c r="G63" i="36"/>
  <c r="F63" i="36"/>
  <c r="E63" i="36"/>
  <c r="D63" i="36"/>
  <c r="J62" i="36"/>
  <c r="J70" i="36" s="1"/>
  <c r="I62" i="36"/>
  <c r="H62" i="36"/>
  <c r="G62" i="36"/>
  <c r="F62" i="36"/>
  <c r="E62" i="36"/>
  <c r="D62" i="36"/>
  <c r="J61" i="36"/>
  <c r="I61" i="36"/>
  <c r="H61" i="36"/>
  <c r="G61" i="36"/>
  <c r="F61" i="36"/>
  <c r="E61" i="36"/>
  <c r="D61" i="36"/>
  <c r="J60" i="36"/>
  <c r="I60" i="36"/>
  <c r="H60" i="36"/>
  <c r="G60" i="36"/>
  <c r="F60" i="36"/>
  <c r="E60" i="36"/>
  <c r="D60" i="36"/>
  <c r="J59" i="36"/>
  <c r="I59" i="36"/>
  <c r="H59" i="36"/>
  <c r="G59" i="36"/>
  <c r="F59" i="36"/>
  <c r="E59" i="36"/>
  <c r="D59" i="36"/>
  <c r="J58" i="36"/>
  <c r="I58" i="36"/>
  <c r="H58" i="36"/>
  <c r="G58" i="36"/>
  <c r="F58" i="36"/>
  <c r="E58" i="36"/>
  <c r="D58" i="36"/>
  <c r="J57" i="36"/>
  <c r="I57" i="36"/>
  <c r="H57" i="36"/>
  <c r="G57" i="36"/>
  <c r="F57" i="36"/>
  <c r="E57" i="36"/>
  <c r="D57" i="36"/>
  <c r="J56" i="36"/>
  <c r="I56" i="36"/>
  <c r="H56" i="36"/>
  <c r="G56" i="36"/>
  <c r="F56" i="36"/>
  <c r="E56" i="36"/>
  <c r="D56" i="36"/>
  <c r="J55" i="36"/>
  <c r="I55" i="36"/>
  <c r="H55" i="36"/>
  <c r="G55" i="36"/>
  <c r="F55" i="36"/>
  <c r="E55" i="36"/>
  <c r="D55" i="36"/>
  <c r="J54" i="36"/>
  <c r="I54" i="36"/>
  <c r="H54" i="36"/>
  <c r="G54" i="36"/>
  <c r="F54" i="36"/>
  <c r="E54" i="36"/>
  <c r="D54" i="36"/>
  <c r="J53" i="36"/>
  <c r="I53" i="36"/>
  <c r="H53" i="36"/>
  <c r="G53" i="36"/>
  <c r="F53" i="36"/>
  <c r="E53" i="36"/>
  <c r="D53" i="36"/>
  <c r="J52" i="36"/>
  <c r="I52" i="36"/>
  <c r="H52" i="36"/>
  <c r="G52" i="36"/>
  <c r="F52" i="36"/>
  <c r="E52" i="36"/>
  <c r="D52" i="36"/>
  <c r="J51" i="36"/>
  <c r="I51" i="36"/>
  <c r="H51" i="36"/>
  <c r="G51" i="36"/>
  <c r="F51" i="36"/>
  <c r="E51" i="36"/>
  <c r="D51" i="36"/>
  <c r="J50" i="36"/>
  <c r="I50" i="36"/>
  <c r="H50" i="36"/>
  <c r="G50" i="36"/>
  <c r="F50" i="36"/>
  <c r="E50" i="36"/>
  <c r="D50" i="36"/>
  <c r="J49" i="36"/>
  <c r="I49" i="36"/>
  <c r="H49" i="36"/>
  <c r="G49" i="36"/>
  <c r="F49" i="36"/>
  <c r="E49" i="36"/>
  <c r="D49" i="36"/>
  <c r="J48" i="36"/>
  <c r="I48" i="36"/>
  <c r="H48" i="36"/>
  <c r="G48" i="36"/>
  <c r="F48" i="36"/>
  <c r="E48" i="36"/>
  <c r="D48" i="36"/>
  <c r="J43" i="36"/>
  <c r="I43" i="36"/>
  <c r="H43" i="36"/>
  <c r="G43" i="36"/>
  <c r="F43" i="36"/>
  <c r="E43" i="36"/>
  <c r="D43" i="36"/>
  <c r="J42" i="36"/>
  <c r="I42" i="36"/>
  <c r="H42" i="36"/>
  <c r="G42" i="36"/>
  <c r="F42" i="36"/>
  <c r="E42" i="36"/>
  <c r="D42" i="36"/>
  <c r="J41" i="36"/>
  <c r="I41" i="36"/>
  <c r="H41" i="36"/>
  <c r="G41" i="36"/>
  <c r="F41" i="36"/>
  <c r="E41" i="36"/>
  <c r="D41" i="36"/>
  <c r="J40" i="36"/>
  <c r="I40" i="36"/>
  <c r="H40" i="36"/>
  <c r="G40" i="36"/>
  <c r="F40" i="36"/>
  <c r="E40" i="36"/>
  <c r="D40" i="36"/>
  <c r="J39" i="36"/>
  <c r="I39" i="36"/>
  <c r="H39" i="36"/>
  <c r="G39" i="36"/>
  <c r="F39" i="36"/>
  <c r="E39" i="36"/>
  <c r="D39" i="36"/>
  <c r="J38" i="36"/>
  <c r="I38" i="36"/>
  <c r="H38" i="36"/>
  <c r="G38" i="36"/>
  <c r="F38" i="36"/>
  <c r="E38" i="36"/>
  <c r="D38" i="36"/>
  <c r="J37" i="36"/>
  <c r="I37" i="36"/>
  <c r="H37" i="36"/>
  <c r="G37" i="36"/>
  <c r="F37" i="36"/>
  <c r="E37" i="36"/>
  <c r="D37" i="36"/>
  <c r="J36" i="36"/>
  <c r="I36" i="36"/>
  <c r="H36" i="36"/>
  <c r="G36" i="36"/>
  <c r="F36" i="36"/>
  <c r="E36" i="36"/>
  <c r="D36" i="36"/>
  <c r="J35" i="36"/>
  <c r="I35" i="36"/>
  <c r="H35" i="36"/>
  <c r="G35" i="36"/>
  <c r="F35" i="36"/>
  <c r="E35" i="36"/>
  <c r="D35" i="36"/>
  <c r="C64" i="36"/>
  <c r="C63" i="36"/>
  <c r="C62" i="36"/>
  <c r="C61" i="36"/>
  <c r="C60" i="36"/>
  <c r="C59" i="36"/>
  <c r="C58" i="36"/>
  <c r="C57" i="36"/>
  <c r="C56" i="36"/>
  <c r="C55" i="36"/>
  <c r="C54" i="36"/>
  <c r="C53" i="36"/>
  <c r="C52" i="36"/>
  <c r="C51" i="36"/>
  <c r="C50" i="36"/>
  <c r="C49" i="36"/>
  <c r="C48" i="36"/>
  <c r="C43" i="36"/>
  <c r="C42" i="36"/>
  <c r="C41" i="36"/>
  <c r="C40" i="36"/>
  <c r="C39" i="36"/>
  <c r="C38" i="36"/>
  <c r="C37" i="36"/>
  <c r="C36" i="36"/>
  <c r="C35" i="36"/>
  <c r="CA28" i="36"/>
  <c r="BZ28" i="36"/>
  <c r="BY28" i="36"/>
  <c r="BX28" i="36"/>
  <c r="BW28" i="36"/>
  <c r="BV28" i="36"/>
  <c r="BU28" i="36"/>
  <c r="BT28" i="36"/>
  <c r="CB28" i="36" s="1"/>
  <c r="BR28" i="36"/>
  <c r="BQ28" i="36"/>
  <c r="BP28" i="36"/>
  <c r="BO28" i="36"/>
  <c r="BN28" i="36"/>
  <c r="BM28" i="36"/>
  <c r="BL28" i="36"/>
  <c r="BK28" i="36"/>
  <c r="CA27" i="36"/>
  <c r="BZ27" i="36"/>
  <c r="BY27" i="36"/>
  <c r="BX27" i="36"/>
  <c r="BW27" i="36"/>
  <c r="BV27" i="36"/>
  <c r="BU27" i="36"/>
  <c r="BT27" i="36"/>
  <c r="CB27" i="36" s="1"/>
  <c r="BR27" i="36"/>
  <c r="BQ27" i="36"/>
  <c r="BP27" i="36"/>
  <c r="BO27" i="36"/>
  <c r="BN27" i="36"/>
  <c r="BM27" i="36"/>
  <c r="BL27" i="36"/>
  <c r="BK27" i="36"/>
  <c r="CA26" i="36"/>
  <c r="BZ26" i="36"/>
  <c r="BY26" i="36"/>
  <c r="BX26" i="36"/>
  <c r="BW26" i="36"/>
  <c r="BV26" i="36"/>
  <c r="BU26" i="36"/>
  <c r="BT26" i="36"/>
  <c r="CB26" i="36" s="1"/>
  <c r="BR26" i="36"/>
  <c r="BQ26" i="36"/>
  <c r="BP26" i="36"/>
  <c r="BO26" i="36"/>
  <c r="BN26" i="36"/>
  <c r="BM26" i="36"/>
  <c r="BL26" i="36"/>
  <c r="BK26" i="36"/>
  <c r="CA25" i="36"/>
  <c r="BZ25" i="36"/>
  <c r="BY25" i="36"/>
  <c r="BX25" i="36"/>
  <c r="BW25" i="36"/>
  <c r="BV25" i="36"/>
  <c r="BU25" i="36"/>
  <c r="BT25" i="36"/>
  <c r="BZ22" i="36"/>
  <c r="BX22" i="36"/>
  <c r="BV22" i="36"/>
  <c r="BT22" i="36"/>
  <c r="BR22" i="36"/>
  <c r="BQ22" i="36"/>
  <c r="BP22" i="36"/>
  <c r="BO22" i="36"/>
  <c r="BN22" i="36"/>
  <c r="BM22" i="36"/>
  <c r="BL22" i="36"/>
  <c r="BK22" i="36"/>
  <c r="CA21" i="36"/>
  <c r="BZ21" i="36"/>
  <c r="BY21" i="36"/>
  <c r="BX21" i="36"/>
  <c r="BW21" i="36"/>
  <c r="BV21" i="36"/>
  <c r="BU21" i="36"/>
  <c r="BT21" i="36"/>
  <c r="BR21" i="36"/>
  <c r="BQ21" i="36"/>
  <c r="BP21" i="36"/>
  <c r="BO21" i="36"/>
  <c r="BN21" i="36"/>
  <c r="BM21" i="36"/>
  <c r="BL21" i="36"/>
  <c r="BK21" i="36"/>
  <c r="BS21" i="36" s="1"/>
  <c r="CA19" i="36"/>
  <c r="BZ19" i="36"/>
  <c r="BY19" i="36"/>
  <c r="BX19" i="36"/>
  <c r="BW19" i="36"/>
  <c r="BV19" i="36"/>
  <c r="BU19" i="36"/>
  <c r="BT19" i="36"/>
  <c r="BR19" i="36"/>
  <c r="BQ19" i="36"/>
  <c r="BP19" i="36"/>
  <c r="BO19" i="36"/>
  <c r="BN19" i="36"/>
  <c r="BM19" i="36"/>
  <c r="BL19" i="36"/>
  <c r="BK19" i="36"/>
  <c r="CA18" i="36"/>
  <c r="BZ18" i="36"/>
  <c r="BY18" i="36"/>
  <c r="BX18" i="36"/>
  <c r="BW18" i="36"/>
  <c r="BV18" i="36"/>
  <c r="BU18" i="36"/>
  <c r="BT18" i="36"/>
  <c r="BR18" i="36"/>
  <c r="BQ18" i="36"/>
  <c r="BP18" i="36"/>
  <c r="BO18" i="36"/>
  <c r="BN18" i="36"/>
  <c r="BM18" i="36"/>
  <c r="BL18" i="36"/>
  <c r="BK18" i="36"/>
  <c r="CA17" i="36"/>
  <c r="CA20" i="36" s="1"/>
  <c r="BZ17" i="36"/>
  <c r="BY17" i="36"/>
  <c r="BX17" i="36"/>
  <c r="BW17" i="36"/>
  <c r="BV17" i="36"/>
  <c r="BU17" i="36"/>
  <c r="BT17" i="36"/>
  <c r="BR17" i="36"/>
  <c r="BR20" i="36" s="1"/>
  <c r="BQ17" i="36"/>
  <c r="BP17" i="36"/>
  <c r="BO17" i="36"/>
  <c r="BN17" i="36"/>
  <c r="BM17" i="36"/>
  <c r="BL17" i="36"/>
  <c r="BK17" i="36"/>
  <c r="CA16" i="36"/>
  <c r="BZ16" i="36"/>
  <c r="BY16" i="36"/>
  <c r="BX16" i="36"/>
  <c r="BW16" i="36"/>
  <c r="BV16" i="36"/>
  <c r="BU16" i="36"/>
  <c r="BT16" i="36"/>
  <c r="BR16" i="36"/>
  <c r="BQ16" i="36"/>
  <c r="BP16" i="36"/>
  <c r="BO16" i="36"/>
  <c r="BN16" i="36"/>
  <c r="BM16" i="36"/>
  <c r="BL16" i="36"/>
  <c r="BK16" i="36"/>
  <c r="BG28" i="36"/>
  <c r="BF28" i="36"/>
  <c r="BE28" i="36"/>
  <c r="BD28" i="36"/>
  <c r="BC28" i="36"/>
  <c r="BB28" i="36"/>
  <c r="BA28" i="36"/>
  <c r="AZ28" i="36"/>
  <c r="AX28" i="36"/>
  <c r="AW28" i="36"/>
  <c r="AV28" i="36"/>
  <c r="AU28" i="36"/>
  <c r="AT28" i="36"/>
  <c r="AS28" i="36"/>
  <c r="AR28" i="36"/>
  <c r="AQ28" i="36"/>
  <c r="BG27" i="36"/>
  <c r="BF27" i="36"/>
  <c r="BE27" i="36"/>
  <c r="BD27" i="36"/>
  <c r="BC27" i="36"/>
  <c r="BB27" i="36"/>
  <c r="BA27" i="36"/>
  <c r="AZ27" i="36"/>
  <c r="AX27" i="36"/>
  <c r="AW27" i="36"/>
  <c r="AV27" i="36"/>
  <c r="AU27" i="36"/>
  <c r="AT27" i="36"/>
  <c r="AS27" i="36"/>
  <c r="AR27" i="36"/>
  <c r="AQ27" i="36"/>
  <c r="BG26" i="36"/>
  <c r="BF26" i="36"/>
  <c r="BE26" i="36"/>
  <c r="BD26" i="36"/>
  <c r="BC26" i="36"/>
  <c r="BB26" i="36"/>
  <c r="BA26" i="36"/>
  <c r="AZ26" i="36"/>
  <c r="AX26" i="36"/>
  <c r="AW26" i="36"/>
  <c r="AV26" i="36"/>
  <c r="AU26" i="36"/>
  <c r="AT26" i="36"/>
  <c r="AS26" i="36"/>
  <c r="AR26" i="36"/>
  <c r="AQ26" i="36"/>
  <c r="BG25" i="36"/>
  <c r="BF25" i="36"/>
  <c r="BE25" i="36"/>
  <c r="BD25" i="36"/>
  <c r="BC25" i="36"/>
  <c r="BB25" i="36"/>
  <c r="BA25" i="36"/>
  <c r="AZ25" i="36"/>
  <c r="AX25" i="36"/>
  <c r="AW25" i="36"/>
  <c r="AV25" i="36"/>
  <c r="AU25" i="36"/>
  <c r="AT25" i="36"/>
  <c r="AS25" i="36"/>
  <c r="AR25" i="36"/>
  <c r="AQ25" i="36"/>
  <c r="BF22" i="36"/>
  <c r="BD22" i="36"/>
  <c r="BB22" i="36"/>
  <c r="AZ22" i="36"/>
  <c r="AX22" i="36"/>
  <c r="AW22" i="36"/>
  <c r="AV22" i="36"/>
  <c r="AU22" i="36"/>
  <c r="AT22" i="36"/>
  <c r="AS22" i="36"/>
  <c r="AR22" i="36"/>
  <c r="AQ22" i="36"/>
  <c r="BG21" i="36"/>
  <c r="BF21" i="36"/>
  <c r="BE21" i="36"/>
  <c r="BD21" i="36"/>
  <c r="BC21" i="36"/>
  <c r="BB21" i="36"/>
  <c r="BA21" i="36"/>
  <c r="AZ21" i="36"/>
  <c r="AX21" i="36"/>
  <c r="AW21" i="36"/>
  <c r="AV21" i="36"/>
  <c r="AU21" i="36"/>
  <c r="AT21" i="36"/>
  <c r="AS21" i="36"/>
  <c r="AR21" i="36"/>
  <c r="AQ21" i="36"/>
  <c r="BG19" i="36"/>
  <c r="BF19" i="36"/>
  <c r="BE19" i="36"/>
  <c r="BD19" i="36"/>
  <c r="BC19" i="36"/>
  <c r="BB19" i="36"/>
  <c r="BA19" i="36"/>
  <c r="AZ19" i="36"/>
  <c r="AX19" i="36"/>
  <c r="AW19" i="36"/>
  <c r="AV19" i="36"/>
  <c r="AU19" i="36"/>
  <c r="AT19" i="36"/>
  <c r="AS19" i="36"/>
  <c r="AR19" i="36"/>
  <c r="AQ19" i="36"/>
  <c r="BG18" i="36"/>
  <c r="BF18" i="36"/>
  <c r="BE18" i="36"/>
  <c r="BD18" i="36"/>
  <c r="BC18" i="36"/>
  <c r="BB18" i="36"/>
  <c r="BA18" i="36"/>
  <c r="AZ18" i="36"/>
  <c r="AX18" i="36"/>
  <c r="AW18" i="36"/>
  <c r="AV18" i="36"/>
  <c r="AU18" i="36"/>
  <c r="AT18" i="36"/>
  <c r="AS18" i="36"/>
  <c r="AR18" i="36"/>
  <c r="AQ18" i="36"/>
  <c r="BG17" i="36"/>
  <c r="BF17" i="36"/>
  <c r="BE17" i="36"/>
  <c r="BD17" i="36"/>
  <c r="BC17" i="36"/>
  <c r="BC20" i="36" s="1"/>
  <c r="BB17" i="36"/>
  <c r="BB20" i="36" s="1"/>
  <c r="BA17" i="36"/>
  <c r="AZ17" i="36"/>
  <c r="AX17" i="36"/>
  <c r="AW17" i="36"/>
  <c r="AV17" i="36"/>
  <c r="AU17" i="36"/>
  <c r="AT17" i="36"/>
  <c r="AS17" i="36"/>
  <c r="AR17" i="36"/>
  <c r="AQ17" i="36"/>
  <c r="AQ20" i="36" s="1"/>
  <c r="BG16" i="36"/>
  <c r="BF16" i="36"/>
  <c r="BE16" i="36"/>
  <c r="BD16" i="36"/>
  <c r="BC16" i="36"/>
  <c r="BB16" i="36"/>
  <c r="BA16" i="36"/>
  <c r="AZ16" i="36"/>
  <c r="AX16" i="36"/>
  <c r="AW16" i="36"/>
  <c r="AV16" i="36"/>
  <c r="AU16" i="36"/>
  <c r="AT16" i="36"/>
  <c r="AS16" i="36"/>
  <c r="AR16" i="36"/>
  <c r="AQ16" i="36"/>
  <c r="AM28" i="36"/>
  <c r="AL28" i="36"/>
  <c r="AK28" i="36"/>
  <c r="AJ28" i="36"/>
  <c r="AI28" i="36"/>
  <c r="AH28" i="36"/>
  <c r="AG28" i="36"/>
  <c r="AF28" i="36"/>
  <c r="AD28" i="36"/>
  <c r="AC28" i="36"/>
  <c r="AB28" i="36"/>
  <c r="AA28" i="36"/>
  <c r="Z28" i="36"/>
  <c r="Y28" i="36"/>
  <c r="X28" i="36"/>
  <c r="W28" i="36"/>
  <c r="AM27" i="36"/>
  <c r="AL27" i="36"/>
  <c r="AK27" i="36"/>
  <c r="AJ27" i="36"/>
  <c r="AI27" i="36"/>
  <c r="AH27" i="36"/>
  <c r="AG27" i="36"/>
  <c r="AF27" i="36"/>
  <c r="AD27" i="36"/>
  <c r="AC27" i="36"/>
  <c r="AB27" i="36"/>
  <c r="AA27" i="36"/>
  <c r="Z27" i="36"/>
  <c r="Y27" i="36"/>
  <c r="X27" i="36"/>
  <c r="W27" i="36"/>
  <c r="AM26" i="36"/>
  <c r="AL26" i="36"/>
  <c r="AK26" i="36"/>
  <c r="AJ26" i="36"/>
  <c r="AI26" i="36"/>
  <c r="AH26" i="36"/>
  <c r="AG26" i="36"/>
  <c r="AF26" i="36"/>
  <c r="AD26" i="36"/>
  <c r="AC26" i="36"/>
  <c r="AB26" i="36"/>
  <c r="AA26" i="36"/>
  <c r="Z26" i="36"/>
  <c r="Y26" i="36"/>
  <c r="X26" i="36"/>
  <c r="W26" i="36"/>
  <c r="AM25" i="36"/>
  <c r="AL25" i="36"/>
  <c r="AK25" i="36"/>
  <c r="AJ25" i="36"/>
  <c r="AI25" i="36"/>
  <c r="AH25" i="36"/>
  <c r="AG25" i="36"/>
  <c r="AF25" i="36"/>
  <c r="AD25" i="36"/>
  <c r="AC25" i="36"/>
  <c r="AB25" i="36"/>
  <c r="AA25" i="36"/>
  <c r="Z25" i="36"/>
  <c r="Y25" i="36"/>
  <c r="X25" i="36"/>
  <c r="W25" i="36"/>
  <c r="AL22" i="36"/>
  <c r="AJ22" i="36"/>
  <c r="AH22" i="36"/>
  <c r="AF22" i="36"/>
  <c r="AD22" i="36"/>
  <c r="AC22" i="36"/>
  <c r="AB22" i="36"/>
  <c r="AA22" i="36"/>
  <c r="Z22" i="36"/>
  <c r="Y22" i="36"/>
  <c r="X22" i="36"/>
  <c r="W22" i="36"/>
  <c r="AM21" i="36"/>
  <c r="AL21" i="36"/>
  <c r="AK21" i="36"/>
  <c r="AJ21" i="36"/>
  <c r="AI21" i="36"/>
  <c r="AH21" i="36"/>
  <c r="AG21" i="36"/>
  <c r="AF21" i="36"/>
  <c r="AD21" i="36"/>
  <c r="AC21" i="36"/>
  <c r="AB21" i="36"/>
  <c r="AA21" i="36"/>
  <c r="Z21" i="36"/>
  <c r="Y21" i="36"/>
  <c r="X21" i="36"/>
  <c r="W21" i="36"/>
  <c r="AM19" i="36"/>
  <c r="AL19" i="36"/>
  <c r="AK19" i="36"/>
  <c r="AJ19" i="36"/>
  <c r="AI19" i="36"/>
  <c r="AH19" i="36"/>
  <c r="AG19" i="36"/>
  <c r="AF19" i="36"/>
  <c r="AD19" i="36"/>
  <c r="AC19" i="36"/>
  <c r="AB19" i="36"/>
  <c r="AA19" i="36"/>
  <c r="Z19" i="36"/>
  <c r="Y19" i="36"/>
  <c r="X19" i="36"/>
  <c r="W19" i="36"/>
  <c r="AM18" i="36"/>
  <c r="AL18" i="36"/>
  <c r="AK18" i="36"/>
  <c r="AJ18" i="36"/>
  <c r="AI18" i="36"/>
  <c r="AH18" i="36"/>
  <c r="AG18" i="36"/>
  <c r="AF18" i="36"/>
  <c r="AD18" i="36"/>
  <c r="AC18" i="36"/>
  <c r="AB18" i="36"/>
  <c r="AA18" i="36"/>
  <c r="Z18" i="36"/>
  <c r="Y18" i="36"/>
  <c r="X18" i="36"/>
  <c r="W18" i="36"/>
  <c r="AM17" i="36"/>
  <c r="AL17" i="36"/>
  <c r="AK17" i="36"/>
  <c r="AK20" i="36" s="1"/>
  <c r="AJ17" i="36"/>
  <c r="AI17" i="36"/>
  <c r="AH17" i="36"/>
  <c r="AG17" i="36"/>
  <c r="AF17" i="36"/>
  <c r="AD17" i="36"/>
  <c r="AC17" i="36"/>
  <c r="AB17" i="36"/>
  <c r="AA17" i="36"/>
  <c r="Z17" i="36"/>
  <c r="Y17" i="36"/>
  <c r="Y20" i="36" s="1"/>
  <c r="X17" i="36"/>
  <c r="W17" i="36"/>
  <c r="AM16" i="36"/>
  <c r="AL16" i="36"/>
  <c r="AK16" i="36"/>
  <c r="AJ16" i="36"/>
  <c r="AI16" i="36"/>
  <c r="AH16" i="36"/>
  <c r="AG16" i="36"/>
  <c r="AF16" i="36"/>
  <c r="AD16" i="36"/>
  <c r="AC16" i="36"/>
  <c r="AB16" i="36"/>
  <c r="AA16" i="36"/>
  <c r="Z16" i="36"/>
  <c r="Y16" i="36"/>
  <c r="X16" i="36"/>
  <c r="W16" i="36"/>
  <c r="S28" i="36"/>
  <c r="R28" i="36"/>
  <c r="Q28" i="36"/>
  <c r="P28" i="36"/>
  <c r="O28" i="36"/>
  <c r="N28" i="36"/>
  <c r="M28" i="36"/>
  <c r="L28" i="36"/>
  <c r="S27" i="36"/>
  <c r="R27" i="36"/>
  <c r="Q27" i="36"/>
  <c r="P27" i="36"/>
  <c r="O27" i="36"/>
  <c r="N27" i="36"/>
  <c r="M27" i="36"/>
  <c r="L27" i="36"/>
  <c r="S26" i="36"/>
  <c r="R26" i="36"/>
  <c r="Q26" i="36"/>
  <c r="P26" i="36"/>
  <c r="O26" i="36"/>
  <c r="N26" i="36"/>
  <c r="M26" i="36"/>
  <c r="L26" i="36"/>
  <c r="S25" i="36"/>
  <c r="R25" i="36"/>
  <c r="Q25" i="36"/>
  <c r="P25" i="36"/>
  <c r="O25" i="36"/>
  <c r="N25" i="36"/>
  <c r="M25" i="36"/>
  <c r="L25" i="36"/>
  <c r="R22" i="36"/>
  <c r="P22" i="36"/>
  <c r="N22" i="36"/>
  <c r="L22" i="36"/>
  <c r="S21" i="36"/>
  <c r="R21" i="36"/>
  <c r="Q21" i="36"/>
  <c r="P21" i="36"/>
  <c r="O21" i="36"/>
  <c r="N21" i="36"/>
  <c r="M21" i="36"/>
  <c r="L21" i="36"/>
  <c r="S19" i="36"/>
  <c r="R19" i="36"/>
  <c r="Q19" i="36"/>
  <c r="P19" i="36"/>
  <c r="O19" i="36"/>
  <c r="N19" i="36"/>
  <c r="M19" i="36"/>
  <c r="L19" i="36"/>
  <c r="S18" i="36"/>
  <c r="R18" i="36"/>
  <c r="Q18" i="36"/>
  <c r="P18" i="36"/>
  <c r="O18" i="36"/>
  <c r="N18" i="36"/>
  <c r="M18" i="36"/>
  <c r="L18" i="36"/>
  <c r="S17" i="36"/>
  <c r="R17" i="36"/>
  <c r="Q17" i="36"/>
  <c r="P17" i="36"/>
  <c r="O17" i="36"/>
  <c r="N17" i="36"/>
  <c r="M17" i="36"/>
  <c r="L17" i="36"/>
  <c r="S16" i="36"/>
  <c r="R16" i="36"/>
  <c r="Q16" i="36"/>
  <c r="P16" i="36"/>
  <c r="O16" i="36"/>
  <c r="N16" i="36"/>
  <c r="M16" i="36"/>
  <c r="L16" i="36"/>
  <c r="J28" i="36"/>
  <c r="I28" i="36"/>
  <c r="H28" i="36"/>
  <c r="G28" i="36"/>
  <c r="F28" i="36"/>
  <c r="E28" i="36"/>
  <c r="D28" i="36"/>
  <c r="J27" i="36"/>
  <c r="I27" i="36"/>
  <c r="H27" i="36"/>
  <c r="G27" i="36"/>
  <c r="F27" i="36"/>
  <c r="E27" i="36"/>
  <c r="D27" i="36"/>
  <c r="J26" i="36"/>
  <c r="I26" i="36"/>
  <c r="H26" i="36"/>
  <c r="G26" i="36"/>
  <c r="F26" i="36"/>
  <c r="E26" i="36"/>
  <c r="D26" i="36"/>
  <c r="J25" i="36"/>
  <c r="I25" i="36"/>
  <c r="H25" i="36"/>
  <c r="G25" i="36"/>
  <c r="F25" i="36"/>
  <c r="E25" i="36"/>
  <c r="D25" i="36"/>
  <c r="J22" i="36"/>
  <c r="I22" i="36"/>
  <c r="H22" i="36"/>
  <c r="G22" i="36"/>
  <c r="F22" i="36"/>
  <c r="E22" i="36"/>
  <c r="D22" i="36"/>
  <c r="J21" i="36"/>
  <c r="I21" i="36"/>
  <c r="H21" i="36"/>
  <c r="G21" i="36"/>
  <c r="F21" i="36"/>
  <c r="E21" i="36"/>
  <c r="D21" i="36"/>
  <c r="J19" i="36"/>
  <c r="I19" i="36"/>
  <c r="H19" i="36"/>
  <c r="G19" i="36"/>
  <c r="F19" i="36"/>
  <c r="E19" i="36"/>
  <c r="D19" i="36"/>
  <c r="J18" i="36"/>
  <c r="I18" i="36"/>
  <c r="H18" i="36"/>
  <c r="G18" i="36"/>
  <c r="F18" i="36"/>
  <c r="E18" i="36"/>
  <c r="D18" i="36"/>
  <c r="J17" i="36"/>
  <c r="I17" i="36"/>
  <c r="H17" i="36"/>
  <c r="G17" i="36"/>
  <c r="F17" i="36"/>
  <c r="E17" i="36"/>
  <c r="D17" i="36"/>
  <c r="J16" i="36"/>
  <c r="I16" i="36"/>
  <c r="H16" i="36"/>
  <c r="G16" i="36"/>
  <c r="F16" i="36"/>
  <c r="E16" i="36"/>
  <c r="D16" i="36"/>
  <c r="C28" i="36"/>
  <c r="C27" i="36"/>
  <c r="C26" i="36"/>
  <c r="C25" i="36"/>
  <c r="C22" i="36"/>
  <c r="C21" i="36"/>
  <c r="C19" i="36"/>
  <c r="C18" i="36"/>
  <c r="C17" i="36"/>
  <c r="C16" i="36"/>
  <c r="CR85" i="54"/>
  <c r="CQ85" i="54"/>
  <c r="CP85" i="54"/>
  <c r="CO85" i="54"/>
  <c r="CM85" i="54"/>
  <c r="CL85" i="54"/>
  <c r="CK85" i="54"/>
  <c r="CJ85" i="54"/>
  <c r="CH85" i="54"/>
  <c r="CG85" i="54"/>
  <c r="CF85" i="54"/>
  <c r="CE85" i="54"/>
  <c r="CB85" i="54"/>
  <c r="BS85" i="54"/>
  <c r="BH85" i="54"/>
  <c r="AY85" i="54"/>
  <c r="BI85" i="54" s="1"/>
  <c r="AO85" i="54"/>
  <c r="AN85" i="54"/>
  <c r="AE85" i="54"/>
  <c r="U85" i="54"/>
  <c r="T85" i="54"/>
  <c r="CN85" i="54" s="1"/>
  <c r="K85" i="54"/>
  <c r="CR84" i="54"/>
  <c r="CQ84" i="54"/>
  <c r="CP84" i="54"/>
  <c r="CO84" i="54"/>
  <c r="CM84" i="54"/>
  <c r="CL84" i="54"/>
  <c r="CK84" i="54"/>
  <c r="CJ84" i="54"/>
  <c r="CH84" i="54"/>
  <c r="CG84" i="54"/>
  <c r="CF84" i="54"/>
  <c r="CE84" i="54"/>
  <c r="CB84" i="54"/>
  <c r="BS84" i="54"/>
  <c r="BH84" i="54"/>
  <c r="AY84" i="54"/>
  <c r="BI84" i="54" s="1"/>
  <c r="AN84" i="54"/>
  <c r="AE84" i="54"/>
  <c r="AO84" i="54" s="1"/>
  <c r="T84" i="54"/>
  <c r="K84" i="54"/>
  <c r="CI84" i="54" s="1"/>
  <c r="CR83" i="54"/>
  <c r="CQ83" i="54"/>
  <c r="CP83" i="54"/>
  <c r="CO83" i="54"/>
  <c r="CM83" i="54"/>
  <c r="CL83" i="54"/>
  <c r="CK83" i="54"/>
  <c r="CJ83" i="54"/>
  <c r="CH83" i="54"/>
  <c r="CG83" i="54"/>
  <c r="CF83" i="54"/>
  <c r="CE83" i="54"/>
  <c r="CB83" i="54"/>
  <c r="BS83" i="54"/>
  <c r="BH83" i="54"/>
  <c r="AY83" i="54"/>
  <c r="BI83" i="54" s="1"/>
  <c r="AN83" i="54"/>
  <c r="AE83" i="54"/>
  <c r="T83" i="54"/>
  <c r="K83" i="54"/>
  <c r="U83" i="54" s="1"/>
  <c r="CR82" i="54"/>
  <c r="CQ82" i="54"/>
  <c r="CP82" i="54"/>
  <c r="CO82" i="54"/>
  <c r="CM82" i="54"/>
  <c r="CL82" i="54"/>
  <c r="CK82" i="54"/>
  <c r="CJ82" i="54"/>
  <c r="CH82" i="54"/>
  <c r="CG82" i="54"/>
  <c r="CF82" i="54"/>
  <c r="CE82" i="54"/>
  <c r="CB82" i="54"/>
  <c r="BS82" i="54"/>
  <c r="CC82" i="54" s="1"/>
  <c r="BH82" i="54"/>
  <c r="AY82" i="54"/>
  <c r="AN82" i="54"/>
  <c r="AE82" i="54"/>
  <c r="T82" i="54"/>
  <c r="U82" i="54" s="1"/>
  <c r="K82" i="54"/>
  <c r="CR80" i="54"/>
  <c r="CQ80" i="54"/>
  <c r="CP80" i="54"/>
  <c r="CO80" i="54"/>
  <c r="CM80" i="54"/>
  <c r="CL80" i="54"/>
  <c r="CK80" i="54"/>
  <c r="CJ80" i="54"/>
  <c r="CH80" i="54"/>
  <c r="CG80" i="54"/>
  <c r="CF80" i="54"/>
  <c r="CE80" i="54"/>
  <c r="CC80" i="54"/>
  <c r="CB80" i="54"/>
  <c r="BS80" i="54"/>
  <c r="BH80" i="54"/>
  <c r="BI80" i="54" s="1"/>
  <c r="AY80" i="54"/>
  <c r="AN80" i="54"/>
  <c r="AE80" i="54"/>
  <c r="T80" i="54"/>
  <c r="U80" i="54" s="1"/>
  <c r="K80" i="54"/>
  <c r="CI80" i="54" s="1"/>
  <c r="CR78" i="54"/>
  <c r="CQ78" i="54"/>
  <c r="CP78" i="54"/>
  <c r="CO78" i="54"/>
  <c r="CM78" i="54"/>
  <c r="CL78" i="54"/>
  <c r="CK78" i="54"/>
  <c r="CJ78" i="54"/>
  <c r="CH78" i="54"/>
  <c r="CG78" i="54"/>
  <c r="CF78" i="54"/>
  <c r="CE78" i="54"/>
  <c r="CB78" i="54"/>
  <c r="BS78" i="54"/>
  <c r="BH78" i="54"/>
  <c r="BI78" i="54" s="1"/>
  <c r="AY78" i="54"/>
  <c r="AN78" i="54"/>
  <c r="AE78" i="54"/>
  <c r="U78" i="54"/>
  <c r="T78" i="54"/>
  <c r="K78" i="54"/>
  <c r="CR77" i="54"/>
  <c r="CQ77" i="54"/>
  <c r="CP77" i="54"/>
  <c r="CO77" i="54"/>
  <c r="CM77" i="54"/>
  <c r="CL77" i="54"/>
  <c r="CK77" i="54"/>
  <c r="CJ77" i="54"/>
  <c r="CH77" i="54"/>
  <c r="CG77" i="54"/>
  <c r="CF77" i="54"/>
  <c r="CE77" i="54"/>
  <c r="CB77" i="54"/>
  <c r="BS77" i="54"/>
  <c r="BH77" i="54"/>
  <c r="AY77" i="54"/>
  <c r="AN77" i="54"/>
  <c r="AE77" i="54"/>
  <c r="T77" i="54"/>
  <c r="K77" i="54"/>
  <c r="CR76" i="54"/>
  <c r="CQ76" i="54"/>
  <c r="CP76" i="54"/>
  <c r="CO76" i="54"/>
  <c r="CM76" i="54"/>
  <c r="CL76" i="54"/>
  <c r="CK76" i="54"/>
  <c r="CJ76" i="54"/>
  <c r="CH76" i="54"/>
  <c r="CG76" i="54"/>
  <c r="CF76" i="54"/>
  <c r="CE76" i="54"/>
  <c r="CB76" i="54"/>
  <c r="BS76" i="54"/>
  <c r="BH76" i="54"/>
  <c r="AY76" i="54"/>
  <c r="AN76" i="54"/>
  <c r="AE76" i="54"/>
  <c r="T76" i="54"/>
  <c r="K76" i="54"/>
  <c r="CA70" i="54"/>
  <c r="BZ70" i="54"/>
  <c r="BY70" i="54"/>
  <c r="BX70" i="54"/>
  <c r="BW70" i="54"/>
  <c r="BV70" i="54"/>
  <c r="BU70" i="54"/>
  <c r="BT70" i="54"/>
  <c r="BR70" i="54"/>
  <c r="BQ70" i="54"/>
  <c r="BP70" i="54"/>
  <c r="BO70" i="54"/>
  <c r="BN70" i="54"/>
  <c r="BM70" i="54"/>
  <c r="BL70" i="54"/>
  <c r="BK70" i="54"/>
  <c r="BG70" i="54"/>
  <c r="BF70" i="54"/>
  <c r="BE70" i="54"/>
  <c r="BD70" i="54"/>
  <c r="BC70" i="54"/>
  <c r="BB70" i="54"/>
  <c r="BA70" i="54"/>
  <c r="AZ70" i="54"/>
  <c r="AX70" i="54"/>
  <c r="AW70" i="54"/>
  <c r="AV70" i="54"/>
  <c r="AU70" i="54"/>
  <c r="AT70" i="54"/>
  <c r="AS70" i="54"/>
  <c r="AR70" i="54"/>
  <c r="AQ70" i="54"/>
  <c r="AM70" i="54"/>
  <c r="AL70" i="54"/>
  <c r="AK70" i="54"/>
  <c r="AJ70" i="54"/>
  <c r="AI70" i="54"/>
  <c r="AH70" i="54"/>
  <c r="AG70" i="54"/>
  <c r="AF70" i="54"/>
  <c r="AD70" i="54"/>
  <c r="AC70" i="54"/>
  <c r="AB70" i="54"/>
  <c r="AA70" i="54"/>
  <c r="Z70" i="54"/>
  <c r="Y70" i="54"/>
  <c r="X70" i="54"/>
  <c r="W70" i="54"/>
  <c r="S70" i="54"/>
  <c r="R70" i="54"/>
  <c r="Q70" i="54"/>
  <c r="P70" i="54"/>
  <c r="O70" i="54"/>
  <c r="N70" i="54"/>
  <c r="M70" i="54"/>
  <c r="L70" i="54"/>
  <c r="J70" i="54"/>
  <c r="I70" i="54"/>
  <c r="H70" i="54"/>
  <c r="G70" i="54"/>
  <c r="F70" i="54"/>
  <c r="E70" i="54"/>
  <c r="D70" i="54"/>
  <c r="C70" i="54"/>
  <c r="BZ66" i="54"/>
  <c r="BX66" i="54"/>
  <c r="BV66" i="54"/>
  <c r="BT66" i="54"/>
  <c r="BR66" i="54"/>
  <c r="BQ66" i="54"/>
  <c r="BP66" i="54"/>
  <c r="BO66" i="54"/>
  <c r="BN66" i="54"/>
  <c r="BM66" i="54"/>
  <c r="BL66" i="54"/>
  <c r="BK66" i="54"/>
  <c r="AL66" i="54"/>
  <c r="AJ66" i="54"/>
  <c r="AH66" i="54"/>
  <c r="AF66" i="54"/>
  <c r="AD66" i="54"/>
  <c r="AC66" i="54"/>
  <c r="AB66" i="54"/>
  <c r="AA66" i="54"/>
  <c r="Z66" i="54"/>
  <c r="Y66" i="54"/>
  <c r="X66" i="54"/>
  <c r="W66" i="54"/>
  <c r="L66" i="54"/>
  <c r="J66" i="54"/>
  <c r="I66" i="54"/>
  <c r="H66" i="54"/>
  <c r="G66" i="54"/>
  <c r="F66" i="54"/>
  <c r="E66" i="54"/>
  <c r="D66" i="54"/>
  <c r="C66" i="54"/>
  <c r="CR64" i="54"/>
  <c r="CQ64" i="54"/>
  <c r="CP64" i="54"/>
  <c r="CO64" i="54"/>
  <c r="CM64" i="54"/>
  <c r="CL64" i="54"/>
  <c r="CK64" i="54"/>
  <c r="CJ64" i="54"/>
  <c r="CH64" i="54"/>
  <c r="CG64" i="54"/>
  <c r="CF64" i="54"/>
  <c r="CE64" i="54"/>
  <c r="CB64" i="54"/>
  <c r="BS64" i="54"/>
  <c r="BH64" i="54"/>
  <c r="AY64" i="54"/>
  <c r="AN64" i="54"/>
  <c r="AE64" i="54"/>
  <c r="T64" i="54"/>
  <c r="K64" i="54"/>
  <c r="CR63" i="54"/>
  <c r="CQ63" i="54"/>
  <c r="CP63" i="54"/>
  <c r="CO63" i="54"/>
  <c r="CM63" i="54"/>
  <c r="CL63" i="54"/>
  <c r="CK63" i="54"/>
  <c r="CJ63" i="54"/>
  <c r="CH63" i="54"/>
  <c r="CG63" i="54"/>
  <c r="CF63" i="54"/>
  <c r="CE63" i="54"/>
  <c r="CB63" i="54"/>
  <c r="BS63" i="54"/>
  <c r="BH63" i="54"/>
  <c r="AY63" i="54"/>
  <c r="AN63" i="54"/>
  <c r="AE63" i="54"/>
  <c r="T63" i="54"/>
  <c r="K63" i="54"/>
  <c r="CR62" i="54"/>
  <c r="CQ62" i="54"/>
  <c r="CP62" i="54"/>
  <c r="CO62" i="54"/>
  <c r="CM62" i="54"/>
  <c r="CL62" i="54"/>
  <c r="CK62" i="54"/>
  <c r="CJ62" i="54"/>
  <c r="CH62" i="54"/>
  <c r="CG62" i="54"/>
  <c r="CF62" i="54"/>
  <c r="CE62" i="54"/>
  <c r="CB62" i="54"/>
  <c r="BS62" i="54"/>
  <c r="BH62" i="54"/>
  <c r="AY62" i="54"/>
  <c r="AN62" i="54"/>
  <c r="AE62" i="54"/>
  <c r="T62" i="54"/>
  <c r="K62" i="54"/>
  <c r="CR61" i="54"/>
  <c r="CQ61" i="54"/>
  <c r="CP61" i="54"/>
  <c r="CO61" i="54"/>
  <c r="CM61" i="54"/>
  <c r="CL61" i="54"/>
  <c r="CK61" i="54"/>
  <c r="CJ61" i="54"/>
  <c r="CH61" i="54"/>
  <c r="CG61" i="54"/>
  <c r="CF61" i="54"/>
  <c r="CE61" i="54"/>
  <c r="CB61" i="54"/>
  <c r="BS61" i="54"/>
  <c r="BH61" i="54"/>
  <c r="AY61" i="54"/>
  <c r="AN61" i="54"/>
  <c r="AE61" i="54"/>
  <c r="T61" i="54"/>
  <c r="K61" i="54"/>
  <c r="CR60" i="54"/>
  <c r="CQ60" i="54"/>
  <c r="CP60" i="54"/>
  <c r="CO60" i="54"/>
  <c r="CM60" i="54"/>
  <c r="CL60" i="54"/>
  <c r="CK60" i="54"/>
  <c r="CJ60" i="54"/>
  <c r="CH60" i="54"/>
  <c r="CG60" i="54"/>
  <c r="CF60" i="54"/>
  <c r="CE60" i="54"/>
  <c r="CB60" i="54"/>
  <c r="BS60" i="54"/>
  <c r="BH60" i="54"/>
  <c r="AY60" i="54"/>
  <c r="AN60" i="54"/>
  <c r="AE60" i="54"/>
  <c r="T60" i="54"/>
  <c r="K60" i="54"/>
  <c r="CR59" i="54"/>
  <c r="CQ59" i="54"/>
  <c r="CP59" i="54"/>
  <c r="CO59" i="54"/>
  <c r="CM59" i="54"/>
  <c r="CL59" i="54"/>
  <c r="CK59" i="54"/>
  <c r="CJ59" i="54"/>
  <c r="CH59" i="54"/>
  <c r="CG59" i="54"/>
  <c r="CF59" i="54"/>
  <c r="CE59" i="54"/>
  <c r="CB59" i="54"/>
  <c r="BS59" i="54"/>
  <c r="BH59" i="54"/>
  <c r="AY59" i="54"/>
  <c r="AN59" i="54"/>
  <c r="AE59" i="54"/>
  <c r="T59" i="54"/>
  <c r="K59" i="54"/>
  <c r="CR58" i="54"/>
  <c r="CQ58" i="54"/>
  <c r="CP58" i="54"/>
  <c r="CO58" i="54"/>
  <c r="CM58" i="54"/>
  <c r="CL58" i="54"/>
  <c r="CK58" i="54"/>
  <c r="CJ58" i="54"/>
  <c r="CH58" i="54"/>
  <c r="CG58" i="54"/>
  <c r="CF58" i="54"/>
  <c r="CE58" i="54"/>
  <c r="CB58" i="54"/>
  <c r="BS58" i="54"/>
  <c r="BH58" i="54"/>
  <c r="AY58" i="54"/>
  <c r="AN58" i="54"/>
  <c r="AE58" i="54"/>
  <c r="T58" i="54"/>
  <c r="K58" i="54"/>
  <c r="CR57" i="54"/>
  <c r="CQ57" i="54"/>
  <c r="CP57" i="54"/>
  <c r="CO57" i="54"/>
  <c r="CM57" i="54"/>
  <c r="CL57" i="54"/>
  <c r="CK57" i="54"/>
  <c r="CJ57" i="54"/>
  <c r="CH57" i="54"/>
  <c r="CG57" i="54"/>
  <c r="CF57" i="54"/>
  <c r="CE57" i="54"/>
  <c r="CB57" i="54"/>
  <c r="BS57" i="54"/>
  <c r="BH57" i="54"/>
  <c r="AY57" i="54"/>
  <c r="AN57" i="54"/>
  <c r="AE57" i="54"/>
  <c r="T57" i="54"/>
  <c r="K57" i="54"/>
  <c r="CR56" i="54"/>
  <c r="CQ56" i="54"/>
  <c r="CP56" i="54"/>
  <c r="CO56" i="54"/>
  <c r="CM56" i="54"/>
  <c r="CL56" i="54"/>
  <c r="CK56" i="54"/>
  <c r="CJ56" i="54"/>
  <c r="CH56" i="54"/>
  <c r="CG56" i="54"/>
  <c r="CF56" i="54"/>
  <c r="CE56" i="54"/>
  <c r="CB56" i="54"/>
  <c r="BS56" i="54"/>
  <c r="BH56" i="54"/>
  <c r="AY56" i="54"/>
  <c r="AN56" i="54"/>
  <c r="AE56" i="54"/>
  <c r="T56" i="54"/>
  <c r="K56" i="54"/>
  <c r="CR55" i="54"/>
  <c r="CQ55" i="54"/>
  <c r="CP55" i="54"/>
  <c r="CO55" i="54"/>
  <c r="CM55" i="54"/>
  <c r="CL55" i="54"/>
  <c r="CK55" i="54"/>
  <c r="CJ55" i="54"/>
  <c r="CH55" i="54"/>
  <c r="CG55" i="54"/>
  <c r="CF55" i="54"/>
  <c r="CE55" i="54"/>
  <c r="CB55" i="54"/>
  <c r="BS55" i="54"/>
  <c r="BH55" i="54"/>
  <c r="AY55" i="54"/>
  <c r="AN55" i="54"/>
  <c r="AE55" i="54"/>
  <c r="T55" i="54"/>
  <c r="K55" i="54"/>
  <c r="CR54" i="54"/>
  <c r="CQ54" i="54"/>
  <c r="CP54" i="54"/>
  <c r="CO54" i="54"/>
  <c r="CM54" i="54"/>
  <c r="CL54" i="54"/>
  <c r="CK54" i="54"/>
  <c r="CJ54" i="54"/>
  <c r="CH54" i="54"/>
  <c r="CG54" i="54"/>
  <c r="CF54" i="54"/>
  <c r="CE54" i="54"/>
  <c r="CB54" i="54"/>
  <c r="BS54" i="54"/>
  <c r="BH54" i="54"/>
  <c r="AY54" i="54"/>
  <c r="AN54" i="54"/>
  <c r="AE54" i="54"/>
  <c r="T54" i="54"/>
  <c r="K54" i="54"/>
  <c r="CR53" i="54"/>
  <c r="CQ53" i="54"/>
  <c r="CP53" i="54"/>
  <c r="CO53" i="54"/>
  <c r="CM53" i="54"/>
  <c r="CL53" i="54"/>
  <c r="CK53" i="54"/>
  <c r="CJ53" i="54"/>
  <c r="CH53" i="54"/>
  <c r="CG53" i="54"/>
  <c r="CF53" i="54"/>
  <c r="CE53" i="54"/>
  <c r="CB53" i="54"/>
  <c r="BS53" i="54"/>
  <c r="BH53" i="54"/>
  <c r="AY53" i="54"/>
  <c r="AN53" i="54"/>
  <c r="AE53" i="54"/>
  <c r="T53" i="54"/>
  <c r="K53" i="54"/>
  <c r="CR52" i="54"/>
  <c r="CQ52" i="54"/>
  <c r="CP52" i="54"/>
  <c r="CO52" i="54"/>
  <c r="CM52" i="54"/>
  <c r="CL52" i="54"/>
  <c r="CK52" i="54"/>
  <c r="CJ52" i="54"/>
  <c r="CH52" i="54"/>
  <c r="CG52" i="54"/>
  <c r="CF52" i="54"/>
  <c r="CE52" i="54"/>
  <c r="CB52" i="54"/>
  <c r="BS52" i="54"/>
  <c r="BH52" i="54"/>
  <c r="AY52" i="54"/>
  <c r="AN52" i="54"/>
  <c r="AE52" i="54"/>
  <c r="T52" i="54"/>
  <c r="K52" i="54"/>
  <c r="CR51" i="54"/>
  <c r="CQ51" i="54"/>
  <c r="CP51" i="54"/>
  <c r="CO51" i="54"/>
  <c r="CM51" i="54"/>
  <c r="CL51" i="54"/>
  <c r="CK51" i="54"/>
  <c r="CJ51" i="54"/>
  <c r="CH51" i="54"/>
  <c r="CG51" i="54"/>
  <c r="CF51" i="54"/>
  <c r="CE51" i="54"/>
  <c r="CB51" i="54"/>
  <c r="BS51" i="54"/>
  <c r="BH51" i="54"/>
  <c r="AY51" i="54"/>
  <c r="AN51" i="54"/>
  <c r="AE51" i="54"/>
  <c r="T51" i="54"/>
  <c r="K51" i="54"/>
  <c r="CR50" i="54"/>
  <c r="CQ50" i="54"/>
  <c r="CP50" i="54"/>
  <c r="CO50" i="54"/>
  <c r="CM50" i="54"/>
  <c r="CL50" i="54"/>
  <c r="CK50" i="54"/>
  <c r="CJ50" i="54"/>
  <c r="CH50" i="54"/>
  <c r="CG50" i="54"/>
  <c r="CF50" i="54"/>
  <c r="CE50" i="54"/>
  <c r="CB50" i="54"/>
  <c r="BS50" i="54"/>
  <c r="BH50" i="54"/>
  <c r="AY50" i="54"/>
  <c r="AN50" i="54"/>
  <c r="AE50" i="54"/>
  <c r="T50" i="54"/>
  <c r="K50" i="54"/>
  <c r="CR49" i="54"/>
  <c r="CQ49" i="54"/>
  <c r="CP49" i="54"/>
  <c r="CO49" i="54"/>
  <c r="CM49" i="54"/>
  <c r="CL49" i="54"/>
  <c r="CK49" i="54"/>
  <c r="CJ49" i="54"/>
  <c r="CH49" i="54"/>
  <c r="CG49" i="54"/>
  <c r="CF49" i="54"/>
  <c r="CE49" i="54"/>
  <c r="CB49" i="54"/>
  <c r="BS49" i="54"/>
  <c r="BH49" i="54"/>
  <c r="AY49" i="54"/>
  <c r="AN49" i="54"/>
  <c r="AE49" i="54"/>
  <c r="T49" i="54"/>
  <c r="K49" i="54"/>
  <c r="CR48" i="54"/>
  <c r="CQ48" i="54"/>
  <c r="CP48" i="54"/>
  <c r="CO48" i="54"/>
  <c r="CM48" i="54"/>
  <c r="CL48" i="54"/>
  <c r="CK48" i="54"/>
  <c r="CJ48" i="54"/>
  <c r="CH48" i="54"/>
  <c r="CG48" i="54"/>
  <c r="CF48" i="54"/>
  <c r="CE48" i="54"/>
  <c r="CB48" i="54"/>
  <c r="BS48" i="54"/>
  <c r="BH48" i="54"/>
  <c r="AY48" i="54"/>
  <c r="AN48" i="54"/>
  <c r="AE48" i="54"/>
  <c r="T48" i="54"/>
  <c r="K48" i="54"/>
  <c r="CH47" i="54"/>
  <c r="CG47" i="54"/>
  <c r="CF47" i="54"/>
  <c r="CE47" i="54"/>
  <c r="BS47" i="54"/>
  <c r="AY47" i="54"/>
  <c r="AE47" i="54"/>
  <c r="K47" i="54"/>
  <c r="CP46" i="54"/>
  <c r="CO46" i="54"/>
  <c r="CK46" i="54"/>
  <c r="CJ46" i="54"/>
  <c r="CH46" i="54"/>
  <c r="CG46" i="54"/>
  <c r="CF46" i="54"/>
  <c r="CE46" i="54"/>
  <c r="BS46" i="54"/>
  <c r="BH46" i="54"/>
  <c r="AY46" i="54"/>
  <c r="AN46" i="54"/>
  <c r="AE46" i="54"/>
  <c r="T46" i="54"/>
  <c r="K46" i="54"/>
  <c r="BS45" i="54"/>
  <c r="AE45" i="54"/>
  <c r="K45" i="54"/>
  <c r="BS44" i="54"/>
  <c r="AE44" i="54"/>
  <c r="K44" i="54"/>
  <c r="CR43" i="54"/>
  <c r="CQ43" i="54"/>
  <c r="CP43" i="54"/>
  <c r="CO43" i="54"/>
  <c r="CM43" i="54"/>
  <c r="CL43" i="54"/>
  <c r="CK43" i="54"/>
  <c r="CJ43" i="54"/>
  <c r="CH43" i="54"/>
  <c r="CG43" i="54"/>
  <c r="CF43" i="54"/>
  <c r="CE43" i="54"/>
  <c r="CB43" i="54"/>
  <c r="BS43" i="54"/>
  <c r="BH43" i="54"/>
  <c r="AY43" i="54"/>
  <c r="AN43" i="54"/>
  <c r="AE43" i="54"/>
  <c r="T43" i="54"/>
  <c r="K43" i="54"/>
  <c r="CR42" i="54"/>
  <c r="CQ42" i="54"/>
  <c r="CP42" i="54"/>
  <c r="CO42" i="54"/>
  <c r="CM42" i="54"/>
  <c r="CL42" i="54"/>
  <c r="CK42" i="54"/>
  <c r="CJ42" i="54"/>
  <c r="CH42" i="54"/>
  <c r="CG42" i="54"/>
  <c r="CF42" i="54"/>
  <c r="CE42" i="54"/>
  <c r="CB42" i="54"/>
  <c r="BS42" i="54"/>
  <c r="BH42" i="54"/>
  <c r="AY42" i="54"/>
  <c r="AN42" i="54"/>
  <c r="AE42" i="54"/>
  <c r="T42" i="54"/>
  <c r="K42" i="54"/>
  <c r="CR41" i="54"/>
  <c r="CQ41" i="54"/>
  <c r="CP41" i="54"/>
  <c r="CO41" i="54"/>
  <c r="CM41" i="54"/>
  <c r="CL41" i="54"/>
  <c r="CK41" i="54"/>
  <c r="CJ41" i="54"/>
  <c r="CH41" i="54"/>
  <c r="CG41" i="54"/>
  <c r="CF41" i="54"/>
  <c r="CE41" i="54"/>
  <c r="CB41" i="54"/>
  <c r="BS41" i="54"/>
  <c r="BH41" i="54"/>
  <c r="AY41" i="54"/>
  <c r="AN41" i="54"/>
  <c r="AE41" i="54"/>
  <c r="T41" i="54"/>
  <c r="K41" i="54"/>
  <c r="CR40" i="54"/>
  <c r="CQ40" i="54"/>
  <c r="CP40" i="54"/>
  <c r="CO40" i="54"/>
  <c r="CM40" i="54"/>
  <c r="CL40" i="54"/>
  <c r="CK40" i="54"/>
  <c r="CJ40" i="54"/>
  <c r="CH40" i="54"/>
  <c r="CG40" i="54"/>
  <c r="CF40" i="54"/>
  <c r="CE40" i="54"/>
  <c r="CB40" i="54"/>
  <c r="BS40" i="54"/>
  <c r="BH40" i="54"/>
  <c r="AY40" i="54"/>
  <c r="AN40" i="54"/>
  <c r="AE40" i="54"/>
  <c r="T40" i="54"/>
  <c r="K40" i="54"/>
  <c r="CR39" i="54"/>
  <c r="CQ39" i="54"/>
  <c r="CP39" i="54"/>
  <c r="CO39" i="54"/>
  <c r="CM39" i="54"/>
  <c r="CL39" i="54"/>
  <c r="CK39" i="54"/>
  <c r="CJ39" i="54"/>
  <c r="CH39" i="54"/>
  <c r="CG39" i="54"/>
  <c r="CF39" i="54"/>
  <c r="CE39" i="54"/>
  <c r="CB39" i="54"/>
  <c r="BS39" i="54"/>
  <c r="BH39" i="54"/>
  <c r="AY39" i="54"/>
  <c r="AN39" i="54"/>
  <c r="AE39" i="54"/>
  <c r="T39" i="54"/>
  <c r="K39" i="54"/>
  <c r="CR38" i="54"/>
  <c r="CQ38" i="54"/>
  <c r="CP38" i="54"/>
  <c r="CO38" i="54"/>
  <c r="CM38" i="54"/>
  <c r="CL38" i="54"/>
  <c r="CK38" i="54"/>
  <c r="CJ38" i="54"/>
  <c r="CH38" i="54"/>
  <c r="CG38" i="54"/>
  <c r="CF38" i="54"/>
  <c r="CE38" i="54"/>
  <c r="CB38" i="54"/>
  <c r="BS38" i="54"/>
  <c r="BH38" i="54"/>
  <c r="AY38" i="54"/>
  <c r="AN38" i="54"/>
  <c r="AE38" i="54"/>
  <c r="T38" i="54"/>
  <c r="K38" i="54"/>
  <c r="CR37" i="54"/>
  <c r="CQ37" i="54"/>
  <c r="CP37" i="54"/>
  <c r="CO37" i="54"/>
  <c r="CM37" i="54"/>
  <c r="CL37" i="54"/>
  <c r="CK37" i="54"/>
  <c r="CJ37" i="54"/>
  <c r="CH37" i="54"/>
  <c r="CG37" i="54"/>
  <c r="CF37" i="54"/>
  <c r="CE37" i="54"/>
  <c r="CB37" i="54"/>
  <c r="BS37" i="54"/>
  <c r="BH37" i="54"/>
  <c r="AY37" i="54"/>
  <c r="AN37" i="54"/>
  <c r="AE37" i="54"/>
  <c r="T37" i="54"/>
  <c r="K37" i="54"/>
  <c r="CR36" i="54"/>
  <c r="CQ36" i="54"/>
  <c r="CP36" i="54"/>
  <c r="CO36" i="54"/>
  <c r="CM36" i="54"/>
  <c r="CL36" i="54"/>
  <c r="CK36" i="54"/>
  <c r="CJ36" i="54"/>
  <c r="CH36" i="54"/>
  <c r="CG36" i="54"/>
  <c r="CF36" i="54"/>
  <c r="CE36" i="54"/>
  <c r="CB36" i="54"/>
  <c r="BS36" i="54"/>
  <c r="BH36" i="54"/>
  <c r="AY36" i="54"/>
  <c r="AN36" i="54"/>
  <c r="AE36" i="54"/>
  <c r="T36" i="54"/>
  <c r="K36" i="54"/>
  <c r="CR35" i="54"/>
  <c r="CQ35" i="54"/>
  <c r="CP35" i="54"/>
  <c r="CO35" i="54"/>
  <c r="CM35" i="54"/>
  <c r="CL35" i="54"/>
  <c r="CK35" i="54"/>
  <c r="CJ35" i="54"/>
  <c r="CH35" i="54"/>
  <c r="CG35" i="54"/>
  <c r="CF35" i="54"/>
  <c r="CE35" i="54"/>
  <c r="CB35" i="54"/>
  <c r="BS35" i="54"/>
  <c r="BH35" i="54"/>
  <c r="AY35" i="54"/>
  <c r="AN35" i="54"/>
  <c r="AE35" i="54"/>
  <c r="T35" i="54"/>
  <c r="K35" i="54"/>
  <c r="CR28" i="54"/>
  <c r="CQ28" i="54"/>
  <c r="CP28" i="54"/>
  <c r="CO28" i="54"/>
  <c r="CM28" i="54"/>
  <c r="CL28" i="54"/>
  <c r="CK28" i="54"/>
  <c r="CJ28" i="54"/>
  <c r="CH28" i="54"/>
  <c r="CG28" i="54"/>
  <c r="CF28" i="54"/>
  <c r="CE28" i="54"/>
  <c r="CB28" i="54"/>
  <c r="CC28" i="54" s="1"/>
  <c r="BS28" i="54"/>
  <c r="BH28" i="54"/>
  <c r="AY28" i="54"/>
  <c r="BI28" i="54" s="1"/>
  <c r="AN28" i="54"/>
  <c r="AE28" i="54"/>
  <c r="T28" i="54"/>
  <c r="K28" i="54"/>
  <c r="CR27" i="54"/>
  <c r="CQ27" i="54"/>
  <c r="CP27" i="54"/>
  <c r="CO27" i="54"/>
  <c r="CM27" i="54"/>
  <c r="CL27" i="54"/>
  <c r="CK27" i="54"/>
  <c r="CJ27" i="54"/>
  <c r="CH27" i="54"/>
  <c r="CG27" i="54"/>
  <c r="CF27" i="54"/>
  <c r="CE27" i="54"/>
  <c r="CB27" i="54"/>
  <c r="BS27" i="54"/>
  <c r="BH27" i="54"/>
  <c r="AY27" i="54"/>
  <c r="AN27" i="54"/>
  <c r="AE27" i="54"/>
  <c r="T27" i="54"/>
  <c r="K27" i="54"/>
  <c r="CR26" i="54"/>
  <c r="CQ26" i="54"/>
  <c r="CP26" i="54"/>
  <c r="CO26" i="54"/>
  <c r="CM26" i="54"/>
  <c r="CL26" i="54"/>
  <c r="CK26" i="54"/>
  <c r="CJ26" i="54"/>
  <c r="CH26" i="54"/>
  <c r="CG26" i="54"/>
  <c r="CF26" i="54"/>
  <c r="CE26" i="54"/>
  <c r="CB26" i="54"/>
  <c r="BS26" i="54"/>
  <c r="BH26" i="54"/>
  <c r="AY26" i="54"/>
  <c r="AN26" i="54"/>
  <c r="AE26" i="54"/>
  <c r="T26" i="54"/>
  <c r="K26" i="54"/>
  <c r="CI26" i="54" s="1"/>
  <c r="CM25" i="54"/>
  <c r="CL25" i="54"/>
  <c r="CK25" i="54"/>
  <c r="CJ25" i="54"/>
  <c r="CB25" i="54"/>
  <c r="BH25" i="54"/>
  <c r="AY25" i="54"/>
  <c r="AN25" i="54"/>
  <c r="AE25" i="54"/>
  <c r="AO25" i="54" s="1"/>
  <c r="U25" i="54"/>
  <c r="T25" i="54"/>
  <c r="K25" i="54"/>
  <c r="CH22" i="54"/>
  <c r="CG22" i="54"/>
  <c r="CF22" i="54"/>
  <c r="CE22" i="54"/>
  <c r="BS22" i="54"/>
  <c r="AY22" i="54"/>
  <c r="AE22" i="54"/>
  <c r="K22" i="54"/>
  <c r="CR21" i="54"/>
  <c r="CQ21" i="54"/>
  <c r="CP21" i="54"/>
  <c r="CO21" i="54"/>
  <c r="CM21" i="54"/>
  <c r="CL21" i="54"/>
  <c r="CK21" i="54"/>
  <c r="CJ21" i="54"/>
  <c r="CH21" i="54"/>
  <c r="CG21" i="54"/>
  <c r="CF21" i="54"/>
  <c r="CE21" i="54"/>
  <c r="CB21" i="54"/>
  <c r="BS21" i="54"/>
  <c r="CC21" i="54" s="1"/>
  <c r="BH21" i="54"/>
  <c r="AY21" i="54"/>
  <c r="AN21" i="54"/>
  <c r="AE21" i="54"/>
  <c r="T21" i="54"/>
  <c r="K21" i="54"/>
  <c r="CA20" i="54"/>
  <c r="BZ20" i="54"/>
  <c r="BZ23" i="54" s="1"/>
  <c r="BY20" i="54"/>
  <c r="BX20" i="54"/>
  <c r="BX23" i="54" s="1"/>
  <c r="BW20" i="54"/>
  <c r="BV20" i="54"/>
  <c r="BV23" i="54" s="1"/>
  <c r="BU20" i="54"/>
  <c r="BT20" i="54"/>
  <c r="BT23" i="54" s="1"/>
  <c r="BR20" i="54"/>
  <c r="BR23" i="54" s="1"/>
  <c r="BQ20" i="54"/>
  <c r="BQ23" i="54" s="1"/>
  <c r="BP20" i="54"/>
  <c r="BP23" i="54" s="1"/>
  <c r="BO20" i="54"/>
  <c r="BO23" i="54" s="1"/>
  <c r="BN20" i="54"/>
  <c r="BN23" i="54" s="1"/>
  <c r="BM20" i="54"/>
  <c r="BM23" i="54" s="1"/>
  <c r="BL20" i="54"/>
  <c r="BL23" i="54" s="1"/>
  <c r="BK20" i="54"/>
  <c r="BG20" i="54"/>
  <c r="BF20" i="54"/>
  <c r="BF23" i="54" s="1"/>
  <c r="BE20" i="54"/>
  <c r="BD20" i="54"/>
  <c r="BD23" i="54" s="1"/>
  <c r="BC20" i="54"/>
  <c r="BB20" i="54"/>
  <c r="BB23" i="54" s="1"/>
  <c r="BA20" i="54"/>
  <c r="AZ20" i="54"/>
  <c r="AZ23" i="54" s="1"/>
  <c r="AX20" i="54"/>
  <c r="AX23" i="54" s="1"/>
  <c r="AW20" i="54"/>
  <c r="AW23" i="54" s="1"/>
  <c r="AV20" i="54"/>
  <c r="AV23" i="54" s="1"/>
  <c r="AU20" i="54"/>
  <c r="AU23" i="54" s="1"/>
  <c r="AT20" i="54"/>
  <c r="AT23" i="54" s="1"/>
  <c r="AS20" i="54"/>
  <c r="AS23" i="54" s="1"/>
  <c r="AR20" i="54"/>
  <c r="AR23" i="54" s="1"/>
  <c r="AQ20" i="54"/>
  <c r="AQ23" i="54" s="1"/>
  <c r="AM20" i="54"/>
  <c r="AL20" i="54"/>
  <c r="AL23" i="54" s="1"/>
  <c r="AK20" i="54"/>
  <c r="AJ20" i="54"/>
  <c r="AI20" i="54"/>
  <c r="AH20" i="54"/>
  <c r="AH23" i="54" s="1"/>
  <c r="AG20" i="54"/>
  <c r="AF20" i="54"/>
  <c r="AF23" i="54" s="1"/>
  <c r="AD20" i="54"/>
  <c r="AD23" i="54" s="1"/>
  <c r="AC20" i="54"/>
  <c r="AC23" i="54" s="1"/>
  <c r="AB20" i="54"/>
  <c r="AB23" i="54" s="1"/>
  <c r="AA20" i="54"/>
  <c r="AA23" i="54" s="1"/>
  <c r="Z20" i="54"/>
  <c r="Z23" i="54" s="1"/>
  <c r="Y20" i="54"/>
  <c r="Y23" i="54" s="1"/>
  <c r="X20" i="54"/>
  <c r="X23" i="54" s="1"/>
  <c r="W20" i="54"/>
  <c r="W23" i="54" s="1"/>
  <c r="S20" i="54"/>
  <c r="R20" i="54"/>
  <c r="Q20" i="54"/>
  <c r="P20" i="54"/>
  <c r="P23" i="54" s="1"/>
  <c r="O20" i="54"/>
  <c r="N20" i="54"/>
  <c r="N23" i="54" s="1"/>
  <c r="M20" i="54"/>
  <c r="L20" i="54"/>
  <c r="J20" i="54"/>
  <c r="J23" i="54" s="1"/>
  <c r="I20" i="54"/>
  <c r="I23" i="54" s="1"/>
  <c r="H20" i="54"/>
  <c r="H23" i="54" s="1"/>
  <c r="G20" i="54"/>
  <c r="F20" i="54"/>
  <c r="F23" i="54" s="1"/>
  <c r="E20" i="54"/>
  <c r="D20" i="54"/>
  <c r="D23" i="54" s="1"/>
  <c r="C20" i="54"/>
  <c r="CR19" i="54"/>
  <c r="CQ19" i="54"/>
  <c r="CP19" i="54"/>
  <c r="CO19" i="54"/>
  <c r="CM19" i="54"/>
  <c r="CL19" i="54"/>
  <c r="CK19" i="54"/>
  <c r="CJ19" i="54"/>
  <c r="CH19" i="54"/>
  <c r="CG19" i="54"/>
  <c r="CF19" i="54"/>
  <c r="CE19" i="54"/>
  <c r="CB19" i="54"/>
  <c r="BS19" i="54"/>
  <c r="BH19" i="54"/>
  <c r="AY19" i="54"/>
  <c r="AN19" i="54"/>
  <c r="AE19" i="54"/>
  <c r="T19" i="54"/>
  <c r="U19" i="54" s="1"/>
  <c r="K19" i="54"/>
  <c r="CR18" i="54"/>
  <c r="CQ18" i="54"/>
  <c r="CP18" i="54"/>
  <c r="CO18" i="54"/>
  <c r="CM18" i="54"/>
  <c r="CL18" i="54"/>
  <c r="CK18" i="54"/>
  <c r="CJ18" i="54"/>
  <c r="CH18" i="54"/>
  <c r="CG18" i="54"/>
  <c r="CF18" i="54"/>
  <c r="CE18" i="54"/>
  <c r="CB18" i="54"/>
  <c r="BS18" i="54"/>
  <c r="BH18" i="54"/>
  <c r="AY18" i="54"/>
  <c r="AN18" i="54"/>
  <c r="AE18" i="54"/>
  <c r="T18" i="54"/>
  <c r="K18" i="54"/>
  <c r="CR17" i="54"/>
  <c r="CQ17" i="54"/>
  <c r="CP17" i="54"/>
  <c r="CO17" i="54"/>
  <c r="CM17" i="54"/>
  <c r="CL17" i="54"/>
  <c r="CK17" i="54"/>
  <c r="CJ17" i="54"/>
  <c r="CH17" i="54"/>
  <c r="CG17" i="54"/>
  <c r="CF17" i="54"/>
  <c r="CE17" i="54"/>
  <c r="CB17" i="54"/>
  <c r="BS17" i="54"/>
  <c r="BH17" i="54"/>
  <c r="AY17" i="54"/>
  <c r="AN17" i="54"/>
  <c r="AE17" i="54"/>
  <c r="T17" i="54"/>
  <c r="K17" i="54"/>
  <c r="CR16" i="54"/>
  <c r="CQ16" i="54"/>
  <c r="CP16" i="54"/>
  <c r="CO16" i="54"/>
  <c r="CM16" i="54"/>
  <c r="CL16" i="54"/>
  <c r="CK16" i="54"/>
  <c r="CJ16" i="54"/>
  <c r="CH16" i="54"/>
  <c r="CG16" i="54"/>
  <c r="CF16" i="54"/>
  <c r="CE16" i="54"/>
  <c r="CB16" i="54"/>
  <c r="BS16" i="54"/>
  <c r="BH16" i="54"/>
  <c r="AY16" i="54"/>
  <c r="AN16" i="54"/>
  <c r="AE16" i="54"/>
  <c r="T16" i="54"/>
  <c r="K16" i="54"/>
  <c r="CA14" i="54"/>
  <c r="BZ14" i="54"/>
  <c r="BY14" i="54"/>
  <c r="BX14" i="54"/>
  <c r="BW14" i="54"/>
  <c r="BV14" i="54"/>
  <c r="BU14" i="54"/>
  <c r="BT14" i="54"/>
  <c r="BR14" i="54"/>
  <c r="BQ14" i="54"/>
  <c r="BP14" i="54"/>
  <c r="BO14" i="54"/>
  <c r="BN14" i="54"/>
  <c r="BM14" i="54"/>
  <c r="BL14" i="54"/>
  <c r="BK14" i="54"/>
  <c r="BG14" i="54"/>
  <c r="BF14" i="54"/>
  <c r="BE14" i="54"/>
  <c r="BC14" i="54"/>
  <c r="BA14" i="54"/>
  <c r="AZ14" i="54"/>
  <c r="AX14" i="54"/>
  <c r="AV14" i="54"/>
  <c r="AT14" i="54"/>
  <c r="AS14" i="54"/>
  <c r="AR14" i="54"/>
  <c r="AM14" i="54"/>
  <c r="AL14" i="54"/>
  <c r="AK14" i="54"/>
  <c r="AJ14" i="54"/>
  <c r="AI14" i="54"/>
  <c r="AH14" i="54"/>
  <c r="AG14" i="54"/>
  <c r="AF14" i="54"/>
  <c r="AD14" i="54"/>
  <c r="AC14" i="54"/>
  <c r="AB14" i="54"/>
  <c r="AA14" i="54"/>
  <c r="Z14" i="54"/>
  <c r="Y14" i="54"/>
  <c r="X14" i="54"/>
  <c r="W14" i="54"/>
  <c r="S14" i="54"/>
  <c r="Q14" i="54"/>
  <c r="O14" i="54"/>
  <c r="M14" i="54"/>
  <c r="L14" i="54"/>
  <c r="J14" i="54"/>
  <c r="H14" i="54"/>
  <c r="F14" i="54"/>
  <c r="E14" i="54"/>
  <c r="D14" i="54"/>
  <c r="CR85" i="53"/>
  <c r="CQ85" i="53"/>
  <c r="CP85" i="53"/>
  <c r="CO85" i="53"/>
  <c r="CM85" i="53"/>
  <c r="CL85" i="53"/>
  <c r="CK85" i="53"/>
  <c r="CJ85" i="53"/>
  <c r="CH85" i="53"/>
  <c r="CG85" i="53"/>
  <c r="CF85" i="53"/>
  <c r="CE85" i="53"/>
  <c r="CB85" i="53"/>
  <c r="CC85" i="53" s="1"/>
  <c r="BS85" i="53"/>
  <c r="BH85" i="53"/>
  <c r="BI85" i="53" s="1"/>
  <c r="AY85" i="53"/>
  <c r="AN85" i="53"/>
  <c r="AE85" i="53"/>
  <c r="T85" i="53"/>
  <c r="K85" i="53"/>
  <c r="CR84" i="53"/>
  <c r="CQ84" i="53"/>
  <c r="CP84" i="53"/>
  <c r="CO84" i="53"/>
  <c r="CM84" i="53"/>
  <c r="CL84" i="53"/>
  <c r="CK84" i="53"/>
  <c r="CJ84" i="53"/>
  <c r="CH84" i="53"/>
  <c r="CG84" i="53"/>
  <c r="CF84" i="53"/>
  <c r="CE84" i="53"/>
  <c r="CB84" i="53"/>
  <c r="CC84" i="53" s="1"/>
  <c r="BS84" i="53"/>
  <c r="BH84" i="53"/>
  <c r="AY84" i="53"/>
  <c r="AN84" i="53"/>
  <c r="AE84" i="53"/>
  <c r="U84" i="53"/>
  <c r="T84" i="53"/>
  <c r="K84" i="53"/>
  <c r="CR83" i="53"/>
  <c r="CQ83" i="53"/>
  <c r="CP83" i="53"/>
  <c r="CO83" i="53"/>
  <c r="CM83" i="53"/>
  <c r="CL83" i="53"/>
  <c r="CK83" i="53"/>
  <c r="CJ83" i="53"/>
  <c r="CH83" i="53"/>
  <c r="CG83" i="53"/>
  <c r="CF83" i="53"/>
  <c r="CE83" i="53"/>
  <c r="CB83" i="53"/>
  <c r="BS83" i="53"/>
  <c r="BH83" i="53"/>
  <c r="AY83" i="53"/>
  <c r="BI83" i="53" s="1"/>
  <c r="AO83" i="53"/>
  <c r="AN83" i="53"/>
  <c r="AE83" i="53"/>
  <c r="T83" i="53"/>
  <c r="K83" i="53"/>
  <c r="CR82" i="53"/>
  <c r="CQ82" i="53"/>
  <c r="CP82" i="53"/>
  <c r="CO82" i="53"/>
  <c r="CM82" i="53"/>
  <c r="CL82" i="53"/>
  <c r="CK82" i="53"/>
  <c r="CJ82" i="53"/>
  <c r="CH82" i="53"/>
  <c r="CG82" i="53"/>
  <c r="CF82" i="53"/>
  <c r="CE82" i="53"/>
  <c r="CB82" i="53"/>
  <c r="CC82" i="53" s="1"/>
  <c r="BS82" i="53"/>
  <c r="BH82" i="53"/>
  <c r="BI82" i="53" s="1"/>
  <c r="AY82" i="53"/>
  <c r="AN82" i="53"/>
  <c r="AE82" i="53"/>
  <c r="T82" i="53"/>
  <c r="K82" i="53"/>
  <c r="CI82" i="53" s="1"/>
  <c r="CR80" i="53"/>
  <c r="CQ80" i="53"/>
  <c r="CP80" i="53"/>
  <c r="CO80" i="53"/>
  <c r="CM80" i="53"/>
  <c r="CL80" i="53"/>
  <c r="CK80" i="53"/>
  <c r="CJ80" i="53"/>
  <c r="CH80" i="53"/>
  <c r="CG80" i="53"/>
  <c r="CF80" i="53"/>
  <c r="CE80" i="53"/>
  <c r="CB80" i="53"/>
  <c r="BS80" i="53"/>
  <c r="BH80" i="53"/>
  <c r="BI80" i="53" s="1"/>
  <c r="AY80" i="53"/>
  <c r="AN80" i="53"/>
  <c r="AE80" i="53"/>
  <c r="T80" i="53"/>
  <c r="K80" i="53"/>
  <c r="CR78" i="53"/>
  <c r="CQ78" i="53"/>
  <c r="CP78" i="53"/>
  <c r="CO78" i="53"/>
  <c r="CM78" i="53"/>
  <c r="CL78" i="53"/>
  <c r="CK78" i="53"/>
  <c r="CJ78" i="53"/>
  <c r="CH78" i="53"/>
  <c r="CG78" i="53"/>
  <c r="CF78" i="53"/>
  <c r="CE78" i="53"/>
  <c r="CB78" i="53"/>
  <c r="BS78" i="53"/>
  <c r="BH78" i="53"/>
  <c r="BI78" i="53" s="1"/>
  <c r="AY78" i="53"/>
  <c r="AN78" i="53"/>
  <c r="AO78" i="53" s="1"/>
  <c r="AE78" i="53"/>
  <c r="T78" i="53"/>
  <c r="K78" i="53"/>
  <c r="CR77" i="53"/>
  <c r="CQ77" i="53"/>
  <c r="CP77" i="53"/>
  <c r="CO77" i="53"/>
  <c r="CM77" i="53"/>
  <c r="CL77" i="53"/>
  <c r="CK77" i="53"/>
  <c r="CJ77" i="53"/>
  <c r="CH77" i="53"/>
  <c r="CG77" i="53"/>
  <c r="CF77" i="53"/>
  <c r="CE77" i="53"/>
  <c r="CB77" i="53"/>
  <c r="BS77" i="53"/>
  <c r="CC77" i="53" s="1"/>
  <c r="BH77" i="53"/>
  <c r="BI77" i="53" s="1"/>
  <c r="AY77" i="53"/>
  <c r="AN77" i="53"/>
  <c r="AE77" i="53"/>
  <c r="T77" i="53"/>
  <c r="U77" i="53" s="1"/>
  <c r="K77" i="53"/>
  <c r="CR76" i="53"/>
  <c r="CQ76" i="53"/>
  <c r="CP76" i="53"/>
  <c r="CO76" i="53"/>
  <c r="CM76" i="53"/>
  <c r="CL76" i="53"/>
  <c r="CK76" i="53"/>
  <c r="CJ76" i="53"/>
  <c r="CH76" i="53"/>
  <c r="CG76" i="53"/>
  <c r="CF76" i="53"/>
  <c r="CE76" i="53"/>
  <c r="CB76" i="53"/>
  <c r="BS76" i="53"/>
  <c r="BH76" i="53"/>
  <c r="AY76" i="53"/>
  <c r="AN76" i="53"/>
  <c r="AE76" i="53"/>
  <c r="T76" i="53"/>
  <c r="CN76" i="53" s="1"/>
  <c r="K76" i="53"/>
  <c r="CA70" i="53"/>
  <c r="BZ70" i="53"/>
  <c r="BY70" i="53"/>
  <c r="BX70" i="53"/>
  <c r="BW70" i="53"/>
  <c r="BV70" i="53"/>
  <c r="BU70" i="53"/>
  <c r="BT70" i="53"/>
  <c r="BR70" i="53"/>
  <c r="BQ70" i="53"/>
  <c r="BP70" i="53"/>
  <c r="BO70" i="53"/>
  <c r="BN70" i="53"/>
  <c r="BM70" i="53"/>
  <c r="BL70" i="53"/>
  <c r="BK70" i="53"/>
  <c r="BG70" i="53"/>
  <c r="BF70" i="53"/>
  <c r="BE70" i="53"/>
  <c r="BD70" i="53"/>
  <c r="BC70" i="53"/>
  <c r="BB70" i="53"/>
  <c r="BA70" i="53"/>
  <c r="AZ70" i="53"/>
  <c r="AX70" i="53"/>
  <c r="AW70" i="53"/>
  <c r="AV70" i="53"/>
  <c r="AU70" i="53"/>
  <c r="AT70" i="53"/>
  <c r="AS70" i="53"/>
  <c r="AR70" i="53"/>
  <c r="AQ70" i="53"/>
  <c r="AM70" i="53"/>
  <c r="AL70" i="53"/>
  <c r="AK70" i="53"/>
  <c r="AJ70" i="53"/>
  <c r="AI70" i="53"/>
  <c r="AH70" i="53"/>
  <c r="AG70" i="53"/>
  <c r="AF70" i="53"/>
  <c r="AD70" i="53"/>
  <c r="AC70" i="53"/>
  <c r="AB70" i="53"/>
  <c r="AA70" i="53"/>
  <c r="Z70" i="53"/>
  <c r="Y70" i="53"/>
  <c r="X70" i="53"/>
  <c r="W70" i="53"/>
  <c r="S70" i="53"/>
  <c r="R70" i="53"/>
  <c r="Q70" i="53"/>
  <c r="P70" i="53"/>
  <c r="O70" i="53"/>
  <c r="N70" i="53"/>
  <c r="M70" i="53"/>
  <c r="L70" i="53"/>
  <c r="J70" i="53"/>
  <c r="I70" i="53"/>
  <c r="H70" i="53"/>
  <c r="G70" i="53"/>
  <c r="F70" i="53"/>
  <c r="E70" i="53"/>
  <c r="D70" i="53"/>
  <c r="C70" i="53"/>
  <c r="AL66" i="53"/>
  <c r="AJ66" i="53"/>
  <c r="AH66" i="53"/>
  <c r="AF66" i="53"/>
  <c r="AD66" i="53"/>
  <c r="AC66" i="53"/>
  <c r="AB66" i="53"/>
  <c r="AA66" i="53"/>
  <c r="Z66" i="53"/>
  <c r="Y66" i="53"/>
  <c r="X66" i="53"/>
  <c r="W66" i="53"/>
  <c r="L66" i="53"/>
  <c r="J66" i="53"/>
  <c r="I66" i="53"/>
  <c r="H66" i="53"/>
  <c r="G66" i="53"/>
  <c r="F66" i="53"/>
  <c r="E66" i="53"/>
  <c r="D66" i="53"/>
  <c r="C66" i="53"/>
  <c r="CR64" i="53"/>
  <c r="CQ64" i="53"/>
  <c r="CP64" i="53"/>
  <c r="CO64" i="53"/>
  <c r="CM64" i="53"/>
  <c r="CL64" i="53"/>
  <c r="CK64" i="53"/>
  <c r="CJ64" i="53"/>
  <c r="CH64" i="53"/>
  <c r="CG64" i="53"/>
  <c r="CF64" i="53"/>
  <c r="CE64" i="53"/>
  <c r="CB64" i="53"/>
  <c r="BS64" i="53"/>
  <c r="BH64" i="53"/>
  <c r="BI64" i="53" s="1"/>
  <c r="AY64" i="53"/>
  <c r="AN64" i="53"/>
  <c r="AE64" i="53"/>
  <c r="T64" i="53"/>
  <c r="K64" i="53"/>
  <c r="CR63" i="53"/>
  <c r="CQ63" i="53"/>
  <c r="CP63" i="53"/>
  <c r="CO63" i="53"/>
  <c r="CM63" i="53"/>
  <c r="CL63" i="53"/>
  <c r="CK63" i="53"/>
  <c r="CJ63" i="53"/>
  <c r="CH63" i="53"/>
  <c r="CG63" i="53"/>
  <c r="CF63" i="53"/>
  <c r="CE63" i="53"/>
  <c r="CB63" i="53"/>
  <c r="BS63" i="53"/>
  <c r="BH63" i="53"/>
  <c r="AY63" i="53"/>
  <c r="AN63" i="53"/>
  <c r="AE63" i="53"/>
  <c r="T63" i="53"/>
  <c r="K63" i="53"/>
  <c r="CR62" i="53"/>
  <c r="CQ62" i="53"/>
  <c r="CP62" i="53"/>
  <c r="CO62" i="53"/>
  <c r="CM62" i="53"/>
  <c r="CL62" i="53"/>
  <c r="CK62" i="53"/>
  <c r="CJ62" i="53"/>
  <c r="CH62" i="53"/>
  <c r="CG62" i="53"/>
  <c r="CF62" i="53"/>
  <c r="CE62" i="53"/>
  <c r="CB62" i="53"/>
  <c r="BS62" i="53"/>
  <c r="BH62" i="53"/>
  <c r="AY62" i="53"/>
  <c r="AN62" i="53"/>
  <c r="AE62" i="53"/>
  <c r="T62" i="53"/>
  <c r="K62" i="53"/>
  <c r="CR61" i="53"/>
  <c r="CQ61" i="53"/>
  <c r="CP61" i="53"/>
  <c r="CO61" i="53"/>
  <c r="CM61" i="53"/>
  <c r="CL61" i="53"/>
  <c r="CK61" i="53"/>
  <c r="CJ61" i="53"/>
  <c r="CH61" i="53"/>
  <c r="CG61" i="53"/>
  <c r="CF61" i="53"/>
  <c r="CE61" i="53"/>
  <c r="CB61" i="53"/>
  <c r="BS61" i="53"/>
  <c r="BH61" i="53"/>
  <c r="AY61" i="53"/>
  <c r="AN61" i="53"/>
  <c r="AE61" i="53"/>
  <c r="T61" i="53"/>
  <c r="K61" i="53"/>
  <c r="CR60" i="53"/>
  <c r="CQ60" i="53"/>
  <c r="CP60" i="53"/>
  <c r="CO60" i="53"/>
  <c r="CM60" i="53"/>
  <c r="CL60" i="53"/>
  <c r="CK60" i="53"/>
  <c r="CJ60" i="53"/>
  <c r="CH60" i="53"/>
  <c r="CG60" i="53"/>
  <c r="CF60" i="53"/>
  <c r="CE60" i="53"/>
  <c r="CB60" i="53"/>
  <c r="BS60" i="53"/>
  <c r="BH60" i="53"/>
  <c r="AY60" i="53"/>
  <c r="AN60" i="53"/>
  <c r="AE60" i="53"/>
  <c r="T60" i="53"/>
  <c r="K60" i="53"/>
  <c r="CR59" i="53"/>
  <c r="CQ59" i="53"/>
  <c r="CP59" i="53"/>
  <c r="CO59" i="53"/>
  <c r="CM59" i="53"/>
  <c r="CL59" i="53"/>
  <c r="CK59" i="53"/>
  <c r="CJ59" i="53"/>
  <c r="CH59" i="53"/>
  <c r="CG59" i="53"/>
  <c r="CF59" i="53"/>
  <c r="CE59" i="53"/>
  <c r="CB59" i="53"/>
  <c r="BS59" i="53"/>
  <c r="BH59" i="53"/>
  <c r="AY59" i="53"/>
  <c r="AN59" i="53"/>
  <c r="AE59" i="53"/>
  <c r="T59" i="53"/>
  <c r="K59" i="53"/>
  <c r="CR58" i="53"/>
  <c r="CQ58" i="53"/>
  <c r="CP58" i="53"/>
  <c r="CO58" i="53"/>
  <c r="CM58" i="53"/>
  <c r="CL58" i="53"/>
  <c r="CK58" i="53"/>
  <c r="CJ58" i="53"/>
  <c r="CH58" i="53"/>
  <c r="CG58" i="53"/>
  <c r="CF58" i="53"/>
  <c r="CE58" i="53"/>
  <c r="CB58" i="53"/>
  <c r="BS58" i="53"/>
  <c r="BH58" i="53"/>
  <c r="AY58" i="53"/>
  <c r="AN58" i="53"/>
  <c r="AE58" i="53"/>
  <c r="T58" i="53"/>
  <c r="K58" i="53"/>
  <c r="CR57" i="53"/>
  <c r="CQ57" i="53"/>
  <c r="CP57" i="53"/>
  <c r="CO57" i="53"/>
  <c r="CM57" i="53"/>
  <c r="CL57" i="53"/>
  <c r="CK57" i="53"/>
  <c r="CJ57" i="53"/>
  <c r="CH57" i="53"/>
  <c r="CG57" i="53"/>
  <c r="CF57" i="53"/>
  <c r="CE57" i="53"/>
  <c r="CB57" i="53"/>
  <c r="BS57" i="53"/>
  <c r="BH57" i="53"/>
  <c r="AY57" i="53"/>
  <c r="AN57" i="53"/>
  <c r="AE57" i="53"/>
  <c r="T57" i="53"/>
  <c r="K57" i="53"/>
  <c r="CR56" i="53"/>
  <c r="CQ56" i="53"/>
  <c r="CP56" i="53"/>
  <c r="CO56" i="53"/>
  <c r="CM56" i="53"/>
  <c r="CL56" i="53"/>
  <c r="CK56" i="53"/>
  <c r="CJ56" i="53"/>
  <c r="CH56" i="53"/>
  <c r="CG56" i="53"/>
  <c r="CF56" i="53"/>
  <c r="CE56" i="53"/>
  <c r="CB56" i="53"/>
  <c r="BS56" i="53"/>
  <c r="BH56" i="53"/>
  <c r="AY56" i="53"/>
  <c r="AN56" i="53"/>
  <c r="AE56" i="53"/>
  <c r="T56" i="53"/>
  <c r="K56" i="53"/>
  <c r="CR55" i="53"/>
  <c r="CQ55" i="53"/>
  <c r="CP55" i="53"/>
  <c r="CO55" i="53"/>
  <c r="CM55" i="53"/>
  <c r="CL55" i="53"/>
  <c r="CK55" i="53"/>
  <c r="CJ55" i="53"/>
  <c r="CH55" i="53"/>
  <c r="CG55" i="53"/>
  <c r="CF55" i="53"/>
  <c r="CE55" i="53"/>
  <c r="CB55" i="53"/>
  <c r="BS55" i="53"/>
  <c r="BH55" i="53"/>
  <c r="AY55" i="53"/>
  <c r="AN55" i="53"/>
  <c r="AE55" i="53"/>
  <c r="T55" i="53"/>
  <c r="K55" i="53"/>
  <c r="CR54" i="53"/>
  <c r="CQ54" i="53"/>
  <c r="CP54" i="53"/>
  <c r="CO54" i="53"/>
  <c r="CM54" i="53"/>
  <c r="CL54" i="53"/>
  <c r="CK54" i="53"/>
  <c r="CJ54" i="53"/>
  <c r="CH54" i="53"/>
  <c r="CG54" i="53"/>
  <c r="CF54" i="53"/>
  <c r="CE54" i="53"/>
  <c r="CB54" i="53"/>
  <c r="BS54" i="53"/>
  <c r="BH54" i="53"/>
  <c r="AY54" i="53"/>
  <c r="AN54" i="53"/>
  <c r="AE54" i="53"/>
  <c r="T54" i="53"/>
  <c r="K54" i="53"/>
  <c r="CR53" i="53"/>
  <c r="CQ53" i="53"/>
  <c r="CP53" i="53"/>
  <c r="CO53" i="53"/>
  <c r="CM53" i="53"/>
  <c r="CL53" i="53"/>
  <c r="CK53" i="53"/>
  <c r="CJ53" i="53"/>
  <c r="CH53" i="53"/>
  <c r="CG53" i="53"/>
  <c r="CF53" i="53"/>
  <c r="CE53" i="53"/>
  <c r="CB53" i="53"/>
  <c r="BS53" i="53"/>
  <c r="BH53" i="53"/>
  <c r="AY53" i="53"/>
  <c r="AN53" i="53"/>
  <c r="AE53" i="53"/>
  <c r="T53" i="53"/>
  <c r="K53" i="53"/>
  <c r="CR52" i="53"/>
  <c r="CQ52" i="53"/>
  <c r="CP52" i="53"/>
  <c r="CO52" i="53"/>
  <c r="CM52" i="53"/>
  <c r="CL52" i="53"/>
  <c r="CK52" i="53"/>
  <c r="CJ52" i="53"/>
  <c r="CH52" i="53"/>
  <c r="CG52" i="53"/>
  <c r="CF52" i="53"/>
  <c r="CE52" i="53"/>
  <c r="CB52" i="53"/>
  <c r="BS52" i="53"/>
  <c r="BH52" i="53"/>
  <c r="AY52" i="53"/>
  <c r="AN52" i="53"/>
  <c r="AE52" i="53"/>
  <c r="T52" i="53"/>
  <c r="K52" i="53"/>
  <c r="CR51" i="53"/>
  <c r="CQ51" i="53"/>
  <c r="CP51" i="53"/>
  <c r="CO51" i="53"/>
  <c r="CM51" i="53"/>
  <c r="CL51" i="53"/>
  <c r="CK51" i="53"/>
  <c r="CJ51" i="53"/>
  <c r="CH51" i="53"/>
  <c r="CG51" i="53"/>
  <c r="CF51" i="53"/>
  <c r="CE51" i="53"/>
  <c r="CB51" i="53"/>
  <c r="BS51" i="53"/>
  <c r="BH51" i="53"/>
  <c r="AY51" i="53"/>
  <c r="AN51" i="53"/>
  <c r="AE51" i="53"/>
  <c r="T51" i="53"/>
  <c r="K51" i="53"/>
  <c r="CR50" i="53"/>
  <c r="CQ50" i="53"/>
  <c r="CP50" i="53"/>
  <c r="CO50" i="53"/>
  <c r="CM50" i="53"/>
  <c r="CL50" i="53"/>
  <c r="CK50" i="53"/>
  <c r="CJ50" i="53"/>
  <c r="CH50" i="53"/>
  <c r="CG50" i="53"/>
  <c r="CF50" i="53"/>
  <c r="CE50" i="53"/>
  <c r="CB50" i="53"/>
  <c r="BS50" i="53"/>
  <c r="BH50" i="53"/>
  <c r="AY50" i="53"/>
  <c r="AN50" i="53"/>
  <c r="AE50" i="53"/>
  <c r="T50" i="53"/>
  <c r="K50" i="53"/>
  <c r="CR49" i="53"/>
  <c r="CQ49" i="53"/>
  <c r="CP49" i="53"/>
  <c r="CO49" i="53"/>
  <c r="CM49" i="53"/>
  <c r="CL49" i="53"/>
  <c r="CK49" i="53"/>
  <c r="CJ49" i="53"/>
  <c r="CH49" i="53"/>
  <c r="CG49" i="53"/>
  <c r="CF49" i="53"/>
  <c r="CE49" i="53"/>
  <c r="CB49" i="53"/>
  <c r="BS49" i="53"/>
  <c r="BH49" i="53"/>
  <c r="AY49" i="53"/>
  <c r="AN49" i="53"/>
  <c r="AE49" i="53"/>
  <c r="T49" i="53"/>
  <c r="K49" i="53"/>
  <c r="CR48" i="53"/>
  <c r="CQ48" i="53"/>
  <c r="CP48" i="53"/>
  <c r="CO48" i="53"/>
  <c r="CM48" i="53"/>
  <c r="CL48" i="53"/>
  <c r="CK48" i="53"/>
  <c r="CJ48" i="53"/>
  <c r="CH48" i="53"/>
  <c r="CG48" i="53"/>
  <c r="CF48" i="53"/>
  <c r="CE48" i="53"/>
  <c r="CB48" i="53"/>
  <c r="BS48" i="53"/>
  <c r="BH48" i="53"/>
  <c r="AY48" i="53"/>
  <c r="AN48" i="53"/>
  <c r="AE48" i="53"/>
  <c r="T48" i="53"/>
  <c r="K48" i="53"/>
  <c r="CH47" i="53"/>
  <c r="CG47" i="53"/>
  <c r="CF47" i="53"/>
  <c r="CE47" i="53"/>
  <c r="BS47" i="53"/>
  <c r="AY47" i="53"/>
  <c r="AE47" i="53"/>
  <c r="K47" i="53"/>
  <c r="CR46" i="53"/>
  <c r="CQ46" i="53"/>
  <c r="CP46" i="53"/>
  <c r="CO46" i="53"/>
  <c r="CM46" i="53"/>
  <c r="CL46" i="53"/>
  <c r="CK46" i="53"/>
  <c r="CJ46" i="53"/>
  <c r="CH46" i="53"/>
  <c r="CG46" i="53"/>
  <c r="CF46" i="53"/>
  <c r="CE46" i="53"/>
  <c r="CB46" i="53"/>
  <c r="BS46" i="53"/>
  <c r="BH46" i="53"/>
  <c r="AY46" i="53"/>
  <c r="AN46" i="53"/>
  <c r="AE46" i="53"/>
  <c r="T46" i="53"/>
  <c r="K46" i="53"/>
  <c r="AE45" i="53"/>
  <c r="K45" i="53"/>
  <c r="AE44" i="53"/>
  <c r="K44" i="53"/>
  <c r="CR43" i="53"/>
  <c r="CQ43" i="53"/>
  <c r="CP43" i="53"/>
  <c r="CO43" i="53"/>
  <c r="CM43" i="53"/>
  <c r="CL43" i="53"/>
  <c r="CK43" i="53"/>
  <c r="CJ43" i="53"/>
  <c r="CH43" i="53"/>
  <c r="CG43" i="53"/>
  <c r="CF43" i="53"/>
  <c r="CE43" i="53"/>
  <c r="CB43" i="53"/>
  <c r="BS43" i="53"/>
  <c r="BH43" i="53"/>
  <c r="AY43" i="53"/>
  <c r="AN43" i="53"/>
  <c r="AE43" i="53"/>
  <c r="T43" i="53"/>
  <c r="K43" i="53"/>
  <c r="CR42" i="53"/>
  <c r="CQ42" i="53"/>
  <c r="CP42" i="53"/>
  <c r="CO42" i="53"/>
  <c r="CM42" i="53"/>
  <c r="CL42" i="53"/>
  <c r="CK42" i="53"/>
  <c r="CJ42" i="53"/>
  <c r="CH42" i="53"/>
  <c r="CG42" i="53"/>
  <c r="CF42" i="53"/>
  <c r="CE42" i="53"/>
  <c r="CB42" i="53"/>
  <c r="BS42" i="53"/>
  <c r="BH42" i="53"/>
  <c r="AY42" i="53"/>
  <c r="AN42" i="53"/>
  <c r="AE42" i="53"/>
  <c r="T42" i="53"/>
  <c r="K42" i="53"/>
  <c r="CR41" i="53"/>
  <c r="CQ41" i="53"/>
  <c r="CP41" i="53"/>
  <c r="CO41" i="53"/>
  <c r="CM41" i="53"/>
  <c r="CL41" i="53"/>
  <c r="CK41" i="53"/>
  <c r="CJ41" i="53"/>
  <c r="CH41" i="53"/>
  <c r="CG41" i="53"/>
  <c r="CF41" i="53"/>
  <c r="CE41" i="53"/>
  <c r="CB41" i="53"/>
  <c r="BS41" i="53"/>
  <c r="BH41" i="53"/>
  <c r="AY41" i="53"/>
  <c r="AN41" i="53"/>
  <c r="AE41" i="53"/>
  <c r="T41" i="53"/>
  <c r="K41" i="53"/>
  <c r="CR40" i="53"/>
  <c r="CQ40" i="53"/>
  <c r="CP40" i="53"/>
  <c r="CO40" i="53"/>
  <c r="CM40" i="53"/>
  <c r="CL40" i="53"/>
  <c r="CK40" i="53"/>
  <c r="CJ40" i="53"/>
  <c r="CH40" i="53"/>
  <c r="CG40" i="53"/>
  <c r="CF40" i="53"/>
  <c r="CE40" i="53"/>
  <c r="CB40" i="53"/>
  <c r="BS40" i="53"/>
  <c r="BH40" i="53"/>
  <c r="AY40" i="53"/>
  <c r="AN40" i="53"/>
  <c r="AE40" i="53"/>
  <c r="T40" i="53"/>
  <c r="K40" i="53"/>
  <c r="CR39" i="53"/>
  <c r="CQ39" i="53"/>
  <c r="CP39" i="53"/>
  <c r="CO39" i="53"/>
  <c r="CM39" i="53"/>
  <c r="CL39" i="53"/>
  <c r="CK39" i="53"/>
  <c r="CJ39" i="53"/>
  <c r="CH39" i="53"/>
  <c r="CG39" i="53"/>
  <c r="CF39" i="53"/>
  <c r="CE39" i="53"/>
  <c r="CB39" i="53"/>
  <c r="BS39" i="53"/>
  <c r="BH39" i="53"/>
  <c r="AY39" i="53"/>
  <c r="AN39" i="53"/>
  <c r="AE39" i="53"/>
  <c r="T39" i="53"/>
  <c r="K39" i="53"/>
  <c r="CR38" i="53"/>
  <c r="CQ38" i="53"/>
  <c r="CP38" i="53"/>
  <c r="CO38" i="53"/>
  <c r="CM38" i="53"/>
  <c r="CL38" i="53"/>
  <c r="CK38" i="53"/>
  <c r="CJ38" i="53"/>
  <c r="CH38" i="53"/>
  <c r="CG38" i="53"/>
  <c r="CF38" i="53"/>
  <c r="CE38" i="53"/>
  <c r="CB38" i="53"/>
  <c r="BS38" i="53"/>
  <c r="BH38" i="53"/>
  <c r="AY38" i="53"/>
  <c r="AN38" i="53"/>
  <c r="AE38" i="53"/>
  <c r="T38" i="53"/>
  <c r="K38" i="53"/>
  <c r="CR37" i="53"/>
  <c r="CQ37" i="53"/>
  <c r="CP37" i="53"/>
  <c r="CO37" i="53"/>
  <c r="CM37" i="53"/>
  <c r="CL37" i="53"/>
  <c r="CK37" i="53"/>
  <c r="CJ37" i="53"/>
  <c r="CH37" i="53"/>
  <c r="CG37" i="53"/>
  <c r="CF37" i="53"/>
  <c r="CE37" i="53"/>
  <c r="CB37" i="53"/>
  <c r="BS37" i="53"/>
  <c r="BH37" i="53"/>
  <c r="AY37" i="53"/>
  <c r="AN37" i="53"/>
  <c r="AE37" i="53"/>
  <c r="T37" i="53"/>
  <c r="K37" i="53"/>
  <c r="CR36" i="53"/>
  <c r="CQ36" i="53"/>
  <c r="CP36" i="53"/>
  <c r="CO36" i="53"/>
  <c r="CM36" i="53"/>
  <c r="CL36" i="53"/>
  <c r="CK36" i="53"/>
  <c r="CJ36" i="53"/>
  <c r="CH36" i="53"/>
  <c r="CG36" i="53"/>
  <c r="CF36" i="53"/>
  <c r="CE36" i="53"/>
  <c r="CB36" i="53"/>
  <c r="BS36" i="53"/>
  <c r="BH36" i="53"/>
  <c r="AY36" i="53"/>
  <c r="AN36" i="53"/>
  <c r="AE36" i="53"/>
  <c r="T36" i="53"/>
  <c r="K36" i="53"/>
  <c r="CR35" i="53"/>
  <c r="CQ35" i="53"/>
  <c r="CP35" i="53"/>
  <c r="CO35" i="53"/>
  <c r="CM35" i="53"/>
  <c r="CL35" i="53"/>
  <c r="CK35" i="53"/>
  <c r="CJ35" i="53"/>
  <c r="CH35" i="53"/>
  <c r="CG35" i="53"/>
  <c r="CF35" i="53"/>
  <c r="CE35" i="53"/>
  <c r="CB35" i="53"/>
  <c r="BS35" i="53"/>
  <c r="BH35" i="53"/>
  <c r="AY35" i="53"/>
  <c r="AN35" i="53"/>
  <c r="AE35" i="53"/>
  <c r="T35" i="53"/>
  <c r="K35" i="53"/>
  <c r="CR28" i="53"/>
  <c r="CQ28" i="53"/>
  <c r="CP28" i="53"/>
  <c r="CO28" i="53"/>
  <c r="CM28" i="53"/>
  <c r="CL28" i="53"/>
  <c r="CK28" i="53"/>
  <c r="CJ28" i="53"/>
  <c r="CH28" i="53"/>
  <c r="CG28" i="53"/>
  <c r="CF28" i="53"/>
  <c r="CE28" i="53"/>
  <c r="CB28" i="53"/>
  <c r="BS28" i="53"/>
  <c r="BI28" i="53"/>
  <c r="BH28" i="53"/>
  <c r="AY28" i="53"/>
  <c r="AN28" i="53"/>
  <c r="AE28" i="53"/>
  <c r="AO28" i="53" s="1"/>
  <c r="T28" i="53"/>
  <c r="CN28" i="53" s="1"/>
  <c r="K28" i="53"/>
  <c r="CR27" i="53"/>
  <c r="CQ27" i="53"/>
  <c r="CP27" i="53"/>
  <c r="CO27" i="53"/>
  <c r="CM27" i="53"/>
  <c r="CL27" i="53"/>
  <c r="CK27" i="53"/>
  <c r="CJ27" i="53"/>
  <c r="CH27" i="53"/>
  <c r="CG27" i="53"/>
  <c r="CF27" i="53"/>
  <c r="CE27" i="53"/>
  <c r="CB27" i="53"/>
  <c r="BS27" i="53"/>
  <c r="CC27" i="53" s="1"/>
  <c r="BH27" i="53"/>
  <c r="AY27" i="53"/>
  <c r="AN27" i="53"/>
  <c r="AE27" i="53"/>
  <c r="T27" i="53"/>
  <c r="K27" i="53"/>
  <c r="CR26" i="53"/>
  <c r="CQ26" i="53"/>
  <c r="CP26" i="53"/>
  <c r="CO26" i="53"/>
  <c r="CM26" i="53"/>
  <c r="CL26" i="53"/>
  <c r="CK26" i="53"/>
  <c r="CJ26" i="53"/>
  <c r="CH26" i="53"/>
  <c r="CG26" i="53"/>
  <c r="CF26" i="53"/>
  <c r="CE26" i="53"/>
  <c r="CB26" i="53"/>
  <c r="BS26" i="53"/>
  <c r="BH26" i="53"/>
  <c r="AY26" i="53"/>
  <c r="AN26" i="53"/>
  <c r="AE26" i="53"/>
  <c r="T26" i="53"/>
  <c r="K26" i="53"/>
  <c r="CM25" i="53"/>
  <c r="CL25" i="53"/>
  <c r="CK25" i="53"/>
  <c r="CJ25" i="53"/>
  <c r="CB25" i="53"/>
  <c r="BH25" i="53"/>
  <c r="BI25" i="53" s="1"/>
  <c r="AY25" i="53"/>
  <c r="AN25" i="53"/>
  <c r="AE25" i="53"/>
  <c r="T25" i="53"/>
  <c r="K25" i="53"/>
  <c r="CH22" i="53"/>
  <c r="CG22" i="53"/>
  <c r="CF22" i="53"/>
  <c r="CE22" i="53"/>
  <c r="BS22" i="53"/>
  <c r="AY22" i="53"/>
  <c r="AE22" i="53"/>
  <c r="K22" i="53"/>
  <c r="CR21" i="53"/>
  <c r="CQ21" i="53"/>
  <c r="CP21" i="53"/>
  <c r="CO21" i="53"/>
  <c r="CM21" i="53"/>
  <c r="CL21" i="53"/>
  <c r="CK21" i="53"/>
  <c r="CJ21" i="53"/>
  <c r="CH21" i="53"/>
  <c r="CG21" i="53"/>
  <c r="CF21" i="53"/>
  <c r="CE21" i="53"/>
  <c r="CB21" i="53"/>
  <c r="BS21" i="53"/>
  <c r="BH21" i="53"/>
  <c r="AY21" i="53"/>
  <c r="AN21" i="53"/>
  <c r="AE21" i="53"/>
  <c r="T21" i="53"/>
  <c r="K21" i="53"/>
  <c r="U21" i="53" s="1"/>
  <c r="CA20" i="53"/>
  <c r="BZ20" i="53"/>
  <c r="BZ23" i="53" s="1"/>
  <c r="BY20" i="53"/>
  <c r="BX20" i="53"/>
  <c r="BX23" i="53" s="1"/>
  <c r="BW20" i="53"/>
  <c r="BV20" i="53"/>
  <c r="BV23" i="53" s="1"/>
  <c r="BU20" i="53"/>
  <c r="BT20" i="53"/>
  <c r="BR20" i="53"/>
  <c r="BR23" i="53" s="1"/>
  <c r="BQ20" i="53"/>
  <c r="BQ23" i="53" s="1"/>
  <c r="BP20" i="53"/>
  <c r="BP23" i="53" s="1"/>
  <c r="BO20" i="53"/>
  <c r="BO23" i="53" s="1"/>
  <c r="BN20" i="53"/>
  <c r="BN23" i="53" s="1"/>
  <c r="BM20" i="53"/>
  <c r="BM23" i="53" s="1"/>
  <c r="BL20" i="53"/>
  <c r="BL23" i="53" s="1"/>
  <c r="BK20" i="53"/>
  <c r="BK23" i="53" s="1"/>
  <c r="BG20" i="53"/>
  <c r="BF20" i="53"/>
  <c r="BF23" i="53" s="1"/>
  <c r="BE20" i="53"/>
  <c r="BD20" i="53"/>
  <c r="BD23" i="53" s="1"/>
  <c r="BC20" i="53"/>
  <c r="BB20" i="53"/>
  <c r="BB23" i="53" s="1"/>
  <c r="BA20" i="53"/>
  <c r="AZ20" i="53"/>
  <c r="AZ23" i="53" s="1"/>
  <c r="AX20" i="53"/>
  <c r="AX23" i="53" s="1"/>
  <c r="AW20" i="53"/>
  <c r="AW23" i="53" s="1"/>
  <c r="AV20" i="53"/>
  <c r="AV23" i="53" s="1"/>
  <c r="AU20" i="53"/>
  <c r="AU23" i="53" s="1"/>
  <c r="AT20" i="53"/>
  <c r="AT23" i="53" s="1"/>
  <c r="AS20" i="53"/>
  <c r="AS23" i="53" s="1"/>
  <c r="AR20" i="53"/>
  <c r="AR23" i="53" s="1"/>
  <c r="AQ20" i="53"/>
  <c r="AQ23" i="53" s="1"/>
  <c r="AM20" i="53"/>
  <c r="AL20" i="53"/>
  <c r="AL23" i="53" s="1"/>
  <c r="AK20" i="53"/>
  <c r="AJ20" i="53"/>
  <c r="AJ23" i="53" s="1"/>
  <c r="AI20" i="53"/>
  <c r="AH20" i="53"/>
  <c r="AH23" i="53" s="1"/>
  <c r="AG20" i="53"/>
  <c r="AF20" i="53"/>
  <c r="AD20" i="53"/>
  <c r="AD23" i="53" s="1"/>
  <c r="AC20" i="53"/>
  <c r="AC23" i="53" s="1"/>
  <c r="AB20" i="53"/>
  <c r="AB23" i="53" s="1"/>
  <c r="AA20" i="53"/>
  <c r="AA23" i="53" s="1"/>
  <c r="Z20" i="53"/>
  <c r="Z23" i="53" s="1"/>
  <c r="Y20" i="53"/>
  <c r="X20" i="53"/>
  <c r="X23" i="53" s="1"/>
  <c r="W20" i="53"/>
  <c r="W23" i="53" s="1"/>
  <c r="S20" i="53"/>
  <c r="R20" i="53"/>
  <c r="Q20" i="53"/>
  <c r="P20" i="53"/>
  <c r="O20" i="53"/>
  <c r="N20" i="53"/>
  <c r="N23" i="53" s="1"/>
  <c r="M20" i="53"/>
  <c r="L20" i="53"/>
  <c r="L23" i="53" s="1"/>
  <c r="J20" i="53"/>
  <c r="J23" i="53" s="1"/>
  <c r="I20" i="53"/>
  <c r="H20" i="53"/>
  <c r="H23" i="53" s="1"/>
  <c r="G20" i="53"/>
  <c r="F20" i="53"/>
  <c r="F23" i="53" s="1"/>
  <c r="E20" i="53"/>
  <c r="E23" i="53" s="1"/>
  <c r="D20" i="53"/>
  <c r="D23" i="53" s="1"/>
  <c r="C20" i="53"/>
  <c r="CR19" i="53"/>
  <c r="CQ19" i="53"/>
  <c r="CP19" i="53"/>
  <c r="CO19" i="53"/>
  <c r="CM19" i="53"/>
  <c r="CL19" i="53"/>
  <c r="CK19" i="53"/>
  <c r="CJ19" i="53"/>
  <c r="CH19" i="53"/>
  <c r="CG19" i="53"/>
  <c r="CF19" i="53"/>
  <c r="CE19" i="53"/>
  <c r="CB19" i="53"/>
  <c r="BS19" i="53"/>
  <c r="BH19" i="53"/>
  <c r="AY19" i="53"/>
  <c r="AN19" i="53"/>
  <c r="AE19" i="53"/>
  <c r="T19" i="53"/>
  <c r="K19" i="53"/>
  <c r="CR18" i="53"/>
  <c r="CQ18" i="53"/>
  <c r="CP18" i="53"/>
  <c r="CO18" i="53"/>
  <c r="CM18" i="53"/>
  <c r="CL18" i="53"/>
  <c r="CK18" i="53"/>
  <c r="CJ18" i="53"/>
  <c r="CH18" i="53"/>
  <c r="CG18" i="53"/>
  <c r="CF18" i="53"/>
  <c r="CE18" i="53"/>
  <c r="CB18" i="53"/>
  <c r="BS18" i="53"/>
  <c r="BH18" i="53"/>
  <c r="AY18" i="53"/>
  <c r="AN18" i="53"/>
  <c r="AE18" i="53"/>
  <c r="T18" i="53"/>
  <c r="K18" i="53"/>
  <c r="CR17" i="53"/>
  <c r="CQ17" i="53"/>
  <c r="CP17" i="53"/>
  <c r="CO17" i="53"/>
  <c r="CM17" i="53"/>
  <c r="CL17" i="53"/>
  <c r="CK17" i="53"/>
  <c r="CJ17" i="53"/>
  <c r="CH17" i="53"/>
  <c r="CG17" i="53"/>
  <c r="CF17" i="53"/>
  <c r="CE17" i="53"/>
  <c r="CB17" i="53"/>
  <c r="BS17" i="53"/>
  <c r="BH17" i="53"/>
  <c r="AY17" i="53"/>
  <c r="AN17" i="53"/>
  <c r="AE17" i="53"/>
  <c r="T17" i="53"/>
  <c r="K17" i="53"/>
  <c r="CR16" i="53"/>
  <c r="CQ16" i="53"/>
  <c r="CP16" i="53"/>
  <c r="CO16" i="53"/>
  <c r="CM16" i="53"/>
  <c r="CL16" i="53"/>
  <c r="CK16" i="53"/>
  <c r="CJ16" i="53"/>
  <c r="CH16" i="53"/>
  <c r="CG16" i="53"/>
  <c r="CF16" i="53"/>
  <c r="CE16" i="53"/>
  <c r="CB16" i="53"/>
  <c r="BS16" i="53"/>
  <c r="BH16" i="53"/>
  <c r="AY16" i="53"/>
  <c r="AN16" i="53"/>
  <c r="AE16" i="53"/>
  <c r="T16" i="53"/>
  <c r="K16" i="53"/>
  <c r="CA14" i="53"/>
  <c r="BZ14" i="53"/>
  <c r="BY14" i="53"/>
  <c r="BX14" i="53"/>
  <c r="BW14" i="53"/>
  <c r="BV14" i="53"/>
  <c r="BU14" i="53"/>
  <c r="BT14" i="53"/>
  <c r="BR14" i="53"/>
  <c r="BQ14" i="53"/>
  <c r="BP14" i="53"/>
  <c r="BO14" i="53"/>
  <c r="BN14" i="53"/>
  <c r="BM14" i="53"/>
  <c r="BL14" i="53"/>
  <c r="BK14" i="53"/>
  <c r="BG14" i="53"/>
  <c r="BF14" i="53"/>
  <c r="BE14" i="53"/>
  <c r="BC14" i="53"/>
  <c r="BA14" i="53"/>
  <c r="AZ14" i="53"/>
  <c r="AX14" i="53"/>
  <c r="AV14" i="53"/>
  <c r="AT14" i="53"/>
  <c r="AS14" i="53"/>
  <c r="AR14" i="53"/>
  <c r="AM14" i="53"/>
  <c r="AL14" i="53"/>
  <c r="AK14" i="53"/>
  <c r="AJ14" i="53"/>
  <c r="AI14" i="53"/>
  <c r="AH14" i="53"/>
  <c r="AG14" i="53"/>
  <c r="AF14" i="53"/>
  <c r="AD14" i="53"/>
  <c r="AC14" i="53"/>
  <c r="AB14" i="53"/>
  <c r="AA14" i="53"/>
  <c r="Z14" i="53"/>
  <c r="Y14" i="53"/>
  <c r="X14" i="53"/>
  <c r="W14" i="53"/>
  <c r="S14" i="53"/>
  <c r="Q14" i="53"/>
  <c r="O14" i="53"/>
  <c r="M14" i="53"/>
  <c r="L14" i="53"/>
  <c r="J14" i="53"/>
  <c r="H14" i="53"/>
  <c r="F14" i="53"/>
  <c r="E14" i="53"/>
  <c r="D14" i="53"/>
  <c r="E41" i="39"/>
  <c r="F41" i="39"/>
  <c r="G41" i="39"/>
  <c r="I41" i="39"/>
  <c r="J41" i="39"/>
  <c r="K41" i="39"/>
  <c r="CH45" i="54" l="1"/>
  <c r="AV66" i="54"/>
  <c r="AO21" i="54"/>
  <c r="CF45" i="54"/>
  <c r="AF20" i="36"/>
  <c r="AW20" i="36"/>
  <c r="BO20" i="36"/>
  <c r="AG20" i="36"/>
  <c r="AX20" i="36"/>
  <c r="BP20" i="36"/>
  <c r="AO19" i="53"/>
  <c r="CN21" i="54"/>
  <c r="BR23" i="36"/>
  <c r="AI20" i="36"/>
  <c r="BA20" i="36"/>
  <c r="AM20" i="36"/>
  <c r="BE20" i="36"/>
  <c r="BW20" i="36"/>
  <c r="BF20" i="36"/>
  <c r="AT66" i="54"/>
  <c r="AH20" i="36"/>
  <c r="BQ20" i="36"/>
  <c r="BQ23" i="36" s="1"/>
  <c r="W20" i="36"/>
  <c r="W23" i="36" s="1"/>
  <c r="AL20" i="36"/>
  <c r="AL23" i="36" s="1"/>
  <c r="BV20" i="36"/>
  <c r="X20" i="36"/>
  <c r="X23" i="36" s="1"/>
  <c r="BG20" i="36"/>
  <c r="BY20" i="36"/>
  <c r="AA20" i="36"/>
  <c r="AS20" i="36"/>
  <c r="AS23" i="36" s="1"/>
  <c r="BK20" i="36"/>
  <c r="BK23" i="36" s="1"/>
  <c r="BZ20" i="36"/>
  <c r="BZ23" i="36" s="1"/>
  <c r="AB20" i="36"/>
  <c r="AT20" i="36"/>
  <c r="AT23" i="36" s="1"/>
  <c r="BL20" i="36"/>
  <c r="AC20" i="36"/>
  <c r="AU20" i="36"/>
  <c r="BO23" i="36"/>
  <c r="BM20" i="36"/>
  <c r="BM23" i="36" s="1"/>
  <c r="AD20" i="36"/>
  <c r="AD23" i="36" s="1"/>
  <c r="AV20" i="36"/>
  <c r="AV23" i="36" s="1"/>
  <c r="BN20" i="36"/>
  <c r="BN23" i="36" s="1"/>
  <c r="BD20" i="36"/>
  <c r="BD23" i="36" s="1"/>
  <c r="AO61" i="54"/>
  <c r="CE44" i="54"/>
  <c r="AZ66" i="54"/>
  <c r="BB44" i="36"/>
  <c r="AO62" i="54"/>
  <c r="CC62" i="54"/>
  <c r="CC64" i="54"/>
  <c r="CF44" i="54"/>
  <c r="Z20" i="36"/>
  <c r="Z23" i="36" s="1"/>
  <c r="CC59" i="54"/>
  <c r="AX66" i="54"/>
  <c r="BN66" i="53"/>
  <c r="BX66" i="53"/>
  <c r="BD66" i="54"/>
  <c r="BX45" i="36"/>
  <c r="CF45" i="53"/>
  <c r="CF44" i="53"/>
  <c r="AR66" i="53"/>
  <c r="BD45" i="36"/>
  <c r="BV66" i="53"/>
  <c r="BB66" i="53"/>
  <c r="BB23" i="36"/>
  <c r="BV23" i="36"/>
  <c r="BF44" i="36"/>
  <c r="P66" i="53"/>
  <c r="R45" i="36"/>
  <c r="BV45" i="36"/>
  <c r="N66" i="54"/>
  <c r="N45" i="36"/>
  <c r="P45" i="36"/>
  <c r="P66" i="54"/>
  <c r="BL66" i="53"/>
  <c r="BD44" i="36"/>
  <c r="CH45" i="53"/>
  <c r="BX44" i="36"/>
  <c r="BV44" i="36"/>
  <c r="BK66" i="53"/>
  <c r="BZ66" i="53"/>
  <c r="BF66" i="53"/>
  <c r="N66" i="53"/>
  <c r="CG44" i="53"/>
  <c r="N44" i="36"/>
  <c r="P44" i="36"/>
  <c r="AW66" i="53"/>
  <c r="BS44" i="53"/>
  <c r="R44" i="36"/>
  <c r="CG44" i="54"/>
  <c r="CG66" i="54" s="1"/>
  <c r="BZ44" i="36"/>
  <c r="BB45" i="36"/>
  <c r="AZ45" i="36"/>
  <c r="BF45" i="36"/>
  <c r="CE44" i="53"/>
  <c r="BQ66" i="53"/>
  <c r="AY44" i="54"/>
  <c r="BI18" i="53"/>
  <c r="BU20" i="36"/>
  <c r="BI17" i="54"/>
  <c r="R66" i="54"/>
  <c r="BB66" i="54"/>
  <c r="R66" i="53"/>
  <c r="BD66" i="53"/>
  <c r="AU66" i="53"/>
  <c r="AQ66" i="54"/>
  <c r="AY45" i="53"/>
  <c r="AZ44" i="36"/>
  <c r="CH44" i="54"/>
  <c r="CH66" i="54" s="1"/>
  <c r="BT44" i="36"/>
  <c r="BS45" i="53"/>
  <c r="AS66" i="54"/>
  <c r="CH44" i="53"/>
  <c r="AX66" i="53"/>
  <c r="BR66" i="53"/>
  <c r="CG45" i="53"/>
  <c r="BM66" i="53"/>
  <c r="AY44" i="53"/>
  <c r="CE45" i="53"/>
  <c r="AQ66" i="53"/>
  <c r="AZ66" i="53"/>
  <c r="BT66" i="53"/>
  <c r="CE45" i="54"/>
  <c r="AU66" i="54"/>
  <c r="BT45" i="36"/>
  <c r="AT66" i="53"/>
  <c r="CN18" i="54"/>
  <c r="AY45" i="54"/>
  <c r="CI45" i="54" s="1"/>
  <c r="BT20" i="36"/>
  <c r="BT23" i="36" s="1"/>
  <c r="AV66" i="53"/>
  <c r="BP66" i="53"/>
  <c r="CC17" i="54"/>
  <c r="AO18" i="54"/>
  <c r="CC18" i="53"/>
  <c r="CM20" i="53"/>
  <c r="CC56" i="53"/>
  <c r="CC57" i="53"/>
  <c r="AO60" i="54"/>
  <c r="CI46" i="53"/>
  <c r="CI47" i="53"/>
  <c r="CC64" i="53"/>
  <c r="CN58" i="54"/>
  <c r="BI63" i="54"/>
  <c r="AO59" i="54"/>
  <c r="BI38" i="53"/>
  <c r="BI63" i="53"/>
  <c r="BI48" i="53"/>
  <c r="BI56" i="53"/>
  <c r="U58" i="53"/>
  <c r="CN64" i="53"/>
  <c r="CC38" i="54"/>
  <c r="AO50" i="54"/>
  <c r="AO51" i="54"/>
  <c r="AO52" i="54"/>
  <c r="AO53" i="54"/>
  <c r="CC56" i="54"/>
  <c r="AO63" i="54"/>
  <c r="CN64" i="54"/>
  <c r="AO39" i="53"/>
  <c r="CC39" i="53"/>
  <c r="CC46" i="53"/>
  <c r="CC62" i="53"/>
  <c r="AO64" i="53"/>
  <c r="U50" i="54"/>
  <c r="CI55" i="54"/>
  <c r="CI59" i="54"/>
  <c r="CC63" i="54"/>
  <c r="AO64" i="54"/>
  <c r="U43" i="53"/>
  <c r="BI19" i="53"/>
  <c r="U16" i="54"/>
  <c r="BI18" i="54"/>
  <c r="BI40" i="53"/>
  <c r="BI41" i="53"/>
  <c r="CC40" i="53"/>
  <c r="AO41" i="53"/>
  <c r="CC54" i="53"/>
  <c r="CC55" i="53"/>
  <c r="BI50" i="54"/>
  <c r="CN48" i="53"/>
  <c r="AO35" i="53"/>
  <c r="AO36" i="53"/>
  <c r="AO37" i="53"/>
  <c r="AO38" i="53"/>
  <c r="BI42" i="53"/>
  <c r="BI43" i="53"/>
  <c r="AO57" i="53"/>
  <c r="AO35" i="54"/>
  <c r="BI48" i="54"/>
  <c r="U51" i="54"/>
  <c r="BI51" i="54"/>
  <c r="U52" i="54"/>
  <c r="BI52" i="54"/>
  <c r="BI53" i="54"/>
  <c r="CI38" i="54"/>
  <c r="AO48" i="54"/>
  <c r="CI16" i="53"/>
  <c r="U50" i="53"/>
  <c r="BI50" i="53"/>
  <c r="U51" i="53"/>
  <c r="BI51" i="53"/>
  <c r="BI52" i="53"/>
  <c r="BI53" i="53"/>
  <c r="CN54" i="53"/>
  <c r="AO58" i="53"/>
  <c r="CN17" i="54"/>
  <c r="AO19" i="54"/>
  <c r="U36" i="54"/>
  <c r="U38" i="54"/>
  <c r="CC83" i="54"/>
  <c r="CC85" i="54"/>
  <c r="CN56" i="54"/>
  <c r="CC54" i="54"/>
  <c r="CC55" i="54"/>
  <c r="CC37" i="54"/>
  <c r="CC42" i="54"/>
  <c r="CC50" i="54"/>
  <c r="CC51" i="54"/>
  <c r="CC43" i="54"/>
  <c r="CI49" i="54"/>
  <c r="CB25" i="36"/>
  <c r="CC27" i="54"/>
  <c r="BS26" i="36"/>
  <c r="CC26" i="36" s="1"/>
  <c r="BS27" i="36"/>
  <c r="BS28" i="36"/>
  <c r="CC28" i="36" s="1"/>
  <c r="BI77" i="54"/>
  <c r="BI55" i="54"/>
  <c r="BI62" i="54"/>
  <c r="BI35" i="54"/>
  <c r="BI36" i="54"/>
  <c r="BI57" i="54"/>
  <c r="BI58" i="54"/>
  <c r="BI39" i="54"/>
  <c r="BI41" i="54"/>
  <c r="BI43" i="54"/>
  <c r="BI25" i="54"/>
  <c r="AO82" i="54"/>
  <c r="AO80" i="54"/>
  <c r="AO56" i="54"/>
  <c r="AO41" i="54"/>
  <c r="AO42" i="54"/>
  <c r="AO46" i="54"/>
  <c r="CI61" i="54"/>
  <c r="CN26" i="54"/>
  <c r="CI22" i="54"/>
  <c r="CN48" i="54"/>
  <c r="U48" i="54"/>
  <c r="CI42" i="54"/>
  <c r="U42" i="54"/>
  <c r="U43" i="54"/>
  <c r="U46" i="54"/>
  <c r="U54" i="54"/>
  <c r="CN16" i="54"/>
  <c r="CC78" i="53"/>
  <c r="CN57" i="53"/>
  <c r="CI48" i="53"/>
  <c r="CC58" i="53"/>
  <c r="CC35" i="53"/>
  <c r="CC36" i="53"/>
  <c r="CC38" i="53"/>
  <c r="CC48" i="53"/>
  <c r="BS22" i="36"/>
  <c r="CC21" i="53"/>
  <c r="BX20" i="36"/>
  <c r="BX23" i="36" s="1"/>
  <c r="BI46" i="53"/>
  <c r="BI39" i="53"/>
  <c r="BI21" i="53"/>
  <c r="AO77" i="53"/>
  <c r="AO84" i="53"/>
  <c r="AO85" i="53"/>
  <c r="CS85" i="53" s="1"/>
  <c r="CN58" i="53"/>
  <c r="CN46" i="53"/>
  <c r="CJ70" i="53"/>
  <c r="CI35" i="53"/>
  <c r="AO49" i="53"/>
  <c r="AO50" i="53"/>
  <c r="CI52" i="53"/>
  <c r="CI54" i="53"/>
  <c r="CI41" i="53"/>
  <c r="CI56" i="53"/>
  <c r="CG70" i="53"/>
  <c r="AO26" i="53"/>
  <c r="CN16" i="53"/>
  <c r="CN18" i="53"/>
  <c r="CN17" i="53"/>
  <c r="CR20" i="53"/>
  <c r="U80" i="53"/>
  <c r="U82" i="53"/>
  <c r="CN40" i="53"/>
  <c r="CN49" i="53"/>
  <c r="U40" i="53"/>
  <c r="U49" i="53"/>
  <c r="U52" i="53"/>
  <c r="U42" i="53"/>
  <c r="U55" i="53"/>
  <c r="U39" i="53"/>
  <c r="U27" i="53"/>
  <c r="U19" i="53"/>
  <c r="D20" i="36"/>
  <c r="CB21" i="36"/>
  <c r="CC21" i="36" s="1"/>
  <c r="E20" i="36"/>
  <c r="E23" i="36" s="1"/>
  <c r="I20" i="36"/>
  <c r="I23" i="36" s="1"/>
  <c r="L20" i="39"/>
  <c r="C14" i="53"/>
  <c r="N14" i="53"/>
  <c r="AQ14" i="53"/>
  <c r="BB14" i="53"/>
  <c r="C14" i="54"/>
  <c r="CO14" i="54" s="1"/>
  <c r="AW14" i="53"/>
  <c r="R14" i="53"/>
  <c r="CM14" i="53" s="1"/>
  <c r="R14" i="54"/>
  <c r="CM14" i="54" s="1"/>
  <c r="L34" i="39"/>
  <c r="I14" i="53"/>
  <c r="D41" i="39"/>
  <c r="H41" i="39"/>
  <c r="G14" i="53"/>
  <c r="P14" i="53"/>
  <c r="AU14" i="53"/>
  <c r="BD14" i="53"/>
  <c r="G14" i="54"/>
  <c r="P14" i="54"/>
  <c r="CL14" i="54" s="1"/>
  <c r="AU14" i="54"/>
  <c r="AY14" i="54" s="1"/>
  <c r="CN80" i="54"/>
  <c r="AO16" i="53"/>
  <c r="CC16" i="53"/>
  <c r="AO17" i="53"/>
  <c r="CC17" i="53"/>
  <c r="AO18" i="53"/>
  <c r="CN19" i="53"/>
  <c r="CI19" i="53"/>
  <c r="AO21" i="53"/>
  <c r="U26" i="53"/>
  <c r="BI26" i="53"/>
  <c r="CI27" i="53"/>
  <c r="BI27" i="53"/>
  <c r="CC28" i="53"/>
  <c r="CC37" i="53"/>
  <c r="AO40" i="53"/>
  <c r="U41" i="53"/>
  <c r="CN41" i="53"/>
  <c r="AO42" i="53"/>
  <c r="BI49" i="53"/>
  <c r="CI50" i="53"/>
  <c r="BI57" i="53"/>
  <c r="AO59" i="53"/>
  <c r="CC59" i="53"/>
  <c r="AO60" i="53"/>
  <c r="CC60" i="53"/>
  <c r="AO61" i="53"/>
  <c r="CC61" i="53"/>
  <c r="AO62" i="53"/>
  <c r="AO63" i="53"/>
  <c r="CC63" i="53"/>
  <c r="U78" i="53"/>
  <c r="U85" i="53"/>
  <c r="CC16" i="54"/>
  <c r="CF20" i="54"/>
  <c r="E23" i="54"/>
  <c r="CF23" i="54" s="1"/>
  <c r="AO27" i="54"/>
  <c r="CI57" i="54"/>
  <c r="U57" i="54"/>
  <c r="CN77" i="54"/>
  <c r="AO77" i="54"/>
  <c r="CE20" i="53"/>
  <c r="CQ20" i="53"/>
  <c r="CL20" i="53"/>
  <c r="AN20" i="53"/>
  <c r="AY20" i="53"/>
  <c r="CB20" i="53"/>
  <c r="CI21" i="53"/>
  <c r="G23" i="53"/>
  <c r="AF23" i="53"/>
  <c r="BT23" i="53"/>
  <c r="CN25" i="53"/>
  <c r="CN26" i="53"/>
  <c r="CI28" i="53"/>
  <c r="CI42" i="53"/>
  <c r="AO48" i="53"/>
  <c r="BI55" i="53"/>
  <c r="CI59" i="53"/>
  <c r="CF70" i="53"/>
  <c r="CN78" i="53"/>
  <c r="CC83" i="53"/>
  <c r="CN85" i="53"/>
  <c r="BI26" i="54"/>
  <c r="AO40" i="54"/>
  <c r="CN40" i="54"/>
  <c r="CN49" i="54"/>
  <c r="CF20" i="53"/>
  <c r="BI16" i="53"/>
  <c r="U17" i="53"/>
  <c r="BI17" i="53"/>
  <c r="U18" i="53"/>
  <c r="CC19" i="53"/>
  <c r="CN21" i="53"/>
  <c r="I23" i="53"/>
  <c r="AO25" i="53"/>
  <c r="CC26" i="53"/>
  <c r="AO27" i="53"/>
  <c r="CN43" i="53"/>
  <c r="U57" i="53"/>
  <c r="CI64" i="53"/>
  <c r="U28" i="54"/>
  <c r="CH70" i="54"/>
  <c r="CN35" i="53"/>
  <c r="CI36" i="53"/>
  <c r="CI37" i="53"/>
  <c r="CI38" i="53"/>
  <c r="CC42" i="53"/>
  <c r="CC50" i="53"/>
  <c r="CN56" i="53"/>
  <c r="BI58" i="53"/>
  <c r="CN59" i="53"/>
  <c r="CI60" i="53"/>
  <c r="CI61" i="53"/>
  <c r="CI62" i="53"/>
  <c r="CI63" i="53"/>
  <c r="AO17" i="54"/>
  <c r="CC19" i="54"/>
  <c r="CN25" i="54"/>
  <c r="CI27" i="54"/>
  <c r="CI35" i="54"/>
  <c r="CC35" i="54"/>
  <c r="CI40" i="54"/>
  <c r="BI42" i="54"/>
  <c r="U59" i="54"/>
  <c r="CC77" i="54"/>
  <c r="U35" i="53"/>
  <c r="BI35" i="53"/>
  <c r="U36" i="53"/>
  <c r="BI36" i="53"/>
  <c r="BI37" i="53"/>
  <c r="CN38" i="53"/>
  <c r="CI39" i="53"/>
  <c r="CC41" i="53"/>
  <c r="CI43" i="53"/>
  <c r="AO43" i="53"/>
  <c r="CC43" i="53"/>
  <c r="AO46" i="53"/>
  <c r="U48" i="53"/>
  <c r="CC49" i="53"/>
  <c r="CI51" i="53"/>
  <c r="AO51" i="53"/>
  <c r="CC51" i="53"/>
  <c r="AO52" i="53"/>
  <c r="CC52" i="53"/>
  <c r="AO53" i="53"/>
  <c r="AO54" i="53"/>
  <c r="AO56" i="53"/>
  <c r="CI58" i="53"/>
  <c r="U59" i="53"/>
  <c r="BI59" i="53"/>
  <c r="U60" i="53"/>
  <c r="BI60" i="53"/>
  <c r="BI61" i="53"/>
  <c r="CN62" i="53"/>
  <c r="BI62" i="53"/>
  <c r="U63" i="53"/>
  <c r="CI77" i="53"/>
  <c r="CI80" i="53"/>
  <c r="AO80" i="53"/>
  <c r="CC80" i="53"/>
  <c r="AO82" i="53"/>
  <c r="CN84" i="53"/>
  <c r="BI84" i="53"/>
  <c r="BI16" i="54"/>
  <c r="U17" i="54"/>
  <c r="CC18" i="54"/>
  <c r="CN19" i="54"/>
  <c r="BI19" i="54"/>
  <c r="CG20" i="54"/>
  <c r="CJ20" i="54"/>
  <c r="AY20" i="54"/>
  <c r="U21" i="54"/>
  <c r="AO26" i="54"/>
  <c r="CC26" i="54"/>
  <c r="U27" i="54"/>
  <c r="BI27" i="54"/>
  <c r="CN27" i="54"/>
  <c r="AO28" i="54"/>
  <c r="AO36" i="54"/>
  <c r="AO37" i="54"/>
  <c r="AO39" i="54"/>
  <c r="CI41" i="54"/>
  <c r="CC41" i="54"/>
  <c r="CI47" i="54"/>
  <c r="U49" i="54"/>
  <c r="BI54" i="54"/>
  <c r="AO57" i="54"/>
  <c r="U77" i="54"/>
  <c r="J20" i="36"/>
  <c r="AO16" i="54"/>
  <c r="U18" i="54"/>
  <c r="BI21" i="54"/>
  <c r="U26" i="54"/>
  <c r="CI28" i="54"/>
  <c r="BI38" i="54"/>
  <c r="CC39" i="54"/>
  <c r="CN41" i="54"/>
  <c r="U41" i="54"/>
  <c r="AE66" i="54"/>
  <c r="BI56" i="54"/>
  <c r="CN57" i="54"/>
  <c r="CC57" i="54"/>
  <c r="BI64" i="54"/>
  <c r="CR70" i="54"/>
  <c r="CM70" i="54"/>
  <c r="D70" i="36"/>
  <c r="U40" i="54"/>
  <c r="CC40" i="54"/>
  <c r="CI43" i="54"/>
  <c r="BI46" i="54"/>
  <c r="CC48" i="54"/>
  <c r="BI49" i="54"/>
  <c r="CN50" i="54"/>
  <c r="CI51" i="54"/>
  <c r="CN51" i="54"/>
  <c r="CC53" i="54"/>
  <c r="AO58" i="54"/>
  <c r="CC58" i="54"/>
  <c r="BI59" i="54"/>
  <c r="CN60" i="54"/>
  <c r="BI60" i="54"/>
  <c r="CN61" i="54"/>
  <c r="U62" i="54"/>
  <c r="CI63" i="54"/>
  <c r="AO78" i="54"/>
  <c r="CC78" i="54"/>
  <c r="G20" i="36"/>
  <c r="G23" i="36" s="1"/>
  <c r="AN19" i="36"/>
  <c r="AE22" i="36"/>
  <c r="AE25" i="36"/>
  <c r="AN25" i="36"/>
  <c r="AE26" i="36"/>
  <c r="AN26" i="36"/>
  <c r="AE27" i="36"/>
  <c r="AN27" i="36"/>
  <c r="AE28" i="36"/>
  <c r="AN28" i="36"/>
  <c r="E70" i="36"/>
  <c r="I70" i="36"/>
  <c r="L70" i="36"/>
  <c r="P70" i="36"/>
  <c r="W70" i="36"/>
  <c r="AA70" i="36"/>
  <c r="AF70" i="36"/>
  <c r="AJ70" i="36"/>
  <c r="AQ70" i="36"/>
  <c r="AU70" i="36"/>
  <c r="AZ70" i="36"/>
  <c r="BD70" i="36"/>
  <c r="BK70" i="36"/>
  <c r="BO70" i="36"/>
  <c r="BT70" i="36"/>
  <c r="BX70" i="36"/>
  <c r="AO49" i="54"/>
  <c r="AO55" i="54"/>
  <c r="U56" i="54"/>
  <c r="U58" i="54"/>
  <c r="CI58" i="54"/>
  <c r="CN59" i="54"/>
  <c r="CC61" i="54"/>
  <c r="U64" i="54"/>
  <c r="U76" i="54"/>
  <c r="CI76" i="54"/>
  <c r="AB23" i="36"/>
  <c r="M70" i="36"/>
  <c r="Q70" i="36"/>
  <c r="X70" i="36"/>
  <c r="AB70" i="36"/>
  <c r="AG70" i="36"/>
  <c r="AK70" i="36"/>
  <c r="AR70" i="36"/>
  <c r="AV70" i="36"/>
  <c r="BA70" i="36"/>
  <c r="BE70" i="36"/>
  <c r="BL70" i="36"/>
  <c r="BP70" i="36"/>
  <c r="BU70" i="36"/>
  <c r="BY70" i="36"/>
  <c r="CC27" i="36"/>
  <c r="Y23" i="36"/>
  <c r="AH23" i="36"/>
  <c r="AU23" i="36"/>
  <c r="BS16" i="36"/>
  <c r="CB16" i="36"/>
  <c r="BS18" i="36"/>
  <c r="CB18" i="36"/>
  <c r="BS19" i="36"/>
  <c r="CB19" i="36"/>
  <c r="H70" i="36"/>
  <c r="H20" i="36"/>
  <c r="H23" i="36" s="1"/>
  <c r="AE21" i="36"/>
  <c r="AN21" i="36"/>
  <c r="BL23" i="36"/>
  <c r="AW23" i="36"/>
  <c r="J23" i="36"/>
  <c r="AC23" i="36"/>
  <c r="AY16" i="36"/>
  <c r="BH16" i="36"/>
  <c r="BH17" i="36"/>
  <c r="AY18" i="36"/>
  <c r="BH18" i="36"/>
  <c r="AY19" i="36"/>
  <c r="AZ20" i="36"/>
  <c r="AZ23" i="36" s="1"/>
  <c r="AR20" i="36"/>
  <c r="BP23" i="36"/>
  <c r="AJ20" i="36"/>
  <c r="AJ23" i="36" s="1"/>
  <c r="AX23" i="36"/>
  <c r="D23" i="36"/>
  <c r="AE16" i="36"/>
  <c r="AN16" i="36"/>
  <c r="AE18" i="36"/>
  <c r="AN18" i="36"/>
  <c r="AE19" i="36"/>
  <c r="AY21" i="36"/>
  <c r="BH21" i="36"/>
  <c r="AY22" i="36"/>
  <c r="AY25" i="36"/>
  <c r="BH25" i="36"/>
  <c r="AY26" i="36"/>
  <c r="BH26" i="36"/>
  <c r="AY27" i="36"/>
  <c r="BH27" i="36"/>
  <c r="AY28" i="36"/>
  <c r="BH28" i="36"/>
  <c r="F70" i="36"/>
  <c r="F20" i="36"/>
  <c r="F23" i="36" s="1"/>
  <c r="G70" i="36"/>
  <c r="BS17" i="36"/>
  <c r="CB17" i="36"/>
  <c r="BF23" i="36"/>
  <c r="AQ23" i="36"/>
  <c r="AY17" i="36"/>
  <c r="BH19" i="36"/>
  <c r="AE17" i="36"/>
  <c r="AN17" i="36"/>
  <c r="AF23" i="36"/>
  <c r="AN14" i="54"/>
  <c r="AO14" i="54" s="1"/>
  <c r="AE14" i="54"/>
  <c r="AE14" i="53"/>
  <c r="AN14" i="53"/>
  <c r="AO14" i="53" s="1"/>
  <c r="CR14" i="54"/>
  <c r="CJ14" i="54"/>
  <c r="CF14" i="54"/>
  <c r="CP14" i="54"/>
  <c r="CJ14" i="53"/>
  <c r="BS14" i="53"/>
  <c r="CB14" i="53"/>
  <c r="CC14" i="53" s="1"/>
  <c r="CP14" i="53"/>
  <c r="BH14" i="54"/>
  <c r="BI14" i="54" s="1"/>
  <c r="BS14" i="54"/>
  <c r="CB14" i="54"/>
  <c r="CC14" i="54" s="1"/>
  <c r="CH14" i="54"/>
  <c r="CP20" i="54"/>
  <c r="CQ20" i="54"/>
  <c r="CN28" i="54"/>
  <c r="AJ23" i="54"/>
  <c r="CL20" i="54"/>
  <c r="CH23" i="54"/>
  <c r="CN35" i="54"/>
  <c r="U35" i="54"/>
  <c r="CR20" i="54"/>
  <c r="CM20" i="54"/>
  <c r="CK14" i="54"/>
  <c r="CO20" i="54"/>
  <c r="C23" i="54"/>
  <c r="CE20" i="54"/>
  <c r="K20" i="54"/>
  <c r="CI19" i="54"/>
  <c r="AE23" i="54"/>
  <c r="BH20" i="54"/>
  <c r="R23" i="54"/>
  <c r="CI17" i="54"/>
  <c r="AY23" i="54"/>
  <c r="BS20" i="54"/>
  <c r="CB20" i="54"/>
  <c r="CH20" i="54"/>
  <c r="CN43" i="54"/>
  <c r="AO43" i="54"/>
  <c r="CI18" i="54"/>
  <c r="CK20" i="54"/>
  <c r="L23" i="54"/>
  <c r="BK23" i="54"/>
  <c r="AO38" i="54"/>
  <c r="CI39" i="54"/>
  <c r="BI40" i="54"/>
  <c r="CC49" i="54"/>
  <c r="CI53" i="54"/>
  <c r="CI60" i="54"/>
  <c r="CC60" i="54"/>
  <c r="CN63" i="54"/>
  <c r="U63" i="54"/>
  <c r="K70" i="54"/>
  <c r="CJ70" i="54"/>
  <c r="AE70" i="54"/>
  <c r="AN70" i="54"/>
  <c r="T20" i="54"/>
  <c r="AE20" i="54"/>
  <c r="CI21" i="54"/>
  <c r="CI37" i="54"/>
  <c r="CN53" i="54"/>
  <c r="BS66" i="54"/>
  <c r="BI76" i="54"/>
  <c r="CI16" i="54"/>
  <c r="AN20" i="54"/>
  <c r="CN37" i="54"/>
  <c r="U37" i="54"/>
  <c r="CI46" i="54"/>
  <c r="CI52" i="54"/>
  <c r="CC52" i="54"/>
  <c r="CN55" i="54"/>
  <c r="U55" i="54"/>
  <c r="U60" i="54"/>
  <c r="CI62" i="54"/>
  <c r="CK70" i="54"/>
  <c r="AY70" i="54"/>
  <c r="BH70" i="54"/>
  <c r="BS70" i="54"/>
  <c r="CB70" i="54"/>
  <c r="CE70" i="54"/>
  <c r="BI37" i="54"/>
  <c r="AO54" i="54"/>
  <c r="G23" i="54"/>
  <c r="CI36" i="54"/>
  <c r="CC36" i="54"/>
  <c r="CN39" i="54"/>
  <c r="U39" i="54"/>
  <c r="CN42" i="54"/>
  <c r="CI50" i="54"/>
  <c r="CN52" i="54"/>
  <c r="BI61" i="54"/>
  <c r="CP70" i="54"/>
  <c r="CF70" i="54"/>
  <c r="CN36" i="54"/>
  <c r="CI48" i="54"/>
  <c r="CI54" i="54"/>
  <c r="CQ70" i="54"/>
  <c r="CG70" i="54"/>
  <c r="CL70" i="54"/>
  <c r="CN83" i="54"/>
  <c r="AO83" i="54"/>
  <c r="CS83" i="54" s="1"/>
  <c r="CN38" i="54"/>
  <c r="CN54" i="54"/>
  <c r="CN62" i="54"/>
  <c r="CO70" i="54"/>
  <c r="CS80" i="54"/>
  <c r="CI56" i="54"/>
  <c r="CI64" i="54"/>
  <c r="CI85" i="54"/>
  <c r="U53" i="54"/>
  <c r="U61" i="54"/>
  <c r="CC76" i="54"/>
  <c r="CI77" i="54"/>
  <c r="CI78" i="54"/>
  <c r="CS85" i="54"/>
  <c r="T70" i="54"/>
  <c r="CN78" i="54"/>
  <c r="BI82" i="54"/>
  <c r="CS82" i="54" s="1"/>
  <c r="CN82" i="54"/>
  <c r="CI83" i="54"/>
  <c r="CN84" i="54"/>
  <c r="U84" i="54"/>
  <c r="CC84" i="54"/>
  <c r="K66" i="54"/>
  <c r="AO76" i="54"/>
  <c r="CN76" i="54"/>
  <c r="CI82" i="54"/>
  <c r="CS26" i="53"/>
  <c r="BS23" i="53"/>
  <c r="CN61" i="53"/>
  <c r="U61" i="53"/>
  <c r="CF14" i="53"/>
  <c r="U16" i="53"/>
  <c r="CG20" i="53"/>
  <c r="CO20" i="53"/>
  <c r="CI22" i="53"/>
  <c r="P23" i="53"/>
  <c r="Y23" i="53"/>
  <c r="U25" i="53"/>
  <c r="U28" i="53"/>
  <c r="CS28" i="53" s="1"/>
  <c r="CM70" i="53"/>
  <c r="CN37" i="53"/>
  <c r="U37" i="53"/>
  <c r="BH20" i="53"/>
  <c r="CH20" i="53"/>
  <c r="CP20" i="53"/>
  <c r="AY23" i="53"/>
  <c r="CI26" i="53"/>
  <c r="CN27" i="53"/>
  <c r="CI17" i="53"/>
  <c r="K20" i="53"/>
  <c r="R23" i="53"/>
  <c r="CC53" i="53"/>
  <c r="AE70" i="53"/>
  <c r="AN70" i="53"/>
  <c r="AY70" i="53"/>
  <c r="BH70" i="53"/>
  <c r="T20" i="53"/>
  <c r="BS20" i="53"/>
  <c r="CJ20" i="53"/>
  <c r="C23" i="53"/>
  <c r="CN51" i="53"/>
  <c r="CI53" i="53"/>
  <c r="CI55" i="53"/>
  <c r="BS70" i="53"/>
  <c r="CB70" i="53"/>
  <c r="CH70" i="53"/>
  <c r="CI18" i="53"/>
  <c r="CK20" i="53"/>
  <c r="CI40" i="53"/>
  <c r="AE66" i="53"/>
  <c r="CN53" i="53"/>
  <c r="U53" i="53"/>
  <c r="BI54" i="53"/>
  <c r="CK70" i="53"/>
  <c r="CP70" i="53"/>
  <c r="AE20" i="53"/>
  <c r="AO55" i="53"/>
  <c r="CN36" i="53"/>
  <c r="CN52" i="53"/>
  <c r="CN60" i="53"/>
  <c r="K70" i="53"/>
  <c r="CQ70" i="53"/>
  <c r="BI76" i="53"/>
  <c r="CS77" i="53"/>
  <c r="CI83" i="53"/>
  <c r="CN39" i="53"/>
  <c r="CN55" i="53"/>
  <c r="U56" i="53"/>
  <c r="CN63" i="53"/>
  <c r="U64" i="53"/>
  <c r="T70" i="53"/>
  <c r="CR70" i="53"/>
  <c r="CN83" i="53"/>
  <c r="U83" i="53"/>
  <c r="CS83" i="53" s="1"/>
  <c r="CN42" i="53"/>
  <c r="CI49" i="53"/>
  <c r="CN50" i="53"/>
  <c r="CI57" i="53"/>
  <c r="K66" i="53"/>
  <c r="CI78" i="53"/>
  <c r="CN80" i="53"/>
  <c r="U38" i="53"/>
  <c r="U46" i="53"/>
  <c r="U54" i="53"/>
  <c r="U62" i="53"/>
  <c r="CL70" i="53"/>
  <c r="CI76" i="53"/>
  <c r="CC76" i="53"/>
  <c r="CS82" i="53"/>
  <c r="CE70" i="53"/>
  <c r="U76" i="53"/>
  <c r="CS78" i="53"/>
  <c r="CI84" i="53"/>
  <c r="CO70" i="53"/>
  <c r="CS84" i="53"/>
  <c r="CN82" i="53"/>
  <c r="CN77" i="53"/>
  <c r="CI85" i="53"/>
  <c r="AO76" i="53"/>
  <c r="Z25" i="28"/>
  <c r="Y25" i="28"/>
  <c r="X25" i="28"/>
  <c r="W25" i="28"/>
  <c r="V25" i="28"/>
  <c r="AI24" i="28"/>
  <c r="AH24" i="28"/>
  <c r="AG24" i="28"/>
  <c r="AF24" i="28"/>
  <c r="Z24" i="28"/>
  <c r="Y24" i="28"/>
  <c r="X24" i="28"/>
  <c r="W24" i="28"/>
  <c r="V24" i="28"/>
  <c r="Z23" i="28"/>
  <c r="Y23" i="28"/>
  <c r="X23" i="28"/>
  <c r="W23" i="28"/>
  <c r="V23" i="28"/>
  <c r="Z22" i="28"/>
  <c r="Y22" i="28"/>
  <c r="X22" i="28"/>
  <c r="W22" i="28"/>
  <c r="V22" i="28"/>
  <c r="Z21" i="28"/>
  <c r="Y21" i="28"/>
  <c r="X21" i="28"/>
  <c r="W21" i="28"/>
  <c r="V21" i="28"/>
  <c r="K25" i="28"/>
  <c r="K24" i="28"/>
  <c r="AJ24" i="28" s="1"/>
  <c r="K23" i="28"/>
  <c r="K22" i="28"/>
  <c r="K21" i="28"/>
  <c r="CF66" i="54" l="1"/>
  <c r="CS21" i="53"/>
  <c r="AE20" i="36"/>
  <c r="CG66" i="53"/>
  <c r="AA23" i="36"/>
  <c r="AE23" i="36" s="1"/>
  <c r="AY20" i="36"/>
  <c r="BS20" i="36"/>
  <c r="CC20" i="53"/>
  <c r="CE66" i="54"/>
  <c r="BH14" i="53"/>
  <c r="BI14" i="53" s="1"/>
  <c r="BI20" i="53"/>
  <c r="CN66" i="54"/>
  <c r="CI44" i="53"/>
  <c r="AO20" i="53"/>
  <c r="CF66" i="53"/>
  <c r="CS17" i="54"/>
  <c r="CN66" i="53"/>
  <c r="CI45" i="53"/>
  <c r="CS64" i="54"/>
  <c r="AY66" i="53"/>
  <c r="BI20" i="54"/>
  <c r="CG14" i="53"/>
  <c r="CO14" i="53"/>
  <c r="CE14" i="53"/>
  <c r="CE14" i="54"/>
  <c r="CS56" i="53"/>
  <c r="CH66" i="53"/>
  <c r="AY66" i="54"/>
  <c r="CI66" i="54" s="1"/>
  <c r="CI44" i="54"/>
  <c r="CS64" i="53"/>
  <c r="CS62" i="54"/>
  <c r="CS57" i="53"/>
  <c r="CS39" i="53"/>
  <c r="CE66" i="53"/>
  <c r="BI19" i="36"/>
  <c r="T14" i="53"/>
  <c r="CR14" i="53"/>
  <c r="CK14" i="53"/>
  <c r="AO19" i="36"/>
  <c r="CS19" i="53"/>
  <c r="CS16" i="54"/>
  <c r="BS66" i="53"/>
  <c r="CS55" i="54"/>
  <c r="CS63" i="54"/>
  <c r="CS35" i="54"/>
  <c r="CS36" i="53"/>
  <c r="CS48" i="54"/>
  <c r="CB20" i="36"/>
  <c r="CL14" i="53"/>
  <c r="CH14" i="53"/>
  <c r="AY14" i="53"/>
  <c r="BI18" i="36"/>
  <c r="CS40" i="54"/>
  <c r="CS50" i="54"/>
  <c r="K14" i="53"/>
  <c r="CI14" i="53" s="1"/>
  <c r="CS46" i="53"/>
  <c r="CS38" i="53"/>
  <c r="CS52" i="54"/>
  <c r="CS41" i="53"/>
  <c r="CS50" i="53"/>
  <c r="CC20" i="54"/>
  <c r="CS17" i="53"/>
  <c r="CS18" i="53"/>
  <c r="CS58" i="54"/>
  <c r="CS51" i="54"/>
  <c r="CN20" i="53"/>
  <c r="CS39" i="54"/>
  <c r="CS43" i="54"/>
  <c r="CS42" i="53"/>
  <c r="CS49" i="53"/>
  <c r="CS58" i="53"/>
  <c r="CS61" i="53"/>
  <c r="CS36" i="54"/>
  <c r="CS57" i="54"/>
  <c r="CS51" i="53"/>
  <c r="CS48" i="53"/>
  <c r="CG14" i="54"/>
  <c r="L41" i="39"/>
  <c r="CS26" i="54"/>
  <c r="CS37" i="54"/>
  <c r="CS56" i="54"/>
  <c r="CS59" i="54"/>
  <c r="CS21" i="54"/>
  <c r="CS19" i="54"/>
  <c r="AR23" i="36"/>
  <c r="AY23" i="36" s="1"/>
  <c r="CS78" i="54"/>
  <c r="AO27" i="36"/>
  <c r="CS27" i="54"/>
  <c r="CS28" i="54"/>
  <c r="CS77" i="54"/>
  <c r="CS42" i="54"/>
  <c r="CS53" i="54"/>
  <c r="CS41" i="54"/>
  <c r="CS18" i="54"/>
  <c r="CS80" i="53"/>
  <c r="CC18" i="36"/>
  <c r="CS62" i="53"/>
  <c r="CS60" i="53"/>
  <c r="BI27" i="36"/>
  <c r="CS40" i="53"/>
  <c r="AO25" i="36"/>
  <c r="CS27" i="53"/>
  <c r="CS35" i="53"/>
  <c r="CS63" i="53"/>
  <c r="CG23" i="53"/>
  <c r="CH23" i="53"/>
  <c r="BI28" i="36"/>
  <c r="AO28" i="36"/>
  <c r="AO26" i="36"/>
  <c r="AO16" i="36"/>
  <c r="CQ14" i="53"/>
  <c r="T14" i="54"/>
  <c r="U14" i="54" s="1"/>
  <c r="CS14" i="54" s="1"/>
  <c r="K14" i="54"/>
  <c r="CI14" i="54" s="1"/>
  <c r="CQ14" i="54"/>
  <c r="CS54" i="53"/>
  <c r="CS16" i="53"/>
  <c r="BI17" i="36"/>
  <c r="CS55" i="53"/>
  <c r="CS37" i="53"/>
  <c r="BI70" i="53"/>
  <c r="CS61" i="54"/>
  <c r="BI70" i="54"/>
  <c r="AO20" i="54"/>
  <c r="AO70" i="54"/>
  <c r="BH20" i="36"/>
  <c r="CS59" i="53"/>
  <c r="CF23" i="53"/>
  <c r="CS84" i="54"/>
  <c r="CS54" i="54"/>
  <c r="CS49" i="54"/>
  <c r="CS38" i="54"/>
  <c r="CS52" i="53"/>
  <c r="CS43" i="53"/>
  <c r="AO18" i="36"/>
  <c r="BI26" i="36"/>
  <c r="BI25" i="36"/>
  <c r="CC19" i="36"/>
  <c r="BS23" i="36"/>
  <c r="AO21" i="36"/>
  <c r="BI16" i="36"/>
  <c r="AN20" i="36"/>
  <c r="AO20" i="36" s="1"/>
  <c r="BI21" i="36"/>
  <c r="CC16" i="36"/>
  <c r="CC17" i="36"/>
  <c r="AO17" i="36"/>
  <c r="U70" i="54"/>
  <c r="CN70" i="54"/>
  <c r="U20" i="54"/>
  <c r="CI20" i="54"/>
  <c r="CN20" i="54"/>
  <c r="CS76" i="54"/>
  <c r="CE23" i="54"/>
  <c r="K23" i="54"/>
  <c r="CI70" i="54"/>
  <c r="BS23" i="54"/>
  <c r="CG23" i="54"/>
  <c r="CC70" i="54"/>
  <c r="CS60" i="54"/>
  <c r="CE23" i="53"/>
  <c r="K23" i="53"/>
  <c r="AE23" i="53"/>
  <c r="CN70" i="53"/>
  <c r="U70" i="53"/>
  <c r="CI70" i="53"/>
  <c r="CS53" i="53"/>
  <c r="CS76" i="53"/>
  <c r="CC70" i="53"/>
  <c r="AO70" i="53"/>
  <c r="U20" i="53"/>
  <c r="CI20" i="53"/>
  <c r="CR85" i="37"/>
  <c r="CQ85" i="37"/>
  <c r="CP85" i="37"/>
  <c r="CO85" i="37"/>
  <c r="CM85" i="37"/>
  <c r="CL85" i="37"/>
  <c r="CK85" i="37"/>
  <c r="CJ85" i="37"/>
  <c r="CH85" i="37"/>
  <c r="CG85" i="37"/>
  <c r="CF85" i="37"/>
  <c r="CE85" i="37"/>
  <c r="CR84" i="37"/>
  <c r="CQ84" i="37"/>
  <c r="CP84" i="37"/>
  <c r="CO84" i="37"/>
  <c r="CM84" i="37"/>
  <c r="CL84" i="37"/>
  <c r="CK84" i="37"/>
  <c r="CJ84" i="37"/>
  <c r="CH84" i="37"/>
  <c r="CG84" i="37"/>
  <c r="CF84" i="37"/>
  <c r="CE84" i="37"/>
  <c r="CR83" i="37"/>
  <c r="CQ83" i="37"/>
  <c r="CP83" i="37"/>
  <c r="CO83" i="37"/>
  <c r="CM83" i="37"/>
  <c r="CL83" i="37"/>
  <c r="CK83" i="37"/>
  <c r="CJ83" i="37"/>
  <c r="CH83" i="37"/>
  <c r="CG83" i="37"/>
  <c r="CF83" i="37"/>
  <c r="CE83" i="37"/>
  <c r="CR82" i="37"/>
  <c r="CQ82" i="37"/>
  <c r="CP82" i="37"/>
  <c r="CO82" i="37"/>
  <c r="CM82" i="37"/>
  <c r="CL82" i="37"/>
  <c r="CK82" i="37"/>
  <c r="CJ82" i="37"/>
  <c r="CH82" i="37"/>
  <c r="CG82" i="37"/>
  <c r="CF82" i="37"/>
  <c r="CE82" i="37"/>
  <c r="CR80" i="37"/>
  <c r="CQ80" i="37"/>
  <c r="CP80" i="37"/>
  <c r="CO80" i="37"/>
  <c r="CM80" i="37"/>
  <c r="CL80" i="37"/>
  <c r="CK80" i="37"/>
  <c r="CJ80" i="37"/>
  <c r="CH80" i="37"/>
  <c r="CG80" i="37"/>
  <c r="CF80" i="37"/>
  <c r="CE80" i="37"/>
  <c r="CR78" i="37"/>
  <c r="CQ78" i="37"/>
  <c r="CP78" i="37"/>
  <c r="CO78" i="37"/>
  <c r="CM78" i="37"/>
  <c r="CL78" i="37"/>
  <c r="CK78" i="37"/>
  <c r="CJ78" i="37"/>
  <c r="CH78" i="37"/>
  <c r="CG78" i="37"/>
  <c r="CF78" i="37"/>
  <c r="CE78" i="37"/>
  <c r="CR77" i="37"/>
  <c r="CQ77" i="37"/>
  <c r="CP77" i="37"/>
  <c r="CO77" i="37"/>
  <c r="CM77" i="37"/>
  <c r="CL77" i="37"/>
  <c r="CK77" i="37"/>
  <c r="CJ77" i="37"/>
  <c r="CH77" i="37"/>
  <c r="CG77" i="37"/>
  <c r="CF77" i="37"/>
  <c r="CE77" i="37"/>
  <c r="CR76" i="37"/>
  <c r="CQ76" i="37"/>
  <c r="CP76" i="37"/>
  <c r="CO76" i="37"/>
  <c r="CM76" i="37"/>
  <c r="CL76" i="37"/>
  <c r="CK76" i="37"/>
  <c r="CJ76" i="37"/>
  <c r="CH76" i="37"/>
  <c r="CG76" i="37"/>
  <c r="CF76" i="37"/>
  <c r="CE76" i="37"/>
  <c r="CR64" i="37"/>
  <c r="CQ64" i="37"/>
  <c r="CP64" i="37"/>
  <c r="CO64" i="37"/>
  <c r="CM64" i="37"/>
  <c r="CL64" i="37"/>
  <c r="CK64" i="37"/>
  <c r="CJ64" i="37"/>
  <c r="CH64" i="37"/>
  <c r="CG64" i="37"/>
  <c r="CF64" i="37"/>
  <c r="CE64" i="37"/>
  <c r="CR63" i="37"/>
  <c r="CQ63" i="37"/>
  <c r="CP63" i="37"/>
  <c r="CO63" i="37"/>
  <c r="CM63" i="37"/>
  <c r="CL63" i="37"/>
  <c r="CK63" i="37"/>
  <c r="CJ63" i="37"/>
  <c r="CH63" i="37"/>
  <c r="CG63" i="37"/>
  <c r="CF63" i="37"/>
  <c r="CE63" i="37"/>
  <c r="CR62" i="37"/>
  <c r="CQ62" i="37"/>
  <c r="CP62" i="37"/>
  <c r="CO62" i="37"/>
  <c r="CM62" i="37"/>
  <c r="CL62" i="37"/>
  <c r="CK62" i="37"/>
  <c r="CJ62" i="37"/>
  <c r="CH62" i="37"/>
  <c r="CG62" i="37"/>
  <c r="CF62" i="37"/>
  <c r="CE62" i="37"/>
  <c r="CR61" i="37"/>
  <c r="CQ61" i="37"/>
  <c r="CP61" i="37"/>
  <c r="CO61" i="37"/>
  <c r="CM61" i="37"/>
  <c r="CL61" i="37"/>
  <c r="CK61" i="37"/>
  <c r="CJ61" i="37"/>
  <c r="CH61" i="37"/>
  <c r="CG61" i="37"/>
  <c r="CF61" i="37"/>
  <c r="CE61" i="37"/>
  <c r="CR60" i="37"/>
  <c r="CQ60" i="37"/>
  <c r="CP60" i="37"/>
  <c r="CO60" i="37"/>
  <c r="CM60" i="37"/>
  <c r="CL60" i="37"/>
  <c r="CK60" i="37"/>
  <c r="CJ60" i="37"/>
  <c r="CH60" i="37"/>
  <c r="CG60" i="37"/>
  <c r="CF60" i="37"/>
  <c r="CE60" i="37"/>
  <c r="CR59" i="37"/>
  <c r="CQ59" i="37"/>
  <c r="CP59" i="37"/>
  <c r="CO59" i="37"/>
  <c r="CM59" i="37"/>
  <c r="CL59" i="37"/>
  <c r="CK59" i="37"/>
  <c r="CJ59" i="37"/>
  <c r="CH59" i="37"/>
  <c r="CG59" i="37"/>
  <c r="CF59" i="37"/>
  <c r="CE59" i="37"/>
  <c r="CR58" i="37"/>
  <c r="CQ58" i="37"/>
  <c r="CP58" i="37"/>
  <c r="CO58" i="37"/>
  <c r="CM58" i="37"/>
  <c r="CL58" i="37"/>
  <c r="CK58" i="37"/>
  <c r="CJ58" i="37"/>
  <c r="CH58" i="37"/>
  <c r="CG58" i="37"/>
  <c r="CF58" i="37"/>
  <c r="CE58" i="37"/>
  <c r="CR57" i="37"/>
  <c r="CQ57" i="37"/>
  <c r="CP57" i="37"/>
  <c r="CO57" i="37"/>
  <c r="CM57" i="37"/>
  <c r="CL57" i="37"/>
  <c r="CK57" i="37"/>
  <c r="CJ57" i="37"/>
  <c r="CH57" i="37"/>
  <c r="CG57" i="37"/>
  <c r="CF57" i="37"/>
  <c r="CE57" i="37"/>
  <c r="CR56" i="37"/>
  <c r="CQ56" i="37"/>
  <c r="CP56" i="37"/>
  <c r="CO56" i="37"/>
  <c r="CM56" i="37"/>
  <c r="CL56" i="37"/>
  <c r="CK56" i="37"/>
  <c r="CJ56" i="37"/>
  <c r="CH56" i="37"/>
  <c r="CG56" i="37"/>
  <c r="CF56" i="37"/>
  <c r="CE56" i="37"/>
  <c r="CR55" i="37"/>
  <c r="CQ55" i="37"/>
  <c r="CP55" i="37"/>
  <c r="CO55" i="37"/>
  <c r="CM55" i="37"/>
  <c r="CL55" i="37"/>
  <c r="CK55" i="37"/>
  <c r="CJ55" i="37"/>
  <c r="CH55" i="37"/>
  <c r="CG55" i="37"/>
  <c r="CF55" i="37"/>
  <c r="CE55" i="37"/>
  <c r="CR54" i="37"/>
  <c r="CQ54" i="37"/>
  <c r="CP54" i="37"/>
  <c r="CO54" i="37"/>
  <c r="CM54" i="37"/>
  <c r="CL54" i="37"/>
  <c r="CK54" i="37"/>
  <c r="CJ54" i="37"/>
  <c r="CH54" i="37"/>
  <c r="CG54" i="37"/>
  <c r="CF54" i="37"/>
  <c r="CE54" i="37"/>
  <c r="CR53" i="37"/>
  <c r="CQ53" i="37"/>
  <c r="CP53" i="37"/>
  <c r="CO53" i="37"/>
  <c r="CM53" i="37"/>
  <c r="CL53" i="37"/>
  <c r="CK53" i="37"/>
  <c r="CJ53" i="37"/>
  <c r="CH53" i="37"/>
  <c r="CG53" i="37"/>
  <c r="CF53" i="37"/>
  <c r="CE53" i="37"/>
  <c r="CR52" i="37"/>
  <c r="CQ52" i="37"/>
  <c r="CP52" i="37"/>
  <c r="CO52" i="37"/>
  <c r="CM52" i="37"/>
  <c r="CL52" i="37"/>
  <c r="CK52" i="37"/>
  <c r="CJ52" i="37"/>
  <c r="CH52" i="37"/>
  <c r="CG52" i="37"/>
  <c r="CF52" i="37"/>
  <c r="CE52" i="37"/>
  <c r="CR51" i="37"/>
  <c r="CQ51" i="37"/>
  <c r="CP51" i="37"/>
  <c r="CO51" i="37"/>
  <c r="CM51" i="37"/>
  <c r="CL51" i="37"/>
  <c r="CK51" i="37"/>
  <c r="CJ51" i="37"/>
  <c r="CH51" i="37"/>
  <c r="CG51" i="37"/>
  <c r="CF51" i="37"/>
  <c r="CE51" i="37"/>
  <c r="CR50" i="37"/>
  <c r="CQ50" i="37"/>
  <c r="CP50" i="37"/>
  <c r="CO50" i="37"/>
  <c r="CM50" i="37"/>
  <c r="CL50" i="37"/>
  <c r="CK50" i="37"/>
  <c r="CJ50" i="37"/>
  <c r="CH50" i="37"/>
  <c r="CG50" i="37"/>
  <c r="CF50" i="37"/>
  <c r="CE50" i="37"/>
  <c r="CR49" i="37"/>
  <c r="CQ49" i="37"/>
  <c r="CP49" i="37"/>
  <c r="CO49" i="37"/>
  <c r="CM49" i="37"/>
  <c r="CL49" i="37"/>
  <c r="CK49" i="37"/>
  <c r="CJ49" i="37"/>
  <c r="CH49" i="37"/>
  <c r="CG49" i="37"/>
  <c r="CF49" i="37"/>
  <c r="CE49" i="37"/>
  <c r="CR48" i="37"/>
  <c r="CQ48" i="37"/>
  <c r="CP48" i="37"/>
  <c r="CO48" i="37"/>
  <c r="CM48" i="37"/>
  <c r="CL48" i="37"/>
  <c r="CK48" i="37"/>
  <c r="CJ48" i="37"/>
  <c r="CH48" i="37"/>
  <c r="CG48" i="37"/>
  <c r="CF48" i="37"/>
  <c r="CE48" i="37"/>
  <c r="CK46" i="37"/>
  <c r="CJ46" i="37"/>
  <c r="CR43" i="37"/>
  <c r="CQ43" i="37"/>
  <c r="CP43" i="37"/>
  <c r="CO43" i="37"/>
  <c r="CM43" i="37"/>
  <c r="CL43" i="37"/>
  <c r="CK43" i="37"/>
  <c r="CJ43" i="37"/>
  <c r="CH43" i="37"/>
  <c r="CG43" i="37"/>
  <c r="CF43" i="37"/>
  <c r="CE43" i="37"/>
  <c r="CR42" i="37"/>
  <c r="CQ42" i="37"/>
  <c r="CP42" i="37"/>
  <c r="CO42" i="37"/>
  <c r="CM42" i="37"/>
  <c r="CL42" i="37"/>
  <c r="CK42" i="37"/>
  <c r="CJ42" i="37"/>
  <c r="CH42" i="37"/>
  <c r="CG42" i="37"/>
  <c r="CF42" i="37"/>
  <c r="CE42" i="37"/>
  <c r="CR41" i="37"/>
  <c r="CQ41" i="37"/>
  <c r="CP41" i="37"/>
  <c r="CO41" i="37"/>
  <c r="CM41" i="37"/>
  <c r="CL41" i="37"/>
  <c r="CK41" i="37"/>
  <c r="CJ41" i="37"/>
  <c r="CH41" i="37"/>
  <c r="CG41" i="37"/>
  <c r="CF41" i="37"/>
  <c r="CE41" i="37"/>
  <c r="CR40" i="37"/>
  <c r="CQ40" i="37"/>
  <c r="CP40" i="37"/>
  <c r="CO40" i="37"/>
  <c r="CM40" i="37"/>
  <c r="CL40" i="37"/>
  <c r="CK40" i="37"/>
  <c r="CJ40" i="37"/>
  <c r="CH40" i="37"/>
  <c r="CG40" i="37"/>
  <c r="CF40" i="37"/>
  <c r="CE40" i="37"/>
  <c r="CR39" i="37"/>
  <c r="CQ39" i="37"/>
  <c r="CP39" i="37"/>
  <c r="CO39" i="37"/>
  <c r="CM39" i="37"/>
  <c r="CL39" i="37"/>
  <c r="CK39" i="37"/>
  <c r="CJ39" i="37"/>
  <c r="CH39" i="37"/>
  <c r="CG39" i="37"/>
  <c r="CF39" i="37"/>
  <c r="CE39" i="37"/>
  <c r="CR38" i="37"/>
  <c r="CQ38" i="37"/>
  <c r="CP38" i="37"/>
  <c r="CO38" i="37"/>
  <c r="CM38" i="37"/>
  <c r="CL38" i="37"/>
  <c r="CK38" i="37"/>
  <c r="CJ38" i="37"/>
  <c r="CH38" i="37"/>
  <c r="CG38" i="37"/>
  <c r="CF38" i="37"/>
  <c r="CE38" i="37"/>
  <c r="CR37" i="37"/>
  <c r="CQ37" i="37"/>
  <c r="CP37" i="37"/>
  <c r="CO37" i="37"/>
  <c r="CM37" i="37"/>
  <c r="CL37" i="37"/>
  <c r="CK37" i="37"/>
  <c r="CJ37" i="37"/>
  <c r="CH37" i="37"/>
  <c r="CG37" i="37"/>
  <c r="CF37" i="37"/>
  <c r="CE37" i="37"/>
  <c r="CR36" i="37"/>
  <c r="CQ36" i="37"/>
  <c r="CP36" i="37"/>
  <c r="CO36" i="37"/>
  <c r="CM36" i="37"/>
  <c r="CL36" i="37"/>
  <c r="CK36" i="37"/>
  <c r="CJ36" i="37"/>
  <c r="CH36" i="37"/>
  <c r="CG36" i="37"/>
  <c r="CF36" i="37"/>
  <c r="CE36" i="37"/>
  <c r="CR35" i="37"/>
  <c r="CQ35" i="37"/>
  <c r="CP35" i="37"/>
  <c r="CO35" i="37"/>
  <c r="CM35" i="37"/>
  <c r="CL35" i="37"/>
  <c r="CK35" i="37"/>
  <c r="CJ35" i="37"/>
  <c r="CH35" i="37"/>
  <c r="CG35" i="37"/>
  <c r="CF35" i="37"/>
  <c r="CE35" i="37"/>
  <c r="CR28" i="37"/>
  <c r="CQ28" i="37"/>
  <c r="CP28" i="37"/>
  <c r="CO28" i="37"/>
  <c r="CM28" i="37"/>
  <c r="CL28" i="37"/>
  <c r="CK28" i="37"/>
  <c r="CJ28" i="37"/>
  <c r="CH28" i="37"/>
  <c r="CG28" i="37"/>
  <c r="CF28" i="37"/>
  <c r="CE28" i="37"/>
  <c r="CR27" i="37"/>
  <c r="CQ27" i="37"/>
  <c r="CP27" i="37"/>
  <c r="CO27" i="37"/>
  <c r="CM27" i="37"/>
  <c r="CL27" i="37"/>
  <c r="CK27" i="37"/>
  <c r="CJ27" i="37"/>
  <c r="CH27" i="37"/>
  <c r="CG27" i="37"/>
  <c r="CF27" i="37"/>
  <c r="CE27" i="37"/>
  <c r="CR26" i="37"/>
  <c r="CQ26" i="37"/>
  <c r="CP26" i="37"/>
  <c r="CO26" i="37"/>
  <c r="CM26" i="37"/>
  <c r="CL26" i="37"/>
  <c r="CK26" i="37"/>
  <c r="CJ26" i="37"/>
  <c r="CH26" i="37"/>
  <c r="CG26" i="37"/>
  <c r="CF26" i="37"/>
  <c r="CE26" i="37"/>
  <c r="CM25" i="37"/>
  <c r="CL25" i="37"/>
  <c r="CK25" i="37"/>
  <c r="CJ25" i="37"/>
  <c r="CH22" i="37"/>
  <c r="CG22" i="37"/>
  <c r="CF22" i="37"/>
  <c r="CE22" i="37"/>
  <c r="CR21" i="37"/>
  <c r="CQ21" i="37"/>
  <c r="CP21" i="37"/>
  <c r="CO21" i="37"/>
  <c r="CM21" i="37"/>
  <c r="CL21" i="37"/>
  <c r="CK21" i="37"/>
  <c r="CJ21" i="37"/>
  <c r="CH21" i="37"/>
  <c r="CG21" i="37"/>
  <c r="CF21" i="37"/>
  <c r="CE21" i="37"/>
  <c r="CR19" i="37"/>
  <c r="CQ19" i="37"/>
  <c r="CP19" i="37"/>
  <c r="CO19" i="37"/>
  <c r="CM19" i="37"/>
  <c r="CL19" i="37"/>
  <c r="CK19" i="37"/>
  <c r="CJ19" i="37"/>
  <c r="CH19" i="37"/>
  <c r="CG19" i="37"/>
  <c r="CF19" i="37"/>
  <c r="CE19" i="37"/>
  <c r="CR18" i="37"/>
  <c r="CQ18" i="37"/>
  <c r="CP18" i="37"/>
  <c r="CO18" i="37"/>
  <c r="CM18" i="37"/>
  <c r="CL18" i="37"/>
  <c r="CK18" i="37"/>
  <c r="CJ18" i="37"/>
  <c r="CH18" i="37"/>
  <c r="CG18" i="37"/>
  <c r="CF18" i="37"/>
  <c r="CE18" i="37"/>
  <c r="CR17" i="37"/>
  <c r="CQ17" i="37"/>
  <c r="CP17" i="37"/>
  <c r="CO17" i="37"/>
  <c r="CM17" i="37"/>
  <c r="CL17" i="37"/>
  <c r="CK17" i="37"/>
  <c r="CJ17" i="37"/>
  <c r="CH17" i="37"/>
  <c r="CG17" i="37"/>
  <c r="CF17" i="37"/>
  <c r="CE17" i="37"/>
  <c r="CH16" i="37"/>
  <c r="CG16" i="37"/>
  <c r="CF16" i="37"/>
  <c r="CE16" i="37"/>
  <c r="CM16" i="37"/>
  <c r="CL16" i="37"/>
  <c r="CK16" i="37"/>
  <c r="CJ16" i="37"/>
  <c r="CA14" i="37"/>
  <c r="CA14" i="36" s="1"/>
  <c r="BZ14" i="37"/>
  <c r="BZ14" i="36" s="1"/>
  <c r="BY14" i="37"/>
  <c r="BY14" i="36" s="1"/>
  <c r="BX14" i="37"/>
  <c r="BX14" i="36" s="1"/>
  <c r="BW14" i="37"/>
  <c r="BW14" i="36" s="1"/>
  <c r="BV14" i="37"/>
  <c r="BV14" i="36" s="1"/>
  <c r="BU14" i="37"/>
  <c r="BU14" i="36" s="1"/>
  <c r="BT14" i="37"/>
  <c r="BT14" i="36" s="1"/>
  <c r="BR14" i="37"/>
  <c r="BR14" i="36" s="1"/>
  <c r="BQ14" i="37"/>
  <c r="BQ14" i="36" s="1"/>
  <c r="BP14" i="37"/>
  <c r="BP14" i="36" s="1"/>
  <c r="BO14" i="37"/>
  <c r="BO14" i="36" s="1"/>
  <c r="BN14" i="37"/>
  <c r="BN14" i="36" s="1"/>
  <c r="BM14" i="37"/>
  <c r="BM14" i="36" s="1"/>
  <c r="BL14" i="37"/>
  <c r="BL14" i="36" s="1"/>
  <c r="BK14" i="37"/>
  <c r="BK14" i="36" s="1"/>
  <c r="BG14" i="37"/>
  <c r="BG14" i="36" s="1"/>
  <c r="BF14" i="37"/>
  <c r="BF14" i="36" s="1"/>
  <c r="BE14" i="37"/>
  <c r="BE14" i="36" s="1"/>
  <c r="BD14" i="37"/>
  <c r="BD14" i="36" s="1"/>
  <c r="BC14" i="37"/>
  <c r="BC14" i="36" s="1"/>
  <c r="BB14" i="37"/>
  <c r="BB14" i="36" s="1"/>
  <c r="BA14" i="37"/>
  <c r="BA14" i="36" s="1"/>
  <c r="AZ14" i="37"/>
  <c r="AZ14" i="36" s="1"/>
  <c r="AX14" i="37"/>
  <c r="AX14" i="36" s="1"/>
  <c r="AW14" i="37"/>
  <c r="AW14" i="36" s="1"/>
  <c r="AV14" i="37"/>
  <c r="AV14" i="36" s="1"/>
  <c r="AU14" i="37"/>
  <c r="AU14" i="36" s="1"/>
  <c r="AT14" i="37"/>
  <c r="AT14" i="36" s="1"/>
  <c r="AS14" i="37"/>
  <c r="AS14" i="36" s="1"/>
  <c r="AR14" i="37"/>
  <c r="AR14" i="36" s="1"/>
  <c r="AQ14" i="37"/>
  <c r="AQ14" i="36" s="1"/>
  <c r="AM14" i="37"/>
  <c r="AM14" i="36" s="1"/>
  <c r="AL14" i="37"/>
  <c r="AL14" i="36" s="1"/>
  <c r="AK14" i="37"/>
  <c r="AK14" i="36" s="1"/>
  <c r="AJ14" i="37"/>
  <c r="AJ14" i="36" s="1"/>
  <c r="AI14" i="37"/>
  <c r="AI14" i="36" s="1"/>
  <c r="AH14" i="37"/>
  <c r="AH14" i="36" s="1"/>
  <c r="AG14" i="37"/>
  <c r="AG14" i="36" s="1"/>
  <c r="AF14" i="37"/>
  <c r="AF14" i="36" s="1"/>
  <c r="AD14" i="37"/>
  <c r="AD14" i="36" s="1"/>
  <c r="AC14" i="37"/>
  <c r="AC14" i="36" s="1"/>
  <c r="AB14" i="37"/>
  <c r="AB14" i="36" s="1"/>
  <c r="AA14" i="37"/>
  <c r="AA14" i="36" s="1"/>
  <c r="Z14" i="37"/>
  <c r="Z14" i="36" s="1"/>
  <c r="Y14" i="37"/>
  <c r="Y14" i="36" s="1"/>
  <c r="X14" i="37"/>
  <c r="X14" i="36" s="1"/>
  <c r="W14" i="37"/>
  <c r="W14" i="36" s="1"/>
  <c r="S14" i="37"/>
  <c r="S14" i="36" s="1"/>
  <c r="R14" i="37"/>
  <c r="R14" i="36" s="1"/>
  <c r="Q14" i="37"/>
  <c r="Q14" i="36" s="1"/>
  <c r="P14" i="37"/>
  <c r="P14" i="36" s="1"/>
  <c r="O14" i="37"/>
  <c r="O14" i="36" s="1"/>
  <c r="N14" i="37"/>
  <c r="N14" i="36" s="1"/>
  <c r="M14" i="37"/>
  <c r="M14" i="36" s="1"/>
  <c r="L14" i="37"/>
  <c r="L14" i="36" s="1"/>
  <c r="J14" i="37"/>
  <c r="J14" i="36" s="1"/>
  <c r="I14" i="37"/>
  <c r="I14" i="36" s="1"/>
  <c r="H14" i="37"/>
  <c r="H14" i="36" s="1"/>
  <c r="G14" i="37"/>
  <c r="G14" i="36" s="1"/>
  <c r="F14" i="37"/>
  <c r="F14" i="36" s="1"/>
  <c r="E14" i="37"/>
  <c r="E14" i="36" s="1"/>
  <c r="D14" i="37"/>
  <c r="D14" i="36" s="1"/>
  <c r="C14" i="37"/>
  <c r="C14" i="36" s="1"/>
  <c r="BW44" i="40"/>
  <c r="BV44" i="40"/>
  <c r="BU44" i="40"/>
  <c r="BT44" i="40"/>
  <c r="BS44" i="40"/>
  <c r="BP44" i="40"/>
  <c r="BM44" i="40"/>
  <c r="BW43" i="40"/>
  <c r="BV43" i="40"/>
  <c r="BU43" i="40"/>
  <c r="BT43" i="40"/>
  <c r="BS43" i="40"/>
  <c r="BP43" i="40"/>
  <c r="BM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P30" i="40"/>
  <c r="BM30" i="40"/>
  <c r="BW29" i="40"/>
  <c r="BV29" i="40"/>
  <c r="BU29" i="40"/>
  <c r="BT29" i="40"/>
  <c r="BP29" i="40"/>
  <c r="BM29" i="40"/>
  <c r="BW28" i="40"/>
  <c r="BV28" i="40"/>
  <c r="BU28" i="40"/>
  <c r="BT28" i="40"/>
  <c r="BP28" i="40"/>
  <c r="BM28" i="40"/>
  <c r="BW27" i="40"/>
  <c r="BV27" i="40"/>
  <c r="BU27" i="40"/>
  <c r="BT27" i="40"/>
  <c r="BP27" i="40"/>
  <c r="BM27" i="40"/>
  <c r="BW26" i="40"/>
  <c r="BV26" i="40"/>
  <c r="BU26" i="40"/>
  <c r="BT26" i="40"/>
  <c r="BP26" i="40"/>
  <c r="BM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CC20" i="36" l="1"/>
  <c r="BI20" i="36"/>
  <c r="CN14" i="53"/>
  <c r="CS20" i="53"/>
  <c r="U14" i="53"/>
  <c r="CS14" i="53" s="1"/>
  <c r="CI66" i="53"/>
  <c r="CN14" i="54"/>
  <c r="CS20" i="54"/>
  <c r="CS70" i="53"/>
  <c r="CS70" i="54"/>
  <c r="CI23" i="54"/>
  <c r="CI23" i="53"/>
  <c r="CF14" i="37"/>
  <c r="AY14" i="37"/>
  <c r="AY14" i="36" s="1"/>
  <c r="BH14" i="37"/>
  <c r="BH14" i="36" s="1"/>
  <c r="CG14" i="37"/>
  <c r="CH14" i="37"/>
  <c r="CP14" i="37"/>
  <c r="CJ14" i="37"/>
  <c r="CK14" i="37"/>
  <c r="CL14" i="37"/>
  <c r="CE14" i="37"/>
  <c r="CM14" i="37"/>
  <c r="BS14" i="37"/>
  <c r="BS14" i="36" s="1"/>
  <c r="CB14" i="37"/>
  <c r="CB14" i="36" s="1"/>
  <c r="T14" i="37"/>
  <c r="T14" i="36" s="1"/>
  <c r="AE14" i="37"/>
  <c r="AE14" i="36" s="1"/>
  <c r="CR14" i="37"/>
  <c r="AN14" i="37"/>
  <c r="AN14" i="36" s="1"/>
  <c r="CO14" i="37"/>
  <c r="CQ14" i="37"/>
  <c r="K14" i="37"/>
  <c r="K14" i="36" s="1"/>
  <c r="D42" i="39"/>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F36" i="40"/>
  <c r="I35" i="40"/>
  <c r="F35" i="40"/>
  <c r="I34" i="40"/>
  <c r="F34" i="40"/>
  <c r="CM54" i="36"/>
  <c r="CM53" i="36"/>
  <c r="CM52" i="36"/>
  <c r="CM51" i="36"/>
  <c r="CB54" i="37"/>
  <c r="BS54" i="37"/>
  <c r="CB53" i="37"/>
  <c r="BS53" i="37"/>
  <c r="CB52" i="37"/>
  <c r="BS52" i="37"/>
  <c r="CB51" i="37"/>
  <c r="BS51" i="37"/>
  <c r="BH54" i="37"/>
  <c r="AY54" i="37"/>
  <c r="BH53" i="37"/>
  <c r="AY53" i="37"/>
  <c r="BH52" i="37"/>
  <c r="AY52" i="37"/>
  <c r="BH51" i="37"/>
  <c r="AY51" i="37"/>
  <c r="AN54" i="37"/>
  <c r="AE54" i="37"/>
  <c r="AN53" i="37"/>
  <c r="AE53" i="37"/>
  <c r="AN52" i="37"/>
  <c r="AE52" i="37"/>
  <c r="AN51" i="37"/>
  <c r="AE51" i="37"/>
  <c r="T54" i="37"/>
  <c r="K54" i="37"/>
  <c r="T53" i="37"/>
  <c r="K53" i="37"/>
  <c r="T52" i="37"/>
  <c r="K52" i="37"/>
  <c r="T51" i="37"/>
  <c r="K51" i="37"/>
  <c r="U38" i="40"/>
  <c r="X38" i="40"/>
  <c r="BN36" i="40" l="1"/>
  <c r="BQ36" i="40"/>
  <c r="BC36" i="40"/>
  <c r="BI36" i="40" s="1"/>
  <c r="BC35" i="40"/>
  <c r="BI35" i="40" s="1"/>
  <c r="BC37" i="40"/>
  <c r="BI37" i="40" s="1"/>
  <c r="AN35" i="40"/>
  <c r="AT35" i="40" s="1"/>
  <c r="AN37" i="40"/>
  <c r="AT37" i="40" s="1"/>
  <c r="AN34" i="40"/>
  <c r="AT34" i="40" s="1"/>
  <c r="AN36" i="40"/>
  <c r="AT36" i="40" s="1"/>
  <c r="BQ35" i="40"/>
  <c r="Y38" i="40"/>
  <c r="AE38" i="40" s="1"/>
  <c r="Y35" i="40"/>
  <c r="AE35" i="40" s="1"/>
  <c r="Y36" i="40"/>
  <c r="AE36" i="40" s="1"/>
  <c r="Y37" i="40"/>
  <c r="AE37" i="40" s="1"/>
  <c r="Y34" i="40"/>
  <c r="AE34" i="40" s="1"/>
  <c r="U52" i="37"/>
  <c r="AO53" i="37"/>
  <c r="BI52" i="37"/>
  <c r="CC54" i="37"/>
  <c r="CC53" i="37"/>
  <c r="BI51" i="37"/>
  <c r="CN51" i="37"/>
  <c r="AO52" i="37"/>
  <c r="CI53" i="37"/>
  <c r="AO54" i="37"/>
  <c r="CC51" i="37"/>
  <c r="J37" i="40"/>
  <c r="BN37" i="40"/>
  <c r="BC34" i="40"/>
  <c r="BI34" i="40" s="1"/>
  <c r="CI52" i="37"/>
  <c r="U53" i="37"/>
  <c r="CN53" i="37"/>
  <c r="AO51" i="37"/>
  <c r="U54" i="37"/>
  <c r="CN54" i="37"/>
  <c r="U51" i="37"/>
  <c r="BI53" i="37"/>
  <c r="J34" i="40"/>
  <c r="BN34" i="40"/>
  <c r="BQ34" i="40"/>
  <c r="BQ37" i="40"/>
  <c r="CI51" i="37"/>
  <c r="CN52" i="37"/>
  <c r="CI54" i="37"/>
  <c r="BI54" i="37"/>
  <c r="CC52" i="37"/>
  <c r="J35" i="40"/>
  <c r="BN35" i="40"/>
  <c r="J36" i="40"/>
  <c r="CG51" i="36"/>
  <c r="CQ51" i="36"/>
  <c r="N21" i="28" s="1"/>
  <c r="AH21" i="28" s="1"/>
  <c r="CL51" i="36"/>
  <c r="CG52" i="36"/>
  <c r="CQ52" i="36"/>
  <c r="N22" i="28" s="1"/>
  <c r="AH22" i="28" s="1"/>
  <c r="CL52" i="36"/>
  <c r="CQ53" i="36"/>
  <c r="N23" i="28" s="1"/>
  <c r="AH23" i="28" s="1"/>
  <c r="CG53" i="36"/>
  <c r="CL53" i="36"/>
  <c r="CQ54" i="36"/>
  <c r="N24" i="28" s="1"/>
  <c r="CG54" i="36"/>
  <c r="CL54" i="36"/>
  <c r="CH53" i="36"/>
  <c r="CR53" i="36"/>
  <c r="O23" i="28" s="1"/>
  <c r="AI23" i="28" s="1"/>
  <c r="CR54" i="36"/>
  <c r="O24" i="28" s="1"/>
  <c r="CH54" i="36"/>
  <c r="CH52" i="36"/>
  <c r="CR52" i="36"/>
  <c r="O22" i="28" s="1"/>
  <c r="AI22" i="28" s="1"/>
  <c r="CO51" i="36"/>
  <c r="L21" i="28" s="1"/>
  <c r="AF21" i="28" s="1"/>
  <c r="CE51" i="36"/>
  <c r="CJ51" i="36"/>
  <c r="CO52" i="36"/>
  <c r="L22" i="28" s="1"/>
  <c r="AF22" i="28" s="1"/>
  <c r="CE52" i="36"/>
  <c r="CJ52" i="36"/>
  <c r="CO53" i="36"/>
  <c r="L23" i="28" s="1"/>
  <c r="AF23" i="28" s="1"/>
  <c r="CE53" i="36"/>
  <c r="CJ53" i="36"/>
  <c r="CE54" i="36"/>
  <c r="CO54" i="36"/>
  <c r="L24" i="28" s="1"/>
  <c r="CJ54" i="36"/>
  <c r="CR51" i="36"/>
  <c r="CH51" i="36"/>
  <c r="CF51" i="36"/>
  <c r="CP51" i="36"/>
  <c r="M21" i="28" s="1"/>
  <c r="AG21" i="28" s="1"/>
  <c r="CK51" i="36"/>
  <c r="CP52" i="36"/>
  <c r="CF52" i="36"/>
  <c r="CK52" i="36"/>
  <c r="CP53" i="36"/>
  <c r="CF53" i="36"/>
  <c r="CK53" i="36"/>
  <c r="CP54" i="36"/>
  <c r="M24" i="28" s="1"/>
  <c r="CF54" i="36"/>
  <c r="CK54" i="36"/>
  <c r="CI14" i="37"/>
  <c r="BI14" i="37"/>
  <c r="BI14" i="36" s="1"/>
  <c r="CN14" i="37"/>
  <c r="AO14" i="37"/>
  <c r="AO14" i="36" s="1"/>
  <c r="U14" i="37"/>
  <c r="U14" i="36" s="1"/>
  <c r="CC14" i="37"/>
  <c r="CC14" i="36" s="1"/>
  <c r="T51" i="36"/>
  <c r="K52" i="36"/>
  <c r="T52" i="36"/>
  <c r="K53" i="36"/>
  <c r="T53" i="36"/>
  <c r="T54" i="36"/>
  <c r="AE51" i="36"/>
  <c r="AN51" i="36"/>
  <c r="AE52" i="36"/>
  <c r="AN52" i="36"/>
  <c r="AN53" i="36"/>
  <c r="AE54" i="36"/>
  <c r="AN54" i="36"/>
  <c r="AY51" i="36"/>
  <c r="BH51" i="36"/>
  <c r="AY52" i="36"/>
  <c r="BH52" i="36"/>
  <c r="AY53" i="36"/>
  <c r="BH53" i="36"/>
  <c r="AY54" i="36"/>
  <c r="BH54" i="36"/>
  <c r="BS51" i="36"/>
  <c r="CB51" i="36"/>
  <c r="BS52" i="36"/>
  <c r="CB52" i="36"/>
  <c r="BS53" i="36"/>
  <c r="CB53" i="36"/>
  <c r="BS54" i="36"/>
  <c r="CB54" i="36"/>
  <c r="AE53" i="36"/>
  <c r="K54" i="36"/>
  <c r="K51" i="36"/>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CS54" i="37" l="1"/>
  <c r="AU34" i="40"/>
  <c r="CS53" i="37"/>
  <c r="AO53" i="36"/>
  <c r="CS52" i="37"/>
  <c r="AU37" i="40"/>
  <c r="CS51" i="37"/>
  <c r="BR36" i="40"/>
  <c r="P36" i="40"/>
  <c r="BX36" i="40" s="1"/>
  <c r="BW45" i="40"/>
  <c r="CC53" i="36"/>
  <c r="P35" i="40"/>
  <c r="BX35" i="40" s="1"/>
  <c r="BR35" i="40"/>
  <c r="BW52" i="40"/>
  <c r="P34" i="40"/>
  <c r="BX34" i="40" s="1"/>
  <c r="BR34" i="40"/>
  <c r="P37" i="40"/>
  <c r="BR37" i="40"/>
  <c r="AF34" i="40"/>
  <c r="BJ36" i="40"/>
  <c r="BI52" i="36"/>
  <c r="AO52" i="36"/>
  <c r="AF35" i="40"/>
  <c r="M22" i="28"/>
  <c r="BJ34" i="40"/>
  <c r="O21" i="28"/>
  <c r="P24" i="28"/>
  <c r="AU36" i="40"/>
  <c r="AF36" i="40"/>
  <c r="M23" i="28"/>
  <c r="CC52" i="36"/>
  <c r="AU35" i="40"/>
  <c r="BJ37" i="40"/>
  <c r="AF37" i="40"/>
  <c r="BJ35" i="40"/>
  <c r="BW49" i="40"/>
  <c r="BW47" i="40"/>
  <c r="BW48" i="40"/>
  <c r="BW51" i="40"/>
  <c r="BW50" i="40"/>
  <c r="CC51" i="36"/>
  <c r="BI51" i="36"/>
  <c r="AO51" i="36"/>
  <c r="U51" i="36"/>
  <c r="CI51" i="36"/>
  <c r="CI53" i="36"/>
  <c r="CN54" i="36"/>
  <c r="CI54" i="36"/>
  <c r="BI53" i="36"/>
  <c r="U52" i="36"/>
  <c r="CN52" i="36"/>
  <c r="CI52" i="36"/>
  <c r="U53" i="36"/>
  <c r="CN53" i="36"/>
  <c r="CN51" i="36"/>
  <c r="CS14" i="37"/>
  <c r="CC54" i="36"/>
  <c r="BI54" i="36"/>
  <c r="AO54" i="36"/>
  <c r="D40" i="39"/>
  <c r="F42" i="39"/>
  <c r="E42" i="39"/>
  <c r="U54" i="36"/>
  <c r="P21" i="28" l="1"/>
  <c r="AJ21" i="28" s="1"/>
  <c r="AI21" i="28"/>
  <c r="Q36" i="40"/>
  <c r="P23" i="28"/>
  <c r="AJ23" i="28" s="1"/>
  <c r="AG23" i="28"/>
  <c r="P22" i="28"/>
  <c r="AJ22" i="28" s="1"/>
  <c r="AG22" i="28"/>
  <c r="Q35" i="40"/>
  <c r="BY35" i="40" s="1"/>
  <c r="BX37" i="40"/>
  <c r="Q37" i="40"/>
  <c r="BY37" i="40" s="1"/>
  <c r="Q34" i="40"/>
  <c r="BY34" i="40" s="1"/>
  <c r="BY36" i="40"/>
  <c r="CS52" i="36"/>
  <c r="CS53" i="36"/>
  <c r="CS54" i="36"/>
  <c r="CS51" i="36"/>
  <c r="F40" i="39"/>
  <c r="G42" i="39"/>
  <c r="E40" i="39"/>
  <c r="CB85" i="37"/>
  <c r="BS85" i="37"/>
  <c r="BH85" i="37"/>
  <c r="BI85" i="37" s="1"/>
  <c r="AY85" i="37"/>
  <c r="AN85" i="37"/>
  <c r="AO85" i="37" s="1"/>
  <c r="AE85" i="37"/>
  <c r="T85" i="37"/>
  <c r="K85" i="37"/>
  <c r="CI85" i="37" s="1"/>
  <c r="CB84" i="37"/>
  <c r="BS84" i="37"/>
  <c r="BH84" i="37"/>
  <c r="AY84" i="37"/>
  <c r="AN84" i="37"/>
  <c r="AE84" i="37"/>
  <c r="AO84" i="37" s="1"/>
  <c r="T84" i="37"/>
  <c r="K84" i="37"/>
  <c r="U84" i="37" s="1"/>
  <c r="CB83" i="37"/>
  <c r="BS83" i="37"/>
  <c r="BH83" i="37"/>
  <c r="AY83" i="37"/>
  <c r="AN83" i="37"/>
  <c r="AE83" i="37"/>
  <c r="AO83" i="37" s="1"/>
  <c r="T83" i="37"/>
  <c r="K83" i="37"/>
  <c r="CB82" i="37"/>
  <c r="CC82" i="37" s="1"/>
  <c r="BS82" i="37"/>
  <c r="BH82" i="37"/>
  <c r="AY82" i="37"/>
  <c r="AN82" i="37"/>
  <c r="AE82" i="37"/>
  <c r="T82" i="37"/>
  <c r="K82" i="37"/>
  <c r="CI82" i="37" s="1"/>
  <c r="CB80" i="37"/>
  <c r="BS80" i="37"/>
  <c r="BH80" i="37"/>
  <c r="AY80" i="37"/>
  <c r="AN80" i="37"/>
  <c r="AO80" i="37" s="1"/>
  <c r="AE80" i="37"/>
  <c r="T80" i="37"/>
  <c r="K80" i="37"/>
  <c r="CB78" i="37"/>
  <c r="BS78" i="37"/>
  <c r="BI78" i="37"/>
  <c r="BH78" i="37"/>
  <c r="AY78" i="37"/>
  <c r="AN78" i="37"/>
  <c r="AE78" i="37"/>
  <c r="T78" i="37"/>
  <c r="K78" i="37"/>
  <c r="CB77" i="37"/>
  <c r="BS77" i="37"/>
  <c r="BH77" i="37"/>
  <c r="BI77" i="37" s="1"/>
  <c r="AY77" i="37"/>
  <c r="AN77" i="37"/>
  <c r="AO77" i="37" s="1"/>
  <c r="AE77" i="37"/>
  <c r="T77" i="37"/>
  <c r="K77" i="37"/>
  <c r="CB76" i="37"/>
  <c r="BS76" i="37"/>
  <c r="BH76" i="37"/>
  <c r="AY76" i="37"/>
  <c r="AN76" i="37"/>
  <c r="AO76" i="37" s="1"/>
  <c r="AE76" i="37"/>
  <c r="T76" i="37"/>
  <c r="K76" i="37"/>
  <c r="CA70" i="37"/>
  <c r="BZ70" i="37"/>
  <c r="BY70" i="37"/>
  <c r="BX70" i="37"/>
  <c r="BW70" i="37"/>
  <c r="BV70" i="37"/>
  <c r="BU70" i="37"/>
  <c r="BT70" i="37"/>
  <c r="BR70" i="37"/>
  <c r="BQ70" i="37"/>
  <c r="BP70" i="37"/>
  <c r="BO70" i="37"/>
  <c r="BN70" i="37"/>
  <c r="BM70" i="37"/>
  <c r="BL70" i="37"/>
  <c r="BK70" i="37"/>
  <c r="BG70" i="37"/>
  <c r="BF70" i="37"/>
  <c r="BE70" i="37"/>
  <c r="BD70" i="37"/>
  <c r="BC70" i="37"/>
  <c r="BB70" i="37"/>
  <c r="BA70" i="37"/>
  <c r="AZ70" i="37"/>
  <c r="AX70" i="37"/>
  <c r="AW70" i="37"/>
  <c r="AV70" i="37"/>
  <c r="AU70" i="37"/>
  <c r="AT70" i="37"/>
  <c r="AS70" i="37"/>
  <c r="AR70" i="37"/>
  <c r="AQ70" i="37"/>
  <c r="AM70" i="37"/>
  <c r="AL70" i="37"/>
  <c r="AK70" i="37"/>
  <c r="AJ70" i="37"/>
  <c r="AI70" i="37"/>
  <c r="AH70" i="37"/>
  <c r="AG70" i="37"/>
  <c r="AF70" i="37"/>
  <c r="AD70" i="37"/>
  <c r="AC70" i="37"/>
  <c r="AB70" i="37"/>
  <c r="AA70" i="37"/>
  <c r="Z70" i="37"/>
  <c r="Y70" i="37"/>
  <c r="X70" i="37"/>
  <c r="W70" i="37"/>
  <c r="S70" i="37"/>
  <c r="R70" i="37"/>
  <c r="Q70" i="37"/>
  <c r="P70" i="37"/>
  <c r="O70" i="37"/>
  <c r="N70" i="37"/>
  <c r="M70" i="37"/>
  <c r="L70" i="37"/>
  <c r="J70" i="37"/>
  <c r="I70" i="37"/>
  <c r="H70" i="37"/>
  <c r="G70" i="37"/>
  <c r="F70" i="37"/>
  <c r="E70" i="37"/>
  <c r="D70" i="37"/>
  <c r="C70" i="37"/>
  <c r="BZ66" i="37"/>
  <c r="BX66" i="37"/>
  <c r="BV66" i="37"/>
  <c r="BT66" i="37"/>
  <c r="BF66" i="37"/>
  <c r="BD66" i="37"/>
  <c r="BB66" i="37"/>
  <c r="AZ66" i="37"/>
  <c r="AL66" i="37"/>
  <c r="AJ66" i="37"/>
  <c r="AH66" i="37"/>
  <c r="AF66" i="37"/>
  <c r="R66" i="37"/>
  <c r="P66" i="37"/>
  <c r="N66" i="37"/>
  <c r="L66" i="37"/>
  <c r="CB64" i="37"/>
  <c r="BS64" i="37"/>
  <c r="BH64" i="37"/>
  <c r="AY64" i="37"/>
  <c r="AN64" i="37"/>
  <c r="AE64" i="37"/>
  <c r="T64" i="37"/>
  <c r="K64" i="37"/>
  <c r="CB63" i="37"/>
  <c r="BS63" i="37"/>
  <c r="BH63" i="37"/>
  <c r="AY63" i="37"/>
  <c r="AN63" i="37"/>
  <c r="AE63" i="37"/>
  <c r="T63" i="37"/>
  <c r="K63" i="37"/>
  <c r="CB62" i="37"/>
  <c r="BS62" i="37"/>
  <c r="BH62" i="37"/>
  <c r="AY62" i="37"/>
  <c r="AN62" i="37"/>
  <c r="AO62" i="37" s="1"/>
  <c r="AE62" i="37"/>
  <c r="T62" i="37"/>
  <c r="K62" i="37"/>
  <c r="CB61" i="37"/>
  <c r="BS61" i="37"/>
  <c r="BH61" i="37"/>
  <c r="AY61" i="37"/>
  <c r="AN61" i="37"/>
  <c r="AE61" i="37"/>
  <c r="T61" i="37"/>
  <c r="K61" i="37"/>
  <c r="CB60" i="37"/>
  <c r="BS60" i="37"/>
  <c r="BH60" i="37"/>
  <c r="AY60" i="37"/>
  <c r="AN60" i="37"/>
  <c r="AE60" i="37"/>
  <c r="T60" i="37"/>
  <c r="K60" i="37"/>
  <c r="CB59" i="37"/>
  <c r="BS59" i="37"/>
  <c r="BH59" i="37"/>
  <c r="AY59" i="37"/>
  <c r="AN59" i="37"/>
  <c r="AE59" i="37"/>
  <c r="T59" i="37"/>
  <c r="K59" i="37"/>
  <c r="CB58" i="37"/>
  <c r="BS58" i="37"/>
  <c r="BH58" i="37"/>
  <c r="AY58" i="37"/>
  <c r="AN58" i="37"/>
  <c r="AE58" i="37"/>
  <c r="T58" i="37"/>
  <c r="K58" i="37"/>
  <c r="CB57" i="37"/>
  <c r="BS57" i="37"/>
  <c r="BH57" i="37"/>
  <c r="AY57" i="37"/>
  <c r="AN57" i="37"/>
  <c r="AE57" i="37"/>
  <c r="T57" i="37"/>
  <c r="K57" i="37"/>
  <c r="CB56" i="37"/>
  <c r="BS56" i="37"/>
  <c r="BH56" i="37"/>
  <c r="AY56" i="37"/>
  <c r="AN56" i="37"/>
  <c r="AE56" i="37"/>
  <c r="T56" i="37"/>
  <c r="K56" i="37"/>
  <c r="CB55" i="37"/>
  <c r="BS55" i="37"/>
  <c r="BH55" i="37"/>
  <c r="AY55" i="37"/>
  <c r="AN55" i="37"/>
  <c r="AE55" i="37"/>
  <c r="T55" i="37"/>
  <c r="K55" i="37"/>
  <c r="CB50" i="37"/>
  <c r="BS50" i="37"/>
  <c r="BH50" i="37"/>
  <c r="AY50" i="37"/>
  <c r="AN50" i="37"/>
  <c r="AE50" i="37"/>
  <c r="T50" i="37"/>
  <c r="K50" i="37"/>
  <c r="CB49" i="37"/>
  <c r="BS49" i="37"/>
  <c r="BH49" i="37"/>
  <c r="AY49" i="37"/>
  <c r="AN49" i="37"/>
  <c r="AE49" i="37"/>
  <c r="T49" i="37"/>
  <c r="K49" i="37"/>
  <c r="CB48" i="37"/>
  <c r="BS48" i="37"/>
  <c r="BH48" i="37"/>
  <c r="AY48" i="37"/>
  <c r="AN48" i="37"/>
  <c r="AE48" i="37"/>
  <c r="T48" i="37"/>
  <c r="K48" i="37"/>
  <c r="BH46" i="37"/>
  <c r="AN46" i="37"/>
  <c r="T46" i="37"/>
  <c r="CB43" i="37"/>
  <c r="BS43" i="37"/>
  <c r="BH43" i="37"/>
  <c r="AY43" i="37"/>
  <c r="AN43" i="37"/>
  <c r="AE43" i="37"/>
  <c r="T43" i="37"/>
  <c r="K43" i="37"/>
  <c r="CB42" i="37"/>
  <c r="BS42" i="37"/>
  <c r="BH42" i="37"/>
  <c r="AY42" i="37"/>
  <c r="AN42" i="37"/>
  <c r="AE42" i="37"/>
  <c r="T42" i="37"/>
  <c r="K42" i="37"/>
  <c r="CB41" i="37"/>
  <c r="BS41" i="37"/>
  <c r="BH41" i="37"/>
  <c r="AY41" i="37"/>
  <c r="AN41" i="37"/>
  <c r="AE41" i="37"/>
  <c r="T41" i="37"/>
  <c r="K41" i="37"/>
  <c r="CB40" i="37"/>
  <c r="BS40" i="37"/>
  <c r="BH40" i="37"/>
  <c r="AY40" i="37"/>
  <c r="AN40" i="37"/>
  <c r="AE40" i="37"/>
  <c r="T40" i="37"/>
  <c r="K40" i="37"/>
  <c r="CB39" i="37"/>
  <c r="BS39" i="37"/>
  <c r="BH39" i="37"/>
  <c r="AY39" i="37"/>
  <c r="AN39" i="37"/>
  <c r="AE39" i="37"/>
  <c r="T39" i="37"/>
  <c r="K39" i="37"/>
  <c r="CB38" i="37"/>
  <c r="BS38" i="37"/>
  <c r="BH38" i="37"/>
  <c r="AY38" i="37"/>
  <c r="AN38" i="37"/>
  <c r="AE38" i="37"/>
  <c r="T38" i="37"/>
  <c r="K38" i="37"/>
  <c r="CB37" i="37"/>
  <c r="BS37" i="37"/>
  <c r="BH37" i="37"/>
  <c r="AY37" i="37"/>
  <c r="AN37" i="37"/>
  <c r="AE37" i="37"/>
  <c r="T37" i="37"/>
  <c r="K37" i="37"/>
  <c r="CB36" i="37"/>
  <c r="BS36" i="37"/>
  <c r="BH36" i="37"/>
  <c r="AY36" i="37"/>
  <c r="AN36" i="37"/>
  <c r="AE36" i="37"/>
  <c r="T36" i="37"/>
  <c r="K36" i="37"/>
  <c r="CB35" i="37"/>
  <c r="BS35" i="37"/>
  <c r="BH35" i="37"/>
  <c r="AY35" i="37"/>
  <c r="AN35" i="37"/>
  <c r="AE35" i="37"/>
  <c r="T35" i="37"/>
  <c r="K35" i="37"/>
  <c r="CB28" i="37"/>
  <c r="BS28" i="37"/>
  <c r="BH28" i="37"/>
  <c r="AY28" i="37"/>
  <c r="AN28" i="37"/>
  <c r="AE28" i="37"/>
  <c r="T28" i="37"/>
  <c r="K28" i="37"/>
  <c r="CB27" i="37"/>
  <c r="BS27" i="37"/>
  <c r="BH27" i="37"/>
  <c r="AY27" i="37"/>
  <c r="BI27" i="37" s="1"/>
  <c r="AN27" i="37"/>
  <c r="AE27" i="37"/>
  <c r="T27" i="37"/>
  <c r="K27" i="37"/>
  <c r="CB26" i="37"/>
  <c r="BS26" i="37"/>
  <c r="BH26" i="37"/>
  <c r="AY26" i="37"/>
  <c r="BI26" i="37" s="1"/>
  <c r="AN26" i="37"/>
  <c r="AE26" i="37"/>
  <c r="T26" i="37"/>
  <c r="K26" i="37"/>
  <c r="CI26" i="37" s="1"/>
  <c r="CB25" i="37"/>
  <c r="BH25" i="37"/>
  <c r="AY25" i="37"/>
  <c r="BI25" i="37" s="1"/>
  <c r="AN25" i="37"/>
  <c r="AE25" i="37"/>
  <c r="T25" i="37"/>
  <c r="K25" i="37"/>
  <c r="BS22" i="37"/>
  <c r="AY22" i="37"/>
  <c r="AE22" i="37"/>
  <c r="K22" i="37"/>
  <c r="CB21" i="37"/>
  <c r="BS21" i="37"/>
  <c r="BH21" i="37"/>
  <c r="AY21" i="37"/>
  <c r="AN21" i="37"/>
  <c r="AE21" i="37"/>
  <c r="T21" i="37"/>
  <c r="K21" i="37"/>
  <c r="CA20" i="37"/>
  <c r="BZ20" i="37"/>
  <c r="BZ23" i="37" s="1"/>
  <c r="BY20" i="37"/>
  <c r="BX20" i="37"/>
  <c r="BX23" i="37" s="1"/>
  <c r="BW20" i="37"/>
  <c r="BV20" i="37"/>
  <c r="BV23" i="37" s="1"/>
  <c r="BU20" i="37"/>
  <c r="BT20" i="37"/>
  <c r="BT23" i="37" s="1"/>
  <c r="BR20" i="37"/>
  <c r="BR23" i="37" s="1"/>
  <c r="BQ20" i="37"/>
  <c r="BQ23" i="37" s="1"/>
  <c r="BP20" i="37"/>
  <c r="BP23" i="37" s="1"/>
  <c r="BO20" i="37"/>
  <c r="BO23" i="37" s="1"/>
  <c r="BN20" i="37"/>
  <c r="BN23" i="37" s="1"/>
  <c r="BM20" i="37"/>
  <c r="BM23" i="37" s="1"/>
  <c r="BL20" i="37"/>
  <c r="BL23" i="37" s="1"/>
  <c r="BK20" i="37"/>
  <c r="BK23" i="37" s="1"/>
  <c r="BG20" i="37"/>
  <c r="BF20" i="37"/>
  <c r="BF23" i="37" s="1"/>
  <c r="BE20" i="37"/>
  <c r="BD20" i="37"/>
  <c r="BD23" i="37" s="1"/>
  <c r="BC20" i="37"/>
  <c r="BB20" i="37"/>
  <c r="BB23" i="37" s="1"/>
  <c r="BA20" i="37"/>
  <c r="AZ20" i="37"/>
  <c r="AZ23" i="37" s="1"/>
  <c r="AX20" i="37"/>
  <c r="AX23" i="37" s="1"/>
  <c r="AW20" i="37"/>
  <c r="AW23" i="37" s="1"/>
  <c r="AV20" i="37"/>
  <c r="AV23" i="37" s="1"/>
  <c r="AU20" i="37"/>
  <c r="AU23" i="37" s="1"/>
  <c r="AT20" i="37"/>
  <c r="AT23" i="37" s="1"/>
  <c r="AS20" i="37"/>
  <c r="AS23" i="37" s="1"/>
  <c r="AR20" i="37"/>
  <c r="AR23" i="37" s="1"/>
  <c r="AQ20" i="37"/>
  <c r="AQ23" i="37" s="1"/>
  <c r="AM20" i="37"/>
  <c r="AL20" i="37"/>
  <c r="AL23" i="37" s="1"/>
  <c r="AK20" i="37"/>
  <c r="AJ20" i="37"/>
  <c r="AJ23" i="37" s="1"/>
  <c r="AI20" i="37"/>
  <c r="AH20" i="37"/>
  <c r="AH23" i="37" s="1"/>
  <c r="AG20" i="37"/>
  <c r="AF20" i="37"/>
  <c r="AF23" i="37" s="1"/>
  <c r="AD20" i="37"/>
  <c r="AD23" i="37" s="1"/>
  <c r="AC20" i="37"/>
  <c r="AC23" i="37" s="1"/>
  <c r="AB20" i="37"/>
  <c r="AB23" i="37" s="1"/>
  <c r="AA20" i="37"/>
  <c r="AA23" i="37" s="1"/>
  <c r="Z20" i="37"/>
  <c r="Z23" i="37" s="1"/>
  <c r="Y20" i="37"/>
  <c r="Y23" i="37" s="1"/>
  <c r="X20" i="37"/>
  <c r="X23" i="37" s="1"/>
  <c r="W20" i="37"/>
  <c r="W23" i="37" s="1"/>
  <c r="S20" i="37"/>
  <c r="R20" i="37"/>
  <c r="Q20" i="37"/>
  <c r="P20" i="37"/>
  <c r="O20" i="37"/>
  <c r="N20" i="37"/>
  <c r="M20" i="37"/>
  <c r="L20" i="37"/>
  <c r="J20" i="37"/>
  <c r="J23" i="37" s="1"/>
  <c r="I20" i="37"/>
  <c r="I23" i="37" s="1"/>
  <c r="H20" i="37"/>
  <c r="H23" i="37" s="1"/>
  <c r="G20" i="37"/>
  <c r="G23" i="37" s="1"/>
  <c r="F20" i="37"/>
  <c r="E20" i="37"/>
  <c r="D20" i="37"/>
  <c r="C20" i="37"/>
  <c r="CB19" i="37"/>
  <c r="BS19" i="37"/>
  <c r="BH19" i="37"/>
  <c r="AY19" i="37"/>
  <c r="AN19" i="37"/>
  <c r="AE19" i="37"/>
  <c r="T19" i="37"/>
  <c r="K19" i="37"/>
  <c r="CB18" i="37"/>
  <c r="BS18" i="37"/>
  <c r="BH18" i="37"/>
  <c r="AY18" i="37"/>
  <c r="AN18" i="37"/>
  <c r="AE18" i="37"/>
  <c r="T18" i="37"/>
  <c r="K18" i="37"/>
  <c r="CB17" i="37"/>
  <c r="BS17" i="37"/>
  <c r="BH17" i="37"/>
  <c r="AY17" i="37"/>
  <c r="AN17" i="37"/>
  <c r="AE17" i="37"/>
  <c r="T17" i="37"/>
  <c r="K17" i="37"/>
  <c r="CR16" i="37"/>
  <c r="CQ16" i="37"/>
  <c r="CP16" i="37"/>
  <c r="CO16" i="37"/>
  <c r="CB16" i="37"/>
  <c r="BS16" i="37"/>
  <c r="BH16" i="37"/>
  <c r="AY16" i="37"/>
  <c r="AN16" i="37"/>
  <c r="AE16" i="37"/>
  <c r="T16" i="37"/>
  <c r="K16" i="37"/>
  <c r="CC61" i="37" l="1"/>
  <c r="BI38" i="37"/>
  <c r="BI40" i="37"/>
  <c r="AO64" i="37"/>
  <c r="CC64" i="37"/>
  <c r="CS64" i="37" s="1"/>
  <c r="U50" i="37"/>
  <c r="CN55" i="37"/>
  <c r="CC40" i="37"/>
  <c r="AO41" i="37"/>
  <c r="AO43" i="37"/>
  <c r="CC43" i="37"/>
  <c r="AO36" i="37"/>
  <c r="AO37" i="37"/>
  <c r="CC37" i="37"/>
  <c r="BI17" i="37"/>
  <c r="BI18" i="37"/>
  <c r="CC48" i="37"/>
  <c r="CC49" i="37"/>
  <c r="CC55" i="37"/>
  <c r="CC58" i="37"/>
  <c r="CC60" i="37"/>
  <c r="AO38" i="37"/>
  <c r="AO40" i="37"/>
  <c r="BI42" i="37"/>
  <c r="CC78" i="37"/>
  <c r="CC80" i="37"/>
  <c r="CN41" i="37"/>
  <c r="CI56" i="37"/>
  <c r="CI57" i="37"/>
  <c r="CI58" i="37"/>
  <c r="CI59" i="37"/>
  <c r="CI60" i="37"/>
  <c r="CI61" i="37"/>
  <c r="CI63" i="37"/>
  <c r="CC36" i="37"/>
  <c r="CI22" i="37"/>
  <c r="CC17" i="37"/>
  <c r="BI83" i="37"/>
  <c r="BI76" i="37"/>
  <c r="BI49" i="37"/>
  <c r="BI55" i="37"/>
  <c r="BI50" i="37"/>
  <c r="BI57" i="37"/>
  <c r="BI60" i="37"/>
  <c r="CI28" i="37"/>
  <c r="BI19" i="37"/>
  <c r="AO78" i="37"/>
  <c r="CI77" i="37"/>
  <c r="CN56" i="37"/>
  <c r="CN59" i="37"/>
  <c r="CN62" i="37"/>
  <c r="CN39" i="37"/>
  <c r="AO56" i="37"/>
  <c r="AO58" i="37"/>
  <c r="AO59" i="37"/>
  <c r="CI41" i="37"/>
  <c r="CI42" i="37"/>
  <c r="CI43" i="37"/>
  <c r="CI48" i="37"/>
  <c r="CI49" i="37"/>
  <c r="CN25" i="37"/>
  <c r="AO25" i="37"/>
  <c r="CN21" i="37"/>
  <c r="U17" i="37"/>
  <c r="CI17" i="37"/>
  <c r="U21" i="37"/>
  <c r="CI21" i="37"/>
  <c r="U42" i="37"/>
  <c r="CN42" i="37"/>
  <c r="U58" i="37"/>
  <c r="CN58" i="37"/>
  <c r="U62" i="37"/>
  <c r="CI62" i="37"/>
  <c r="U64" i="37"/>
  <c r="CI64" i="37"/>
  <c r="U18" i="37"/>
  <c r="CI18" i="37"/>
  <c r="U43" i="37"/>
  <c r="CN43" i="37"/>
  <c r="U57" i="37"/>
  <c r="CN57" i="37"/>
  <c r="CN16" i="37"/>
  <c r="CN17" i="37"/>
  <c r="CN18" i="37"/>
  <c r="CN19" i="37"/>
  <c r="CN26" i="37"/>
  <c r="U27" i="37"/>
  <c r="CI27" i="37"/>
  <c r="CI35" i="37"/>
  <c r="CI36" i="37"/>
  <c r="CI37" i="37"/>
  <c r="CC38" i="37"/>
  <c r="AO39" i="37"/>
  <c r="U48" i="37"/>
  <c r="CN48" i="37"/>
  <c r="CN49" i="37"/>
  <c r="CI50" i="37"/>
  <c r="AO50" i="37"/>
  <c r="U61" i="37"/>
  <c r="CN61" i="37"/>
  <c r="BI61" i="37"/>
  <c r="BI62" i="37"/>
  <c r="U63" i="37"/>
  <c r="CN63" i="37"/>
  <c r="BI63" i="37"/>
  <c r="CN64" i="37"/>
  <c r="BI64" i="37"/>
  <c r="CN77" i="37"/>
  <c r="U78" i="37"/>
  <c r="CS78" i="37" s="1"/>
  <c r="CI78" i="37"/>
  <c r="U82" i="37"/>
  <c r="CN82" i="37"/>
  <c r="BI82" i="37"/>
  <c r="CI83" i="37"/>
  <c r="CC83" i="37"/>
  <c r="BI84" i="37"/>
  <c r="CN85" i="37"/>
  <c r="U16" i="37"/>
  <c r="CI16" i="37"/>
  <c r="U19" i="37"/>
  <c r="CI19" i="37"/>
  <c r="U25" i="37"/>
  <c r="U60" i="37"/>
  <c r="CN60" i="37"/>
  <c r="AO16" i="37"/>
  <c r="CC16" i="37"/>
  <c r="AO17" i="37"/>
  <c r="AO18" i="37"/>
  <c r="CC18" i="37"/>
  <c r="AO19" i="37"/>
  <c r="CC19" i="37"/>
  <c r="AO21" i="37"/>
  <c r="U26" i="37"/>
  <c r="CN27" i="37"/>
  <c r="U28" i="37"/>
  <c r="CN28" i="37"/>
  <c r="BI28" i="37"/>
  <c r="CN35" i="37"/>
  <c r="U36" i="37"/>
  <c r="CN36" i="37"/>
  <c r="U37" i="37"/>
  <c r="CN37" i="37"/>
  <c r="CI38" i="37"/>
  <c r="U39" i="37"/>
  <c r="CI39" i="37"/>
  <c r="BI39" i="37"/>
  <c r="CI40" i="37"/>
  <c r="CC41" i="37"/>
  <c r="AO42" i="37"/>
  <c r="AO48" i="37"/>
  <c r="U49" i="37"/>
  <c r="CN50" i="37"/>
  <c r="CI55" i="37"/>
  <c r="CC56" i="37"/>
  <c r="AO57" i="37"/>
  <c r="CC59" i="37"/>
  <c r="AO60" i="37"/>
  <c r="AO61" i="37"/>
  <c r="AO63" i="37"/>
  <c r="CI76" i="37"/>
  <c r="CN78" i="37"/>
  <c r="CI80" i="37"/>
  <c r="CN83" i="37"/>
  <c r="CI84" i="37"/>
  <c r="CC26" i="37"/>
  <c r="CC27" i="37"/>
  <c r="AO35" i="37"/>
  <c r="CC35" i="37"/>
  <c r="U38" i="37"/>
  <c r="CN38" i="37"/>
  <c r="U40" i="37"/>
  <c r="CN40" i="37"/>
  <c r="BI41" i="37"/>
  <c r="AO49" i="37"/>
  <c r="BI56" i="37"/>
  <c r="BI59" i="37"/>
  <c r="CN76" i="37"/>
  <c r="CC77" i="37"/>
  <c r="U80" i="37"/>
  <c r="CN80" i="37"/>
  <c r="BI80" i="37"/>
  <c r="U83" i="37"/>
  <c r="CN84" i="37"/>
  <c r="CC85" i="37"/>
  <c r="U77" i="37"/>
  <c r="CG64" i="36"/>
  <c r="CQ64" i="36"/>
  <c r="CL64" i="36"/>
  <c r="CR64" i="36"/>
  <c r="CH64" i="36"/>
  <c r="CM64" i="36"/>
  <c r="CO64" i="36"/>
  <c r="CE64" i="36"/>
  <c r="CJ64" i="36"/>
  <c r="CP64" i="36"/>
  <c r="CF64" i="36"/>
  <c r="CK64" i="36"/>
  <c r="CG23" i="37"/>
  <c r="N23" i="37"/>
  <c r="CK20" i="37"/>
  <c r="CH23" i="37"/>
  <c r="CF70" i="37"/>
  <c r="CP70" i="37"/>
  <c r="CK70" i="37"/>
  <c r="E23" i="37"/>
  <c r="CF20" i="37"/>
  <c r="CP20" i="37"/>
  <c r="CG70" i="37"/>
  <c r="CQ70" i="37"/>
  <c r="CL70" i="37"/>
  <c r="CR20" i="37"/>
  <c r="CH20" i="37"/>
  <c r="R23" i="37"/>
  <c r="CM20" i="37"/>
  <c r="CH70" i="37"/>
  <c r="CR70" i="37"/>
  <c r="CM70" i="37"/>
  <c r="CE20" i="37"/>
  <c r="CO20" i="37"/>
  <c r="L23" i="37"/>
  <c r="CJ20" i="37"/>
  <c r="CQ20" i="37"/>
  <c r="CG20" i="37"/>
  <c r="P23" i="37"/>
  <c r="CL20" i="37"/>
  <c r="CO70" i="37"/>
  <c r="CE70" i="37"/>
  <c r="CJ70" i="37"/>
  <c r="F23" i="37"/>
  <c r="CN66" i="37"/>
  <c r="D23" i="37"/>
  <c r="AY23" i="37"/>
  <c r="AE70" i="37"/>
  <c r="CB70" i="37"/>
  <c r="C23" i="37"/>
  <c r="AE64" i="36"/>
  <c r="CO14" i="36"/>
  <c r="H42" i="39"/>
  <c r="CC28" i="37"/>
  <c r="U35" i="37"/>
  <c r="CC62" i="37"/>
  <c r="BI37" i="37"/>
  <c r="CC39" i="37"/>
  <c r="CC42" i="37"/>
  <c r="CC50" i="37"/>
  <c r="AO55" i="37"/>
  <c r="CC57" i="37"/>
  <c r="BI21" i="37"/>
  <c r="AO27" i="37"/>
  <c r="BI36" i="37"/>
  <c r="U41" i="37"/>
  <c r="BI43" i="37"/>
  <c r="U56" i="37"/>
  <c r="BI58" i="37"/>
  <c r="U59" i="37"/>
  <c r="CC63" i="37"/>
  <c r="T64" i="36"/>
  <c r="AN64" i="36"/>
  <c r="AY64" i="36"/>
  <c r="BH64" i="36"/>
  <c r="BS64" i="36"/>
  <c r="CB64" i="36"/>
  <c r="K64" i="36"/>
  <c r="K20" i="37"/>
  <c r="T20" i="37"/>
  <c r="AE23" i="37"/>
  <c r="AE20" i="37"/>
  <c r="CC21" i="37"/>
  <c r="AO28" i="37"/>
  <c r="BI16" i="37"/>
  <c r="AN20" i="37"/>
  <c r="AY20" i="37"/>
  <c r="BH20" i="37"/>
  <c r="BI35" i="37"/>
  <c r="BS23" i="37"/>
  <c r="BS20" i="37"/>
  <c r="AO26" i="37"/>
  <c r="AN70" i="37"/>
  <c r="CB20" i="37"/>
  <c r="U55" i="37"/>
  <c r="U85" i="37"/>
  <c r="BI48" i="37"/>
  <c r="AO82" i="37"/>
  <c r="CC84" i="37"/>
  <c r="CS84" i="37" s="1"/>
  <c r="CC76" i="37"/>
  <c r="U76" i="37"/>
  <c r="AY70" i="37"/>
  <c r="BH70" i="37"/>
  <c r="K70" i="37"/>
  <c r="T70" i="37"/>
  <c r="BS70" i="37"/>
  <c r="BG52" i="40"/>
  <c r="BF52" i="40"/>
  <c r="BE52" i="40"/>
  <c r="BD52" i="40"/>
  <c r="BA52" i="40"/>
  <c r="AX52" i="40"/>
  <c r="BG51" i="40"/>
  <c r="BF51" i="40"/>
  <c r="BE51" i="40"/>
  <c r="BD51" i="40"/>
  <c r="BA51" i="40"/>
  <c r="AZ51" i="40"/>
  <c r="AX51" i="40"/>
  <c r="AW51" i="40"/>
  <c r="BG50" i="40"/>
  <c r="BF50" i="40"/>
  <c r="BE50" i="40"/>
  <c r="BD50" i="40"/>
  <c r="BA50" i="40"/>
  <c r="AX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X45" i="40"/>
  <c r="BB42" i="40"/>
  <c r="AY42" i="40"/>
  <c r="BB41" i="40"/>
  <c r="AY41" i="40"/>
  <c r="BB40" i="40"/>
  <c r="AY40" i="40"/>
  <c r="BB39" i="40"/>
  <c r="AY39" i="40"/>
  <c r="BB38" i="40"/>
  <c r="AY38" i="40"/>
  <c r="BB33" i="40"/>
  <c r="AY33" i="40"/>
  <c r="BB32" i="40"/>
  <c r="AY32" i="40"/>
  <c r="BB31" i="40"/>
  <c r="AY31" i="40"/>
  <c r="BB25" i="40"/>
  <c r="AY25" i="40"/>
  <c r="BB24" i="40"/>
  <c r="AY24" i="40"/>
  <c r="BB23" i="40"/>
  <c r="AY23" i="40"/>
  <c r="BB22" i="40"/>
  <c r="AY22" i="40"/>
  <c r="BB21" i="40"/>
  <c r="AY21" i="40"/>
  <c r="BB20" i="40"/>
  <c r="AY20" i="40"/>
  <c r="BB19" i="40"/>
  <c r="AY19" i="40"/>
  <c r="BB18" i="40"/>
  <c r="AY18" i="40"/>
  <c r="AR52" i="40"/>
  <c r="AQ52" i="40"/>
  <c r="AP52" i="40"/>
  <c r="AO52" i="40"/>
  <c r="AL52" i="40"/>
  <c r="AI52" i="40"/>
  <c r="AR51" i="40"/>
  <c r="AQ51" i="40"/>
  <c r="AP51" i="40"/>
  <c r="AO51" i="40"/>
  <c r="AL51" i="40"/>
  <c r="AK51" i="40"/>
  <c r="AI51" i="40"/>
  <c r="AH51" i="40"/>
  <c r="AR50" i="40"/>
  <c r="AQ50" i="40"/>
  <c r="AP50" i="40"/>
  <c r="AO50" i="40"/>
  <c r="AL50" i="40"/>
  <c r="AI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I45" i="40"/>
  <c r="AM42" i="40"/>
  <c r="AJ42" i="40"/>
  <c r="AM41" i="40"/>
  <c r="AJ41" i="40"/>
  <c r="AM40" i="40"/>
  <c r="AJ40" i="40"/>
  <c r="AM39" i="40"/>
  <c r="AJ39" i="40"/>
  <c r="AM38" i="40"/>
  <c r="AJ38" i="40"/>
  <c r="AM33" i="40"/>
  <c r="AJ33" i="40"/>
  <c r="AM32" i="40"/>
  <c r="AJ32" i="40"/>
  <c r="AM31" i="40"/>
  <c r="AJ31" i="40"/>
  <c r="AM25" i="40"/>
  <c r="AJ25" i="40"/>
  <c r="AM24" i="40"/>
  <c r="AJ24" i="40"/>
  <c r="AM23" i="40"/>
  <c r="AJ23" i="40"/>
  <c r="AM22" i="40"/>
  <c r="AJ22" i="40"/>
  <c r="AM21" i="40"/>
  <c r="AJ21" i="40"/>
  <c r="AM20" i="40"/>
  <c r="AJ20" i="40"/>
  <c r="AM19" i="40"/>
  <c r="AJ19" i="40"/>
  <c r="AM18" i="40"/>
  <c r="AJ18" i="40"/>
  <c r="AC52" i="40"/>
  <c r="AB52" i="40"/>
  <c r="AA52" i="40"/>
  <c r="W52" i="40"/>
  <c r="T52" i="40"/>
  <c r="AC51" i="40"/>
  <c r="AB51" i="40"/>
  <c r="AA51" i="40"/>
  <c r="Z51" i="40"/>
  <c r="W51" i="40"/>
  <c r="V51" i="40"/>
  <c r="T51" i="40"/>
  <c r="S51" i="40"/>
  <c r="AC50" i="40"/>
  <c r="AB50" i="40"/>
  <c r="AA50" i="40"/>
  <c r="Z50" i="40"/>
  <c r="W50" i="40"/>
  <c r="T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W45" i="40"/>
  <c r="T45" i="40"/>
  <c r="X42" i="40"/>
  <c r="U42" i="40"/>
  <c r="X41" i="40"/>
  <c r="U41" i="40"/>
  <c r="X40" i="40"/>
  <c r="U40" i="40"/>
  <c r="X39" i="40"/>
  <c r="U39" i="40"/>
  <c r="X33" i="40"/>
  <c r="U33" i="40"/>
  <c r="X32" i="40"/>
  <c r="U32" i="40"/>
  <c r="X31" i="40"/>
  <c r="U31" i="40"/>
  <c r="X25" i="40"/>
  <c r="U25" i="40"/>
  <c r="X24" i="40"/>
  <c r="U24" i="40"/>
  <c r="X23" i="40"/>
  <c r="U23" i="40"/>
  <c r="X22" i="40"/>
  <c r="U22" i="40"/>
  <c r="X21" i="40"/>
  <c r="U21" i="40"/>
  <c r="X20" i="40"/>
  <c r="U20" i="40"/>
  <c r="X19" i="40"/>
  <c r="U19" i="40"/>
  <c r="I42" i="40"/>
  <c r="I41" i="40"/>
  <c r="I40" i="40"/>
  <c r="I39" i="40"/>
  <c r="I38" i="40"/>
  <c r="I33" i="40"/>
  <c r="I32" i="40"/>
  <c r="I31" i="40"/>
  <c r="I25" i="40"/>
  <c r="I24" i="40"/>
  <c r="I23" i="40"/>
  <c r="I22" i="40"/>
  <c r="I21" i="40"/>
  <c r="I20" i="40"/>
  <c r="I19" i="40"/>
  <c r="F42" i="40"/>
  <c r="F41" i="40"/>
  <c r="F40" i="40"/>
  <c r="F39" i="40"/>
  <c r="F38" i="40"/>
  <c r="F33" i="40"/>
  <c r="F32" i="40"/>
  <c r="F31" i="40"/>
  <c r="F25" i="40"/>
  <c r="F24" i="40"/>
  <c r="F23" i="40"/>
  <c r="F22" i="40"/>
  <c r="F21" i="40"/>
  <c r="F20" i="40"/>
  <c r="F19" i="40"/>
  <c r="F18" i="40"/>
  <c r="E52" i="40"/>
  <c r="BM52" i="40" s="1"/>
  <c r="E51" i="40"/>
  <c r="E50" i="40"/>
  <c r="BM50" i="40" s="1"/>
  <c r="E49" i="40"/>
  <c r="E48" i="40"/>
  <c r="E47" i="40"/>
  <c r="E45" i="40"/>
  <c r="BM45" i="40" s="1"/>
  <c r="BQ38" i="40" l="1"/>
  <c r="BQ18" i="40"/>
  <c r="BC19" i="40"/>
  <c r="BI19" i="40" s="1"/>
  <c r="BC21" i="40"/>
  <c r="BI21" i="40" s="1"/>
  <c r="BC23" i="40"/>
  <c r="BI23" i="40" s="1"/>
  <c r="BC25" i="40"/>
  <c r="BI25" i="40" s="1"/>
  <c r="BN38" i="40"/>
  <c r="BC40" i="40"/>
  <c r="BI40" i="40" s="1"/>
  <c r="BC42" i="40"/>
  <c r="BI42" i="40" s="1"/>
  <c r="BC31" i="40"/>
  <c r="BI31" i="40" s="1"/>
  <c r="BQ19" i="40"/>
  <c r="AN19" i="40"/>
  <c r="AT19" i="40" s="1"/>
  <c r="AN21" i="40"/>
  <c r="AT21" i="40" s="1"/>
  <c r="AN23" i="40"/>
  <c r="AT23" i="40" s="1"/>
  <c r="AN25" i="40"/>
  <c r="AT25" i="40" s="1"/>
  <c r="AN31" i="40"/>
  <c r="AT31" i="40" s="1"/>
  <c r="AN33" i="40"/>
  <c r="AT33" i="40" s="1"/>
  <c r="AN39" i="40"/>
  <c r="AT39" i="40" s="1"/>
  <c r="BN40" i="40"/>
  <c r="BN20" i="40"/>
  <c r="BN24" i="40"/>
  <c r="BQ23" i="40"/>
  <c r="CS43" i="37"/>
  <c r="BQ39" i="40"/>
  <c r="BQ22" i="40"/>
  <c r="BN32" i="40"/>
  <c r="BQ32" i="40"/>
  <c r="BQ40" i="40"/>
  <c r="BN41" i="40"/>
  <c r="BN42" i="40"/>
  <c r="BQ21" i="40"/>
  <c r="BQ25" i="40"/>
  <c r="BQ42" i="40"/>
  <c r="BQ31" i="40"/>
  <c r="Y19" i="40"/>
  <c r="AE19" i="40" s="1"/>
  <c r="Y23" i="40"/>
  <c r="AE23" i="40" s="1"/>
  <c r="Y31" i="40"/>
  <c r="AE31" i="40" s="1"/>
  <c r="BQ20" i="40"/>
  <c r="BQ24" i="40"/>
  <c r="BQ33" i="40"/>
  <c r="BQ41" i="40"/>
  <c r="BN22" i="40"/>
  <c r="BN39" i="40"/>
  <c r="CS17" i="37"/>
  <c r="CS49" i="37"/>
  <c r="CS40" i="37"/>
  <c r="CS42" i="37"/>
  <c r="CS58" i="37"/>
  <c r="CS37" i="37"/>
  <c r="BN18" i="40"/>
  <c r="J18" i="40"/>
  <c r="P18" i="40" s="1"/>
  <c r="CS50" i="37"/>
  <c r="CS39" i="37"/>
  <c r="CS62" i="37"/>
  <c r="CS61" i="37"/>
  <c r="CS48" i="37"/>
  <c r="CS57" i="37"/>
  <c r="CS77" i="37"/>
  <c r="CS36" i="37"/>
  <c r="CS63" i="37"/>
  <c r="CS60" i="37"/>
  <c r="CS21" i="37"/>
  <c r="CS18" i="37"/>
  <c r="CS19" i="37"/>
  <c r="CS80" i="37"/>
  <c r="CS76" i="37"/>
  <c r="CS82" i="37"/>
  <c r="CS16" i="37"/>
  <c r="BN21" i="40"/>
  <c r="BN25" i="40"/>
  <c r="BN33" i="40"/>
  <c r="AN18" i="40"/>
  <c r="AT18" i="40" s="1"/>
  <c r="BC33" i="40"/>
  <c r="BI33" i="40" s="1"/>
  <c r="BC39" i="40"/>
  <c r="BI39" i="40" s="1"/>
  <c r="BC41" i="40"/>
  <c r="BI41" i="40" s="1"/>
  <c r="CS35" i="37"/>
  <c r="CS26" i="37"/>
  <c r="CS59" i="37"/>
  <c r="CS41" i="37"/>
  <c r="CS83" i="37"/>
  <c r="BN19" i="40"/>
  <c r="BN23" i="40"/>
  <c r="BN31" i="40"/>
  <c r="BC18" i="40"/>
  <c r="BI18" i="40" s="1"/>
  <c r="BC20" i="40"/>
  <c r="BI20" i="40" s="1"/>
  <c r="BC22" i="40"/>
  <c r="BI22" i="40" s="1"/>
  <c r="CS28" i="37"/>
  <c r="CS85" i="37"/>
  <c r="CS56" i="37"/>
  <c r="CS27" i="37"/>
  <c r="CS55" i="37"/>
  <c r="CS38" i="37"/>
  <c r="AO64" i="36"/>
  <c r="BM51" i="40"/>
  <c r="BM47" i="40"/>
  <c r="BM48" i="40"/>
  <c r="BM49" i="40"/>
  <c r="CN70" i="37"/>
  <c r="CJ14" i="36"/>
  <c r="AO70" i="37"/>
  <c r="CE14" i="36"/>
  <c r="CN64" i="36"/>
  <c r="CI64" i="36"/>
  <c r="BI20" i="37"/>
  <c r="CF23" i="37"/>
  <c r="CI70" i="37"/>
  <c r="CN20" i="37"/>
  <c r="BI70" i="37"/>
  <c r="CI20" i="37"/>
  <c r="CE23" i="37"/>
  <c r="K23" i="37"/>
  <c r="CC64" i="36"/>
  <c r="G40" i="39"/>
  <c r="I42" i="39"/>
  <c r="H40" i="39"/>
  <c r="AN41" i="40"/>
  <c r="AT41" i="40" s="1"/>
  <c r="CC20" i="37"/>
  <c r="AO20" i="37"/>
  <c r="AN32" i="40"/>
  <c r="AT32" i="40" s="1"/>
  <c r="AN24" i="40"/>
  <c r="AT24" i="40" s="1"/>
  <c r="AN40" i="40"/>
  <c r="AT40" i="40" s="1"/>
  <c r="Y21" i="40"/>
  <c r="AE21" i="40" s="1"/>
  <c r="Y25" i="40"/>
  <c r="AE25" i="40" s="1"/>
  <c r="Y33" i="40"/>
  <c r="AE33" i="40" s="1"/>
  <c r="Y42" i="40"/>
  <c r="AE42" i="40" s="1"/>
  <c r="AN22" i="40"/>
  <c r="AT22" i="40" s="1"/>
  <c r="AN38" i="40"/>
  <c r="AT38" i="40" s="1"/>
  <c r="AN42" i="40"/>
  <c r="AT42" i="40" s="1"/>
  <c r="AN20" i="40"/>
  <c r="AT20" i="40" s="1"/>
  <c r="Y22" i="40"/>
  <c r="AE22" i="40" s="1"/>
  <c r="Y39" i="40"/>
  <c r="AE39" i="40" s="1"/>
  <c r="BI64" i="36"/>
  <c r="U64" i="36"/>
  <c r="Y41" i="40"/>
  <c r="AE41" i="40" s="1"/>
  <c r="BC24" i="40"/>
  <c r="BI24" i="40" s="1"/>
  <c r="BC38" i="40"/>
  <c r="BI38" i="40" s="1"/>
  <c r="BC32" i="40"/>
  <c r="BI32" i="40" s="1"/>
  <c r="BB48" i="40"/>
  <c r="Y20" i="40"/>
  <c r="AE20" i="40" s="1"/>
  <c r="Y24" i="40"/>
  <c r="AE24" i="40" s="1"/>
  <c r="Y32" i="40"/>
  <c r="AE32" i="40" s="1"/>
  <c r="Y40" i="40"/>
  <c r="AE40" i="40" s="1"/>
  <c r="AM51" i="40"/>
  <c r="AY48" i="40"/>
  <c r="AJ48" i="40"/>
  <c r="AM48" i="40"/>
  <c r="BB49" i="40"/>
  <c r="X47" i="40"/>
  <c r="X48" i="40"/>
  <c r="X49" i="40"/>
  <c r="AJ51" i="40"/>
  <c r="AY51" i="40"/>
  <c r="U49" i="40"/>
  <c r="AY47" i="40"/>
  <c r="U51" i="40"/>
  <c r="AJ47" i="40"/>
  <c r="BB47" i="40"/>
  <c r="AY49" i="40"/>
  <c r="BB51" i="40"/>
  <c r="U47" i="40"/>
  <c r="U48" i="40"/>
  <c r="X51" i="40"/>
  <c r="AM47" i="40"/>
  <c r="AJ49" i="40"/>
  <c r="AM49" i="40"/>
  <c r="U70" i="37"/>
  <c r="CC70" i="37"/>
  <c r="U20" i="37"/>
  <c r="J24" i="40"/>
  <c r="P24" i="40" s="1"/>
  <c r="J32" i="40"/>
  <c r="J21" i="40"/>
  <c r="J41" i="40"/>
  <c r="J33" i="40"/>
  <c r="J25" i="40"/>
  <c r="J39" i="40"/>
  <c r="J20" i="40"/>
  <c r="J40" i="40"/>
  <c r="J23" i="40"/>
  <c r="J31" i="40"/>
  <c r="J38" i="40"/>
  <c r="J22" i="40"/>
  <c r="J42" i="40"/>
  <c r="J19" i="40"/>
  <c r="H52" i="40"/>
  <c r="BP52" i="40" s="1"/>
  <c r="H51" i="40"/>
  <c r="BP51" i="40" s="1"/>
  <c r="H50" i="40"/>
  <c r="BP50" i="40" s="1"/>
  <c r="H49" i="40"/>
  <c r="BP49" i="40" s="1"/>
  <c r="H48" i="40"/>
  <c r="BP48" i="40" s="1"/>
  <c r="H47" i="40"/>
  <c r="BP47" i="40" s="1"/>
  <c r="H45" i="40"/>
  <c r="BP45" i="40" s="1"/>
  <c r="BR33" i="40" l="1"/>
  <c r="BR23" i="40"/>
  <c r="BR19" i="40"/>
  <c r="BX24" i="40"/>
  <c r="P23" i="40"/>
  <c r="BX23" i="40" s="1"/>
  <c r="BX18" i="40"/>
  <c r="BR18" i="40"/>
  <c r="P31" i="40"/>
  <c r="BX31" i="40" s="1"/>
  <c r="BR31" i="40"/>
  <c r="P32" i="40"/>
  <c r="BX32" i="40" s="1"/>
  <c r="BR32" i="40"/>
  <c r="P22" i="40"/>
  <c r="BX22" i="40" s="1"/>
  <c r="BR22" i="40"/>
  <c r="P21" i="40"/>
  <c r="BX21" i="40" s="1"/>
  <c r="BR21" i="40"/>
  <c r="BR24" i="40"/>
  <c r="P39" i="40"/>
  <c r="BX39" i="40" s="1"/>
  <c r="BR39" i="40"/>
  <c r="P42" i="40"/>
  <c r="BX42" i="40" s="1"/>
  <c r="BR42" i="40"/>
  <c r="P40" i="40"/>
  <c r="BX40" i="40" s="1"/>
  <c r="BR40" i="40"/>
  <c r="P41" i="40"/>
  <c r="BX41" i="40" s="1"/>
  <c r="BR41" i="40"/>
  <c r="P19" i="40"/>
  <c r="BX19" i="40" s="1"/>
  <c r="P33" i="40"/>
  <c r="BX33" i="40" s="1"/>
  <c r="P38" i="40"/>
  <c r="BX38" i="40" s="1"/>
  <c r="BR38" i="40"/>
  <c r="P20" i="40"/>
  <c r="BX20" i="40" s="1"/>
  <c r="BR20" i="40"/>
  <c r="P25" i="40"/>
  <c r="BX25" i="40" s="1"/>
  <c r="BR25" i="40"/>
  <c r="BC48" i="40"/>
  <c r="BI48" i="40" s="1"/>
  <c r="CK14" i="36"/>
  <c r="CS64" i="36"/>
  <c r="CS70" i="37"/>
  <c r="CI23" i="37"/>
  <c r="CS20" i="37"/>
  <c r="K40" i="39"/>
  <c r="J42" i="39"/>
  <c r="J40" i="39"/>
  <c r="BC47" i="40"/>
  <c r="BI47" i="40" s="1"/>
  <c r="BC51" i="40"/>
  <c r="BI51" i="40" s="1"/>
  <c r="AN48" i="40"/>
  <c r="AT48" i="40" s="1"/>
  <c r="AN51" i="40"/>
  <c r="AT51" i="40" s="1"/>
  <c r="AN49" i="40"/>
  <c r="AT49" i="40" s="1"/>
  <c r="Y47" i="40"/>
  <c r="AE47" i="40" s="1"/>
  <c r="Y49" i="40"/>
  <c r="AE49" i="40" s="1"/>
  <c r="BC49" i="40"/>
  <c r="BI49" i="40" s="1"/>
  <c r="Y48" i="40"/>
  <c r="AE48" i="40" s="1"/>
  <c r="Y51" i="40"/>
  <c r="AE51" i="40" s="1"/>
  <c r="AN47" i="40"/>
  <c r="AT47" i="40" s="1"/>
  <c r="AF41" i="44"/>
  <c r="AF45" i="44" s="1"/>
  <c r="AF47" i="44" s="1"/>
  <c r="AF41" i="45"/>
  <c r="AF45" i="45" s="1"/>
  <c r="AF47" i="45" s="1"/>
  <c r="AF41" i="46"/>
  <c r="AF45" i="46" s="1"/>
  <c r="AF47" i="46" s="1"/>
  <c r="AF41" i="47"/>
  <c r="AF45" i="47" s="1"/>
  <c r="AF47" i="47" s="1"/>
  <c r="AF41" i="48"/>
  <c r="AF45" i="48" s="1"/>
  <c r="AF47" i="48" s="1"/>
  <c r="CP14" i="36" l="1"/>
  <c r="CF14" i="36"/>
  <c r="CL14" i="36"/>
  <c r="K42" i="39"/>
  <c r="I40" i="39"/>
  <c r="N52" i="40"/>
  <c r="BV52" i="40" s="1"/>
  <c r="M52" i="40"/>
  <c r="BU52" i="40" s="1"/>
  <c r="L52" i="40"/>
  <c r="BT52" i="40" s="1"/>
  <c r="N51" i="40"/>
  <c r="BV51" i="40" s="1"/>
  <c r="M51" i="40"/>
  <c r="BU51" i="40" s="1"/>
  <c r="L51" i="40"/>
  <c r="BT51" i="40" s="1"/>
  <c r="K51" i="40"/>
  <c r="BS51" i="40" s="1"/>
  <c r="G51" i="40"/>
  <c r="D51" i="40"/>
  <c r="N50" i="40"/>
  <c r="BV50" i="40" s="1"/>
  <c r="M50" i="40"/>
  <c r="BU50" i="40" s="1"/>
  <c r="L50" i="40"/>
  <c r="BT50" i="40" s="1"/>
  <c r="K50" i="40"/>
  <c r="BS50" i="40" s="1"/>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I47" i="40" l="1"/>
  <c r="BQ47" i="40" s="1"/>
  <c r="BO47" i="40"/>
  <c r="I51" i="40"/>
  <c r="BQ51" i="40" s="1"/>
  <c r="BO51" i="40"/>
  <c r="F48" i="40"/>
  <c r="BN48" i="40" s="1"/>
  <c r="BL48" i="40"/>
  <c r="F51" i="40"/>
  <c r="BN51" i="40" s="1"/>
  <c r="BL51" i="40"/>
  <c r="F47" i="40"/>
  <c r="BN47" i="40" s="1"/>
  <c r="BL47" i="40"/>
  <c r="I48" i="40"/>
  <c r="BQ48" i="40" s="1"/>
  <c r="BO48" i="40"/>
  <c r="F49" i="40"/>
  <c r="BN49" i="40" s="1"/>
  <c r="BL49" i="40"/>
  <c r="I49" i="40"/>
  <c r="BQ49" i="40" s="1"/>
  <c r="BO49" i="40"/>
  <c r="CG14" i="36"/>
  <c r="CQ14" i="36"/>
  <c r="CN14" i="36"/>
  <c r="CM14" i="36"/>
  <c r="D25" i="13"/>
  <c r="C25" i="13"/>
  <c r="C76" i="12"/>
  <c r="C67" i="12"/>
  <c r="B25" i="13" s="1"/>
  <c r="J48" i="40" l="1"/>
  <c r="BR48" i="40" s="1"/>
  <c r="J47" i="40"/>
  <c r="C78" i="12"/>
  <c r="J51" i="40"/>
  <c r="BR51" i="40" s="1"/>
  <c r="J49" i="40"/>
  <c r="BR49" i="40" s="1"/>
  <c r="CI14" i="36"/>
  <c r="CH14" i="36"/>
  <c r="CR14" i="36"/>
  <c r="L45" i="40"/>
  <c r="BT45" i="40" s="1"/>
  <c r="M45" i="40"/>
  <c r="BU45" i="40" s="1"/>
  <c r="N45" i="40"/>
  <c r="BV45" i="40" s="1"/>
  <c r="BR47" i="40" l="1"/>
  <c r="P47" i="40"/>
  <c r="CS14" i="36"/>
  <c r="AH39" i="45"/>
  <c r="AF26" i="28"/>
  <c r="AG26" i="28"/>
  <c r="AH26" i="28"/>
  <c r="AI26" i="28"/>
  <c r="V26" i="28"/>
  <c r="W26" i="28"/>
  <c r="X26" i="28"/>
  <c r="Y26" i="28"/>
  <c r="Z26" i="28"/>
  <c r="K27" i="28"/>
  <c r="K26" i="28"/>
  <c r="AJ26" i="28" s="1"/>
  <c r="CK46" i="36" l="1"/>
  <c r="S29" i="40" s="1"/>
  <c r="CJ46" i="36"/>
  <c r="D29" i="40" s="1"/>
  <c r="AN46" i="36"/>
  <c r="BH46" i="36"/>
  <c r="T46" i="36"/>
  <c r="U29" i="40" l="1"/>
  <c r="F29" i="40"/>
  <c r="D3" i="39" l="1"/>
  <c r="D6" i="39"/>
  <c r="D5" i="39"/>
  <c r="D2" i="39"/>
  <c r="D4" i="39" l="1"/>
  <c r="Z30" i="28" l="1"/>
  <c r="Y30" i="28"/>
  <c r="X30" i="28"/>
  <c r="W30" i="28"/>
  <c r="V30" i="28"/>
  <c r="K30" i="28"/>
  <c r="Z29" i="28"/>
  <c r="Y29" i="28"/>
  <c r="X29" i="28"/>
  <c r="W29" i="28"/>
  <c r="V29" i="28"/>
  <c r="K29" i="28"/>
  <c r="Z28" i="28"/>
  <c r="Y28" i="28"/>
  <c r="X28" i="28"/>
  <c r="W28" i="28"/>
  <c r="V28" i="28"/>
  <c r="K28" i="28"/>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AH40" i="44"/>
  <c r="AH39" i="44"/>
  <c r="B6" i="7"/>
  <c r="B5" i="7"/>
  <c r="B4" i="7"/>
  <c r="B3" i="7"/>
  <c r="B2" i="7"/>
  <c r="D6" i="40"/>
  <c r="D5" i="40"/>
  <c r="D4" i="40"/>
  <c r="D2" i="40"/>
  <c r="D3" i="40"/>
  <c r="D6" i="49" l="1"/>
  <c r="D5" i="49"/>
  <c r="D4" i="49"/>
  <c r="D3" i="49"/>
  <c r="D2" i="49"/>
  <c r="I100" i="49" l="1"/>
  <c r="H100" i="49"/>
  <c r="G100" i="49"/>
  <c r="F100" i="49"/>
  <c r="J98" i="49"/>
  <c r="J97" i="49"/>
  <c r="J96" i="49"/>
  <c r="J95" i="49"/>
  <c r="J94" i="49"/>
  <c r="J93" i="49"/>
  <c r="J92" i="49"/>
  <c r="J91" i="49"/>
  <c r="J90" i="49"/>
  <c r="J89" i="49"/>
  <c r="J88" i="49"/>
  <c r="J87" i="49"/>
  <c r="J86" i="49"/>
  <c r="J85" i="49"/>
  <c r="J84" i="49"/>
  <c r="J83" i="49"/>
  <c r="J82" i="49"/>
  <c r="J81" i="49"/>
  <c r="J80" i="49"/>
  <c r="J79" i="49"/>
  <c r="J78" i="49"/>
  <c r="J77" i="49"/>
  <c r="J76" i="49"/>
  <c r="J75" i="49"/>
  <c r="J74" i="49"/>
  <c r="J73" i="49"/>
  <c r="J72" i="49"/>
  <c r="J71" i="49"/>
  <c r="J70" i="49"/>
  <c r="J69" i="49"/>
  <c r="J68" i="49"/>
  <c r="J67" i="49"/>
  <c r="J66" i="49"/>
  <c r="J65" i="49"/>
  <c r="J64" i="49"/>
  <c r="J63" i="49"/>
  <c r="J62" i="49"/>
  <c r="J61" i="49"/>
  <c r="J60" i="49"/>
  <c r="J59" i="49"/>
  <c r="J58" i="49"/>
  <c r="J57" i="49"/>
  <c r="J56" i="49"/>
  <c r="J55" i="49"/>
  <c r="J54" i="49"/>
  <c r="J53" i="49"/>
  <c r="J52" i="49"/>
  <c r="J51" i="49"/>
  <c r="J50" i="49"/>
  <c r="J49" i="49"/>
  <c r="J48" i="49"/>
  <c r="J47" i="49"/>
  <c r="J46" i="49"/>
  <c r="J45" i="49"/>
  <c r="J44" i="49"/>
  <c r="J43" i="49"/>
  <c r="J42" i="49"/>
  <c r="J41" i="49"/>
  <c r="J40" i="49"/>
  <c r="J39" i="49"/>
  <c r="J38" i="49"/>
  <c r="J37" i="49"/>
  <c r="J36" i="49"/>
  <c r="J35" i="49"/>
  <c r="J34" i="49"/>
  <c r="J33" i="49"/>
  <c r="J32" i="49"/>
  <c r="J31" i="49"/>
  <c r="J30" i="49"/>
  <c r="J29" i="49"/>
  <c r="J28" i="49"/>
  <c r="J27" i="49"/>
  <c r="J26" i="49"/>
  <c r="J25" i="49"/>
  <c r="J24" i="49"/>
  <c r="J23" i="49"/>
  <c r="J22" i="49"/>
  <c r="J21" i="49"/>
  <c r="J20" i="49"/>
  <c r="J19" i="49"/>
  <c r="J18" i="49"/>
  <c r="J17" i="49"/>
  <c r="J16" i="49"/>
  <c r="J15" i="49"/>
  <c r="J14" i="49"/>
  <c r="J13" i="49"/>
  <c r="J12" i="49"/>
  <c r="J11" i="49"/>
  <c r="J10" i="49"/>
  <c r="J9" i="49"/>
  <c r="J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K36" i="39" l="1"/>
  <c r="J36" i="39"/>
  <c r="I36" i="39"/>
  <c r="H36" i="39"/>
  <c r="G36" i="39"/>
  <c r="F36" i="39"/>
  <c r="E36" i="39"/>
  <c r="D36" i="39"/>
  <c r="L35" i="39"/>
  <c r="L33" i="39"/>
  <c r="K29" i="39"/>
  <c r="J29" i="39"/>
  <c r="I29" i="39"/>
  <c r="H29" i="39"/>
  <c r="G29" i="39"/>
  <c r="F29" i="39"/>
  <c r="E29" i="39"/>
  <c r="D29" i="39"/>
  <c r="L28" i="39"/>
  <c r="L26" i="39"/>
  <c r="K22" i="39"/>
  <c r="J22" i="39"/>
  <c r="I22" i="39"/>
  <c r="H22" i="39"/>
  <c r="G22" i="39"/>
  <c r="F22" i="39"/>
  <c r="E22" i="39"/>
  <c r="D22" i="39"/>
  <c r="L21" i="39"/>
  <c r="L19" i="39"/>
  <c r="K15" i="39"/>
  <c r="J15" i="39"/>
  <c r="I15" i="39"/>
  <c r="H15" i="39"/>
  <c r="G15" i="39"/>
  <c r="F15" i="39"/>
  <c r="E15" i="39"/>
  <c r="D15" i="39"/>
  <c r="L14" i="39"/>
  <c r="L12" i="39"/>
  <c r="K43" i="39" l="1"/>
  <c r="J43" i="39"/>
  <c r="L42" i="39"/>
  <c r="L22" i="39"/>
  <c r="L40" i="39"/>
  <c r="F43" i="39"/>
  <c r="L29" i="39"/>
  <c r="G43" i="39"/>
  <c r="H43" i="39"/>
  <c r="D43" i="39"/>
  <c r="E43" i="39"/>
  <c r="I43" i="39"/>
  <c r="L15" i="39"/>
  <c r="L36" i="39"/>
  <c r="L43" i="39" l="1"/>
  <c r="P49" i="40"/>
  <c r="BX49" i="40" s="1"/>
  <c r="P48" i="40"/>
  <c r="BX48" i="40" s="1"/>
  <c r="P51" i="40"/>
  <c r="BX51" i="40" s="1"/>
  <c r="Z16" i="28"/>
  <c r="Y16" i="28"/>
  <c r="X16" i="28"/>
  <c r="W16" i="28"/>
  <c r="V16" i="28"/>
  <c r="K16" i="28"/>
  <c r="K20" i="28"/>
  <c r="BX47" i="40" l="1"/>
  <c r="F14" i="28"/>
  <c r="CK85" i="36" l="1"/>
  <c r="CK84" i="36"/>
  <c r="CK83" i="36"/>
  <c r="CK82" i="36"/>
  <c r="CK80" i="36"/>
  <c r="CK78" i="36"/>
  <c r="CK77" i="36"/>
  <c r="CK76" i="36"/>
  <c r="CL76" i="36" l="1"/>
  <c r="CL77" i="36"/>
  <c r="CL78" i="36"/>
  <c r="CL80" i="36"/>
  <c r="CL82" i="36"/>
  <c r="CL83" i="36"/>
  <c r="CL84" i="36"/>
  <c r="CL85" i="36"/>
  <c r="CM76" i="36"/>
  <c r="CM77" i="36"/>
  <c r="CM78" i="36"/>
  <c r="CM80" i="36"/>
  <c r="CM82" i="36"/>
  <c r="CM83" i="36"/>
  <c r="CM84" i="36"/>
  <c r="CM85" i="36"/>
  <c r="CF77" i="36"/>
  <c r="CP77" i="36"/>
  <c r="CK60" i="36"/>
  <c r="S43" i="40" s="1"/>
  <c r="CR77" i="36"/>
  <c r="CH77" i="36"/>
  <c r="CE76" i="36"/>
  <c r="CO76" i="36"/>
  <c r="CO77" i="36"/>
  <c r="CE77" i="36"/>
  <c r="CE78" i="36"/>
  <c r="CO78" i="36"/>
  <c r="CO80" i="36"/>
  <c r="CE80" i="36"/>
  <c r="CO82" i="36"/>
  <c r="CE82" i="36"/>
  <c r="CO83" i="36"/>
  <c r="CE83" i="36"/>
  <c r="CO84" i="36"/>
  <c r="CE84" i="36"/>
  <c r="CO85" i="36"/>
  <c r="CE85" i="36"/>
  <c r="CJ76" i="36"/>
  <c r="CJ77" i="36"/>
  <c r="CJ78" i="36"/>
  <c r="CJ80" i="36"/>
  <c r="CJ82" i="36"/>
  <c r="CJ83" i="36"/>
  <c r="CJ84" i="36"/>
  <c r="CJ85" i="36"/>
  <c r="CO60" i="36"/>
  <c r="CE60" i="36"/>
  <c r="G43" i="40" s="1"/>
  <c r="CJ60" i="36"/>
  <c r="CP78" i="36"/>
  <c r="CF78" i="36"/>
  <c r="CP82" i="36"/>
  <c r="CF82" i="36"/>
  <c r="CQ76" i="36"/>
  <c r="CG76" i="36"/>
  <c r="CG78" i="36"/>
  <c r="CQ78" i="36"/>
  <c r="CG80" i="36"/>
  <c r="CQ80" i="36"/>
  <c r="CQ83" i="36"/>
  <c r="CG83" i="36"/>
  <c r="CQ84" i="36"/>
  <c r="CG84" i="36"/>
  <c r="CQ85" i="36"/>
  <c r="CG85" i="36"/>
  <c r="CG60" i="36"/>
  <c r="AK43" i="40" s="1"/>
  <c r="CQ60" i="36"/>
  <c r="CL60" i="36"/>
  <c r="AH43" i="40" s="1"/>
  <c r="CP83" i="36"/>
  <c r="CF83" i="36"/>
  <c r="CQ77" i="36"/>
  <c r="CG77" i="36"/>
  <c r="CQ82" i="36"/>
  <c r="CG82" i="36"/>
  <c r="CP76" i="36"/>
  <c r="CF76" i="36"/>
  <c r="CP85" i="36"/>
  <c r="CF85" i="36"/>
  <c r="CP60" i="36"/>
  <c r="CF60" i="36"/>
  <c r="V43" i="40" s="1"/>
  <c r="CH82" i="36"/>
  <c r="CR82" i="36"/>
  <c r="CR85" i="36"/>
  <c r="CH85" i="36"/>
  <c r="CH60" i="36"/>
  <c r="AZ43" i="40" s="1"/>
  <c r="CR60" i="36"/>
  <c r="CM60" i="36"/>
  <c r="AW43" i="40" s="1"/>
  <c r="CF80" i="36"/>
  <c r="CP80" i="36"/>
  <c r="CP84" i="36"/>
  <c r="CF84" i="36"/>
  <c r="CR76" i="36"/>
  <c r="CH76" i="36"/>
  <c r="CR78" i="36"/>
  <c r="CH78" i="36"/>
  <c r="CR80" i="36"/>
  <c r="CH80" i="36"/>
  <c r="CR83" i="36"/>
  <c r="CH83" i="36"/>
  <c r="CR84" i="36"/>
  <c r="CH84" i="36"/>
  <c r="B6" i="36"/>
  <c r="B5" i="36"/>
  <c r="B4" i="36"/>
  <c r="B3" i="36"/>
  <c r="B2" i="36"/>
  <c r="AY43" i="40" l="1"/>
  <c r="BB43" i="40"/>
  <c r="D43" i="40"/>
  <c r="AJ43" i="40"/>
  <c r="AM43" i="40"/>
  <c r="U43" i="40"/>
  <c r="X43" i="40"/>
  <c r="BO43" i="40"/>
  <c r="I43" i="40"/>
  <c r="B2" i="54"/>
  <c r="B2" i="53"/>
  <c r="B5" i="54"/>
  <c r="B5" i="53"/>
  <c r="B3" i="54"/>
  <c r="B3" i="53"/>
  <c r="B6" i="54"/>
  <c r="B6" i="53"/>
  <c r="B4" i="53"/>
  <c r="B4" i="54"/>
  <c r="Z20" i="28"/>
  <c r="Y20" i="28"/>
  <c r="X20" i="28"/>
  <c r="W20" i="28"/>
  <c r="V20" i="28"/>
  <c r="Y14" i="28"/>
  <c r="X14" i="28"/>
  <c r="W14" i="28"/>
  <c r="V14" i="28"/>
  <c r="Z31" i="28"/>
  <c r="Y31" i="28"/>
  <c r="X31" i="28"/>
  <c r="W31" i="28"/>
  <c r="V31" i="28"/>
  <c r="K31" i="28"/>
  <c r="K14" i="28"/>
  <c r="B2" i="37"/>
  <c r="B3" i="37"/>
  <c r="B4" i="37"/>
  <c r="B5" i="37"/>
  <c r="B6" i="37"/>
  <c r="BC43" i="40" l="1"/>
  <c r="BI43" i="40" s="1"/>
  <c r="F43" i="40"/>
  <c r="BL43" i="40"/>
  <c r="AN43" i="40"/>
  <c r="AT43" i="40" s="1"/>
  <c r="BQ43" i="40"/>
  <c r="Y43" i="40"/>
  <c r="AE43" i="40" s="1"/>
  <c r="BN43" i="40"/>
  <c r="J43" i="40"/>
  <c r="Z14" i="28"/>
  <c r="T84" i="36"/>
  <c r="BH84" i="36"/>
  <c r="K84" i="36"/>
  <c r="AE84" i="36"/>
  <c r="AN84" i="36"/>
  <c r="AY84" i="36"/>
  <c r="BS84" i="36"/>
  <c r="CB84" i="36"/>
  <c r="P43" i="40" l="1"/>
  <c r="BX43" i="40" s="1"/>
  <c r="BR43" i="40"/>
  <c r="CN84" i="36"/>
  <c r="CI84" i="36"/>
  <c r="AO84" i="36"/>
  <c r="BI84" i="36"/>
  <c r="U84" i="36"/>
  <c r="CC84" i="36"/>
  <c r="CS84" i="36" l="1"/>
  <c r="D8" i="28" l="1"/>
  <c r="C8" i="28"/>
  <c r="B8" i="28"/>
  <c r="CK37" i="36" l="1"/>
  <c r="CK28" i="36"/>
  <c r="AA31" i="28"/>
  <c r="AA30" i="28"/>
  <c r="AA22" i="28"/>
  <c r="AA14" i="28"/>
  <c r="AA20" i="28"/>
  <c r="AA19" i="28"/>
  <c r="AA18" i="28"/>
  <c r="AA17" i="28"/>
  <c r="AA16" i="28"/>
  <c r="AA15" i="28"/>
  <c r="AA29" i="28"/>
  <c r="AA21" i="28"/>
  <c r="AA13" i="28"/>
  <c r="AA28" i="28"/>
  <c r="AA27" i="28"/>
  <c r="AA26" i="28"/>
  <c r="AA25" i="28"/>
  <c r="AA24" i="28"/>
  <c r="AA23" i="28"/>
  <c r="AK23" i="28"/>
  <c r="AK24" i="28"/>
  <c r="AK22" i="28"/>
  <c r="AK21" i="28"/>
  <c r="AL23" i="28"/>
  <c r="AL21" i="28"/>
  <c r="AB23" i="28"/>
  <c r="AL24" i="28"/>
  <c r="AL22" i="28"/>
  <c r="AB24" i="28"/>
  <c r="AB22" i="28"/>
  <c r="AB25" i="28"/>
  <c r="AB21" i="28"/>
  <c r="AC25" i="28"/>
  <c r="AC21" i="28"/>
  <c r="AM22" i="28"/>
  <c r="AM24" i="28"/>
  <c r="AC24" i="28"/>
  <c r="AC22" i="28"/>
  <c r="AM23" i="28"/>
  <c r="AM21" i="28"/>
  <c r="AC23" i="28"/>
  <c r="CM57" i="36"/>
  <c r="CF63" i="36"/>
  <c r="CP63" i="36"/>
  <c r="CK62" i="36"/>
  <c r="CF59" i="36"/>
  <c r="CP59" i="36"/>
  <c r="AF42" i="40" s="1"/>
  <c r="CK58" i="36"/>
  <c r="CF50" i="36"/>
  <c r="CP50" i="36"/>
  <c r="AF33" i="40" s="1"/>
  <c r="CK49" i="36"/>
  <c r="CK48" i="36"/>
  <c r="CP36" i="36"/>
  <c r="AF19" i="40" s="1"/>
  <c r="CF36" i="36"/>
  <c r="CP27" i="36"/>
  <c r="CF27" i="36"/>
  <c r="CP26" i="36"/>
  <c r="CF26" i="36"/>
  <c r="CF22" i="36"/>
  <c r="CK18" i="36"/>
  <c r="CK17" i="36"/>
  <c r="CM63" i="36"/>
  <c r="CM61" i="36"/>
  <c r="AW44" i="40" s="1"/>
  <c r="CM59" i="36"/>
  <c r="CL63" i="36"/>
  <c r="CQ63" i="36"/>
  <c r="CG63" i="36"/>
  <c r="CL62" i="36"/>
  <c r="CQ62" i="36"/>
  <c r="CG62" i="36"/>
  <c r="CL61" i="36"/>
  <c r="AH44" i="40" s="1"/>
  <c r="CQ61" i="36"/>
  <c r="CG61" i="36"/>
  <c r="AK44" i="40" s="1"/>
  <c r="CL59" i="36"/>
  <c r="CG59" i="36"/>
  <c r="CQ59" i="36"/>
  <c r="AU42" i="40" s="1"/>
  <c r="CL58" i="36"/>
  <c r="CQ58" i="36"/>
  <c r="AU41" i="40" s="1"/>
  <c r="CG58" i="36"/>
  <c r="CL57" i="36"/>
  <c r="CQ57" i="36"/>
  <c r="AU40" i="40" s="1"/>
  <c r="CG57" i="36"/>
  <c r="CL56" i="36"/>
  <c r="CG56" i="36"/>
  <c r="CQ56" i="36"/>
  <c r="AU39" i="40" s="1"/>
  <c r="CL55" i="36"/>
  <c r="CQ55" i="36"/>
  <c r="N25" i="28" s="1"/>
  <c r="CG55" i="36"/>
  <c r="CL50" i="36"/>
  <c r="CQ50" i="36"/>
  <c r="AU33" i="40" s="1"/>
  <c r="CG50" i="36"/>
  <c r="CL49" i="36"/>
  <c r="CQ49" i="36"/>
  <c r="AU32" i="40" s="1"/>
  <c r="CG49" i="36"/>
  <c r="CL48" i="36"/>
  <c r="CG48" i="36"/>
  <c r="CQ48" i="36"/>
  <c r="AU31" i="40" s="1"/>
  <c r="CL43" i="36"/>
  <c r="AH26" i="40" s="1"/>
  <c r="CG43" i="36"/>
  <c r="AK26" i="40" s="1"/>
  <c r="AM26" i="40" s="1"/>
  <c r="CQ43" i="36"/>
  <c r="CL42" i="36"/>
  <c r="CQ42" i="36"/>
  <c r="AU25" i="40" s="1"/>
  <c r="CG42" i="36"/>
  <c r="CL41" i="36"/>
  <c r="CQ41" i="36"/>
  <c r="AU24" i="40" s="1"/>
  <c r="CG41" i="36"/>
  <c r="CL40" i="36"/>
  <c r="CQ40" i="36"/>
  <c r="AU23" i="40" s="1"/>
  <c r="CG40" i="36"/>
  <c r="CL39" i="36"/>
  <c r="CQ39" i="36"/>
  <c r="AU22" i="40" s="1"/>
  <c r="CG39" i="36"/>
  <c r="CL38" i="36"/>
  <c r="CQ38" i="36"/>
  <c r="AU21" i="40" s="1"/>
  <c r="CG38" i="36"/>
  <c r="CL37" i="36"/>
  <c r="CQ37" i="36"/>
  <c r="AU20" i="40" s="1"/>
  <c r="CG37" i="36"/>
  <c r="CL36" i="36"/>
  <c r="CG36" i="36"/>
  <c r="CQ36" i="36"/>
  <c r="AU19" i="40" s="1"/>
  <c r="CL35" i="36"/>
  <c r="CG35" i="36"/>
  <c r="CQ35" i="36"/>
  <c r="CL28" i="36"/>
  <c r="CQ28" i="36"/>
  <c r="CG28" i="36"/>
  <c r="CL27" i="36"/>
  <c r="CQ27" i="36"/>
  <c r="CG27" i="36"/>
  <c r="CL26" i="36"/>
  <c r="CQ26" i="36"/>
  <c r="CG26" i="36"/>
  <c r="CL25" i="36"/>
  <c r="CG22" i="36"/>
  <c r="CL21" i="36"/>
  <c r="CQ21" i="36"/>
  <c r="CG21" i="36"/>
  <c r="CL19" i="36"/>
  <c r="CQ19" i="36"/>
  <c r="CG19" i="36"/>
  <c r="CL18" i="36"/>
  <c r="CQ18" i="36"/>
  <c r="CG18" i="36"/>
  <c r="CL17" i="36"/>
  <c r="CQ17" i="36"/>
  <c r="CG17" i="36"/>
  <c r="CL16" i="36"/>
  <c r="CG16" i="36"/>
  <c r="CQ16" i="36"/>
  <c r="CK61" i="36"/>
  <c r="S44" i="40" s="1"/>
  <c r="CK41" i="36"/>
  <c r="CP40" i="36"/>
  <c r="AF23" i="40" s="1"/>
  <c r="CF40" i="36"/>
  <c r="CK35" i="36"/>
  <c r="CK25" i="36"/>
  <c r="CP21" i="36"/>
  <c r="CF21" i="36"/>
  <c r="CP16" i="36"/>
  <c r="CF16" i="36"/>
  <c r="CM62" i="36"/>
  <c r="CP62" i="36"/>
  <c r="CF62" i="36"/>
  <c r="CK59" i="36"/>
  <c r="CK55" i="36"/>
  <c r="CK42" i="36"/>
  <c r="CK36" i="36"/>
  <c r="CK27" i="36"/>
  <c r="CP17" i="36"/>
  <c r="CF17" i="36"/>
  <c r="CJ63" i="36"/>
  <c r="CO63" i="36"/>
  <c r="CE63" i="36"/>
  <c r="CJ62" i="36"/>
  <c r="C70" i="36"/>
  <c r="CE62" i="36"/>
  <c r="CO62" i="36"/>
  <c r="CJ61" i="36"/>
  <c r="CO61" i="36"/>
  <c r="CE61" i="36"/>
  <c r="G44" i="40" s="1"/>
  <c r="CJ59" i="36"/>
  <c r="CO59" i="36"/>
  <c r="Q42" i="40" s="1"/>
  <c r="CE59" i="36"/>
  <c r="CJ58" i="36"/>
  <c r="CE58" i="36"/>
  <c r="CO58" i="36"/>
  <c r="Q41" i="40" s="1"/>
  <c r="CJ57" i="36"/>
  <c r="CE57" i="36"/>
  <c r="CO57" i="36"/>
  <c r="Q40" i="40" s="1"/>
  <c r="CJ56" i="36"/>
  <c r="CO56" i="36"/>
  <c r="Q39" i="40" s="1"/>
  <c r="CE56" i="36"/>
  <c r="CJ55" i="36"/>
  <c r="CO55" i="36"/>
  <c r="L25" i="28" s="1"/>
  <c r="CE55" i="36"/>
  <c r="CJ50" i="36"/>
  <c r="CE50" i="36"/>
  <c r="CO50" i="36"/>
  <c r="Q33" i="40" s="1"/>
  <c r="CJ49" i="36"/>
  <c r="CE49" i="36"/>
  <c r="CO49" i="36"/>
  <c r="Q32" i="40" s="1"/>
  <c r="CJ48" i="36"/>
  <c r="CO48" i="36"/>
  <c r="Q31" i="40" s="1"/>
  <c r="CE48" i="36"/>
  <c r="CJ43" i="36"/>
  <c r="D26" i="40" s="1"/>
  <c r="CO43" i="36"/>
  <c r="CE43" i="36"/>
  <c r="G26" i="40" s="1"/>
  <c r="CJ42" i="36"/>
  <c r="CE42" i="36"/>
  <c r="CO42" i="36"/>
  <c r="Q25" i="40" s="1"/>
  <c r="CJ41" i="36"/>
  <c r="CE41" i="36"/>
  <c r="CO41" i="36"/>
  <c r="Q24" i="40" s="1"/>
  <c r="CJ40" i="36"/>
  <c r="CO40" i="36"/>
  <c r="Q23" i="40" s="1"/>
  <c r="CE40" i="36"/>
  <c r="CJ39" i="36"/>
  <c r="CO39" i="36"/>
  <c r="Q22" i="40" s="1"/>
  <c r="CE39" i="36"/>
  <c r="CJ38" i="36"/>
  <c r="CE38" i="36"/>
  <c r="CO38" i="36"/>
  <c r="Q21" i="40" s="1"/>
  <c r="CJ37" i="36"/>
  <c r="CO37" i="36"/>
  <c r="Q20" i="40" s="1"/>
  <c r="CE37" i="36"/>
  <c r="CJ36" i="36"/>
  <c r="CO36" i="36"/>
  <c r="Q19" i="40" s="1"/>
  <c r="CE36" i="36"/>
  <c r="CJ35" i="36"/>
  <c r="CO35" i="36"/>
  <c r="Q18" i="40" s="1"/>
  <c r="CE35" i="36"/>
  <c r="CJ28" i="36"/>
  <c r="CO28" i="36"/>
  <c r="CE28" i="36"/>
  <c r="CJ27" i="36"/>
  <c r="CO27" i="36"/>
  <c r="CE27" i="36"/>
  <c r="CJ26" i="36"/>
  <c r="CO26" i="36"/>
  <c r="CE26" i="36"/>
  <c r="CJ25" i="36"/>
  <c r="CE22" i="36"/>
  <c r="CJ21" i="36"/>
  <c r="CE21" i="36"/>
  <c r="CO21" i="36"/>
  <c r="CJ19" i="36"/>
  <c r="CO19" i="36"/>
  <c r="CE19" i="36"/>
  <c r="CJ18" i="36"/>
  <c r="CO18" i="36"/>
  <c r="CE18" i="36"/>
  <c r="CJ17" i="36"/>
  <c r="CO17" i="36"/>
  <c r="CE17" i="36"/>
  <c r="CJ16" i="36"/>
  <c r="CO16" i="36"/>
  <c r="CE16" i="36"/>
  <c r="CK63" i="36"/>
  <c r="CK57" i="36"/>
  <c r="CK56" i="36"/>
  <c r="CF55" i="36"/>
  <c r="CP55" i="36"/>
  <c r="M25" i="28" s="1"/>
  <c r="CK50" i="36"/>
  <c r="CP49" i="36"/>
  <c r="AF32" i="40" s="1"/>
  <c r="CF49" i="36"/>
  <c r="CP48" i="36"/>
  <c r="AF31" i="40" s="1"/>
  <c r="CF48" i="36"/>
  <c r="CK43" i="36"/>
  <c r="S26" i="40" s="1"/>
  <c r="CF42" i="36"/>
  <c r="CP42" i="36"/>
  <c r="AF25" i="40" s="1"/>
  <c r="CP41" i="36"/>
  <c r="AF24" i="40" s="1"/>
  <c r="CF41" i="36"/>
  <c r="CK40" i="36"/>
  <c r="CF39" i="36"/>
  <c r="CP39" i="36"/>
  <c r="AF22" i="40" s="1"/>
  <c r="CP38" i="36"/>
  <c r="AF21" i="40" s="1"/>
  <c r="CF38" i="36"/>
  <c r="CP37" i="36"/>
  <c r="AF20" i="40" s="1"/>
  <c r="CF37" i="36"/>
  <c r="CK26" i="36"/>
  <c r="N20" i="36"/>
  <c r="N23" i="36" s="1"/>
  <c r="CK19" i="36"/>
  <c r="CK16" i="36"/>
  <c r="CF28" i="36"/>
  <c r="CP28" i="36"/>
  <c r="CM58" i="36"/>
  <c r="CH57" i="36"/>
  <c r="CR57" i="36"/>
  <c r="BJ40" i="40" s="1"/>
  <c r="CM56" i="36"/>
  <c r="CR56" i="36"/>
  <c r="BJ39" i="40" s="1"/>
  <c r="CH56" i="36"/>
  <c r="CM55" i="36"/>
  <c r="CR55" i="36"/>
  <c r="O25" i="28" s="1"/>
  <c r="AI25" i="28" s="1"/>
  <c r="CH55" i="36"/>
  <c r="CM50" i="36"/>
  <c r="CR50" i="36"/>
  <c r="BJ33" i="40" s="1"/>
  <c r="CH50" i="36"/>
  <c r="CM49" i="36"/>
  <c r="CH49" i="36"/>
  <c r="CR49" i="36"/>
  <c r="BJ32" i="40" s="1"/>
  <c r="CM48" i="36"/>
  <c r="CR48" i="36"/>
  <c r="BJ31" i="40" s="1"/>
  <c r="CH48" i="36"/>
  <c r="CM43" i="36"/>
  <c r="AW26" i="40" s="1"/>
  <c r="CR43" i="36"/>
  <c r="CH43" i="36"/>
  <c r="AZ26" i="40" s="1"/>
  <c r="BB26" i="40" s="1"/>
  <c r="CM42" i="36"/>
  <c r="CR42" i="36"/>
  <c r="BJ25" i="40" s="1"/>
  <c r="CH42" i="36"/>
  <c r="CM41" i="36"/>
  <c r="CH41" i="36"/>
  <c r="CR41" i="36"/>
  <c r="BJ24" i="40" s="1"/>
  <c r="CM40" i="36"/>
  <c r="CR40" i="36"/>
  <c r="CH40" i="36"/>
  <c r="CM39" i="36"/>
  <c r="CR39" i="36"/>
  <c r="BJ22" i="40" s="1"/>
  <c r="CH39" i="36"/>
  <c r="CM38" i="36"/>
  <c r="CR38" i="36"/>
  <c r="BJ21" i="40" s="1"/>
  <c r="CH38" i="36"/>
  <c r="CM37" i="36"/>
  <c r="CH37" i="36"/>
  <c r="CR37" i="36"/>
  <c r="BJ20" i="40" s="1"/>
  <c r="CM36" i="36"/>
  <c r="CH36" i="36"/>
  <c r="CR36" i="36"/>
  <c r="BJ19" i="40" s="1"/>
  <c r="CM35" i="36"/>
  <c r="CR35" i="36"/>
  <c r="CH35" i="36"/>
  <c r="CM28" i="36"/>
  <c r="CR28" i="36"/>
  <c r="CH28" i="36"/>
  <c r="CM27" i="36"/>
  <c r="CR27" i="36"/>
  <c r="CH27" i="36"/>
  <c r="CM26" i="36"/>
  <c r="CH26" i="36"/>
  <c r="CR26" i="36"/>
  <c r="CM25" i="36"/>
  <c r="CH22" i="36"/>
  <c r="CM21" i="36"/>
  <c r="CR21" i="36"/>
  <c r="CH21" i="36"/>
  <c r="R20" i="36"/>
  <c r="R23" i="36" s="1"/>
  <c r="CM19" i="36"/>
  <c r="CR19" i="36"/>
  <c r="CH19" i="36"/>
  <c r="CM18" i="36"/>
  <c r="CR18" i="36"/>
  <c r="CH18" i="36"/>
  <c r="CM17" i="36"/>
  <c r="CH17" i="36"/>
  <c r="CR17" i="36"/>
  <c r="CM16" i="36"/>
  <c r="CH16" i="36"/>
  <c r="CR16" i="36"/>
  <c r="CP61" i="36"/>
  <c r="CF61" i="36"/>
  <c r="V44" i="40" s="1"/>
  <c r="CF58" i="36"/>
  <c r="CP58" i="36"/>
  <c r="AF41" i="40" s="1"/>
  <c r="CP57" i="36"/>
  <c r="AF40" i="40" s="1"/>
  <c r="CF57" i="36"/>
  <c r="CP56" i="36"/>
  <c r="AF39" i="40" s="1"/>
  <c r="CF56" i="36"/>
  <c r="CF43" i="36"/>
  <c r="V26" i="40" s="1"/>
  <c r="CP43" i="36"/>
  <c r="CK39" i="36"/>
  <c r="CK38" i="36"/>
  <c r="CF35" i="36"/>
  <c r="CP35" i="36"/>
  <c r="AF18" i="40" s="1"/>
  <c r="CK21" i="36"/>
  <c r="CP19" i="36"/>
  <c r="CF19" i="36"/>
  <c r="CP18" i="36"/>
  <c r="CF18" i="36"/>
  <c r="CR63" i="36"/>
  <c r="CH63" i="36"/>
  <c r="CR62" i="36"/>
  <c r="CH62" i="36"/>
  <c r="CH61" i="36"/>
  <c r="AZ44" i="40" s="1"/>
  <c r="CR61" i="36"/>
  <c r="CR59" i="36"/>
  <c r="BJ42" i="40" s="1"/>
  <c r="CH59" i="36"/>
  <c r="CR58" i="36"/>
  <c r="BJ41" i="40" s="1"/>
  <c r="CH58" i="36"/>
  <c r="AB26" i="28"/>
  <c r="AC26" i="28"/>
  <c r="BX66" i="36"/>
  <c r="BD66" i="36"/>
  <c r="AJ66" i="36"/>
  <c r="P66" i="36"/>
  <c r="BV66" i="36"/>
  <c r="BB66" i="36"/>
  <c r="AH66" i="36"/>
  <c r="N66" i="36"/>
  <c r="BT66" i="36"/>
  <c r="AZ66" i="36"/>
  <c r="AF66" i="36"/>
  <c r="L66" i="36"/>
  <c r="BZ66" i="36"/>
  <c r="BF66" i="36"/>
  <c r="AL66" i="36"/>
  <c r="R66" i="36"/>
  <c r="AC14" i="28"/>
  <c r="AC18" i="28"/>
  <c r="AC28" i="28"/>
  <c r="AC15" i="28"/>
  <c r="AC19" i="28"/>
  <c r="AC29" i="28"/>
  <c r="AC17" i="28"/>
  <c r="AC27" i="28"/>
  <c r="S13" i="28"/>
  <c r="AC16" i="28"/>
  <c r="AC20" i="28"/>
  <c r="AC30" i="28"/>
  <c r="S14" i="28"/>
  <c r="AC13" i="28"/>
  <c r="AC31" i="28"/>
  <c r="AB16" i="28"/>
  <c r="AB20" i="28"/>
  <c r="AB30" i="28"/>
  <c r="AB19" i="28"/>
  <c r="R13" i="28"/>
  <c r="AB31" i="28"/>
  <c r="AB17" i="28"/>
  <c r="AB27" i="28"/>
  <c r="AB13" i="28"/>
  <c r="AB14" i="28"/>
  <c r="AB18" i="28"/>
  <c r="AB28" i="28"/>
  <c r="R14" i="28"/>
  <c r="AB15" i="28"/>
  <c r="AB29" i="28"/>
  <c r="Q14" i="28"/>
  <c r="Q13" i="28"/>
  <c r="E8" i="28"/>
  <c r="BJ43" i="40"/>
  <c r="AF43" i="40"/>
  <c r="AU43" i="40"/>
  <c r="Q43" i="40"/>
  <c r="BH63" i="36"/>
  <c r="BH38" i="36"/>
  <c r="T82" i="36"/>
  <c r="AY57" i="36"/>
  <c r="AY60" i="36"/>
  <c r="AY49" i="36"/>
  <c r="AY43" i="36"/>
  <c r="P20" i="36"/>
  <c r="L20" i="36"/>
  <c r="BS80" i="36"/>
  <c r="Q20" i="36"/>
  <c r="M20" i="36"/>
  <c r="T80" i="36"/>
  <c r="K77" i="36"/>
  <c r="AE80" i="36"/>
  <c r="AY55" i="36"/>
  <c r="K55" i="36"/>
  <c r="CB43" i="36"/>
  <c r="K17" i="36"/>
  <c r="T16" i="36"/>
  <c r="BS85" i="36"/>
  <c r="AE85" i="36"/>
  <c r="CB83" i="36"/>
  <c r="BS83" i="36"/>
  <c r="BH83" i="36"/>
  <c r="AN83" i="36"/>
  <c r="BS82" i="36"/>
  <c r="AE82" i="36"/>
  <c r="T76" i="36"/>
  <c r="BS63" i="36"/>
  <c r="AY39" i="36"/>
  <c r="BS38" i="36"/>
  <c r="BH58" i="36"/>
  <c r="CB57" i="36"/>
  <c r="K41" i="36"/>
  <c r="T40" i="36"/>
  <c r="BS78" i="36"/>
  <c r="AE78" i="36"/>
  <c r="CB77" i="36"/>
  <c r="BH77" i="36"/>
  <c r="AN77" i="36"/>
  <c r="BH76" i="36"/>
  <c r="K62" i="36"/>
  <c r="T61" i="36"/>
  <c r="AY59" i="36"/>
  <c r="K59" i="36"/>
  <c r="K37" i="36"/>
  <c r="T36" i="36"/>
  <c r="AY35" i="36"/>
  <c r="K35" i="36"/>
  <c r="BH85" i="36"/>
  <c r="AY83" i="36"/>
  <c r="BH82" i="36"/>
  <c r="BH78" i="36"/>
  <c r="AY77" i="36"/>
  <c r="AE63" i="36"/>
  <c r="AY62" i="36"/>
  <c r="AN62" i="36"/>
  <c r="BH61" i="36"/>
  <c r="AE61" i="36"/>
  <c r="CB49" i="36"/>
  <c r="BH42" i="36"/>
  <c r="AE42" i="36"/>
  <c r="AY41" i="36"/>
  <c r="S20" i="36"/>
  <c r="O20" i="36"/>
  <c r="C20" i="36"/>
  <c r="T85" i="36"/>
  <c r="K83" i="36"/>
  <c r="BH80" i="36"/>
  <c r="T78" i="36"/>
  <c r="BS76" i="36"/>
  <c r="AE76" i="36"/>
  <c r="BS58" i="36"/>
  <c r="AN57" i="36"/>
  <c r="BH56" i="36"/>
  <c r="AE56" i="36"/>
  <c r="BH50" i="36"/>
  <c r="CB39" i="36"/>
  <c r="AE38" i="36"/>
  <c r="AY37" i="36"/>
  <c r="AN37" i="36"/>
  <c r="BH36" i="36"/>
  <c r="AE36" i="36"/>
  <c r="CB62" i="36"/>
  <c r="CB55" i="36"/>
  <c r="AE50" i="36"/>
  <c r="K49" i="36"/>
  <c r="T48" i="36"/>
  <c r="BS42" i="36"/>
  <c r="AN41" i="36"/>
  <c r="BH40" i="36"/>
  <c r="AE40" i="36"/>
  <c r="K39" i="36"/>
  <c r="CB37" i="36"/>
  <c r="T27" i="36"/>
  <c r="K26" i="36"/>
  <c r="CB59" i="36"/>
  <c r="AE58" i="36"/>
  <c r="K57" i="36"/>
  <c r="T56" i="36"/>
  <c r="BS50" i="36"/>
  <c r="AN49" i="36"/>
  <c r="BH48" i="36"/>
  <c r="AE48" i="36"/>
  <c r="K43" i="36"/>
  <c r="CB41" i="36"/>
  <c r="CB35" i="36"/>
  <c r="T25" i="36"/>
  <c r="T18" i="36"/>
  <c r="T63" i="36"/>
  <c r="BS61" i="36"/>
  <c r="AN59" i="36"/>
  <c r="T58" i="36"/>
  <c r="BS56" i="36"/>
  <c r="AN55" i="36"/>
  <c r="T50" i="36"/>
  <c r="BS48" i="36"/>
  <c r="AN43" i="36"/>
  <c r="T42" i="36"/>
  <c r="BS40" i="36"/>
  <c r="AN39" i="36"/>
  <c r="T38" i="36"/>
  <c r="BS36" i="36"/>
  <c r="AN35" i="36"/>
  <c r="K28" i="36"/>
  <c r="K21" i="36"/>
  <c r="K19" i="36"/>
  <c r="BS77" i="36"/>
  <c r="K60" i="36"/>
  <c r="CB85" i="36"/>
  <c r="K85" i="36"/>
  <c r="CB82" i="36"/>
  <c r="K82" i="36"/>
  <c r="CB80" i="36"/>
  <c r="K80" i="36"/>
  <c r="CB78" i="36"/>
  <c r="K78" i="36"/>
  <c r="CB76" i="36"/>
  <c r="K76" i="36"/>
  <c r="AY85" i="36"/>
  <c r="AN85" i="36"/>
  <c r="AY82" i="36"/>
  <c r="AN82" i="36"/>
  <c r="AY80" i="36"/>
  <c r="AN80" i="36"/>
  <c r="AY78" i="36"/>
  <c r="AN78" i="36"/>
  <c r="AY76" i="36"/>
  <c r="AN76" i="36"/>
  <c r="AN60" i="36"/>
  <c r="AE60" i="36"/>
  <c r="T60" i="36"/>
  <c r="AE83" i="36"/>
  <c r="T83" i="36"/>
  <c r="AE77" i="36"/>
  <c r="T77" i="36"/>
  <c r="CB60" i="36"/>
  <c r="AY63" i="36"/>
  <c r="AN63" i="36"/>
  <c r="AY61" i="36"/>
  <c r="AN61" i="36"/>
  <c r="AY58" i="36"/>
  <c r="AN58" i="36"/>
  <c r="AY56" i="36"/>
  <c r="AN56" i="36"/>
  <c r="AY50" i="36"/>
  <c r="AN50" i="36"/>
  <c r="AY48" i="36"/>
  <c r="AN48" i="36"/>
  <c r="AY42" i="36"/>
  <c r="AN42" i="36"/>
  <c r="AY40" i="36"/>
  <c r="AN40" i="36"/>
  <c r="AY38" i="36"/>
  <c r="AN38" i="36"/>
  <c r="AY36" i="36"/>
  <c r="AN36" i="36"/>
  <c r="T21" i="36"/>
  <c r="K18" i="36"/>
  <c r="K16" i="36"/>
  <c r="AE62" i="36"/>
  <c r="T62" i="36"/>
  <c r="AE59" i="36"/>
  <c r="T59" i="36"/>
  <c r="AE57" i="36"/>
  <c r="T57" i="36"/>
  <c r="AE55" i="36"/>
  <c r="T55" i="36"/>
  <c r="AE49" i="36"/>
  <c r="T49" i="36"/>
  <c r="AE43" i="36"/>
  <c r="T43" i="36"/>
  <c r="AE41" i="36"/>
  <c r="T41" i="36"/>
  <c r="AE39" i="36"/>
  <c r="T39" i="36"/>
  <c r="AE37" i="36"/>
  <c r="T37" i="36"/>
  <c r="AE35" i="36"/>
  <c r="T35" i="36"/>
  <c r="T28" i="36"/>
  <c r="T26" i="36"/>
  <c r="K22" i="36"/>
  <c r="CB63" i="36"/>
  <c r="K63" i="36"/>
  <c r="CB61" i="36"/>
  <c r="K61" i="36"/>
  <c r="CB58" i="36"/>
  <c r="K58" i="36"/>
  <c r="CB56" i="36"/>
  <c r="K56" i="36"/>
  <c r="CB50" i="36"/>
  <c r="K50" i="36"/>
  <c r="CB48" i="36"/>
  <c r="K48" i="36"/>
  <c r="CB42" i="36"/>
  <c r="K42" i="36"/>
  <c r="CB40" i="36"/>
  <c r="K40" i="36"/>
  <c r="CB38" i="36"/>
  <c r="K38" i="36"/>
  <c r="CB36" i="36"/>
  <c r="K36" i="36"/>
  <c r="K27" i="36"/>
  <c r="K25" i="36"/>
  <c r="BH60" i="36"/>
  <c r="BS62" i="36"/>
  <c r="BH62" i="36"/>
  <c r="BS59" i="36"/>
  <c r="BH59" i="36"/>
  <c r="BS57" i="36"/>
  <c r="BH57" i="36"/>
  <c r="BS55" i="36"/>
  <c r="BH55" i="36"/>
  <c r="BS49" i="36"/>
  <c r="BH49" i="36"/>
  <c r="BS43" i="36"/>
  <c r="BH43" i="36"/>
  <c r="BS41" i="36"/>
  <c r="BH41" i="36"/>
  <c r="BS39" i="36"/>
  <c r="BH39" i="36"/>
  <c r="BS37" i="36"/>
  <c r="BH37" i="36"/>
  <c r="BS35" i="36"/>
  <c r="BH35" i="36"/>
  <c r="T19" i="36"/>
  <c r="T17" i="36"/>
  <c r="BS60" i="36"/>
  <c r="AY26" i="40" l="1"/>
  <c r="BC26" i="40" s="1"/>
  <c r="BI26" i="40" s="1"/>
  <c r="BJ26" i="40" s="1"/>
  <c r="AY44" i="40"/>
  <c r="AW50" i="40"/>
  <c r="AY50" i="40" s="1"/>
  <c r="BB44" i="40"/>
  <c r="AZ50" i="40"/>
  <c r="BB50" i="40" s="1"/>
  <c r="AJ26" i="40"/>
  <c r="AN26" i="40" s="1"/>
  <c r="AT26" i="40" s="1"/>
  <c r="AU26" i="40" s="1"/>
  <c r="AM44" i="40"/>
  <c r="AK50" i="40"/>
  <c r="AM50" i="40" s="1"/>
  <c r="D44" i="40"/>
  <c r="D50" i="40" s="1"/>
  <c r="U44" i="40"/>
  <c r="AJ44" i="40"/>
  <c r="AH50" i="40"/>
  <c r="AJ50" i="40" s="1"/>
  <c r="AM25" i="28"/>
  <c r="AH25" i="28"/>
  <c r="U26" i="40"/>
  <c r="X44" i="40"/>
  <c r="V50" i="40"/>
  <c r="X50" i="40" s="1"/>
  <c r="X26" i="40"/>
  <c r="AL25" i="28"/>
  <c r="AG25" i="28"/>
  <c r="BL26" i="40"/>
  <c r="F26" i="40"/>
  <c r="BO44" i="40"/>
  <c r="I44" i="40"/>
  <c r="G50" i="40"/>
  <c r="BO26" i="40"/>
  <c r="I26" i="40"/>
  <c r="AK25" i="28"/>
  <c r="AF25" i="28"/>
  <c r="AF38" i="40"/>
  <c r="AU38" i="40"/>
  <c r="BJ38" i="40"/>
  <c r="BY19" i="40"/>
  <c r="Q38" i="40"/>
  <c r="BJ23" i="40"/>
  <c r="BY23" i="40" s="1"/>
  <c r="O31" i="28"/>
  <c r="N31" i="28"/>
  <c r="CI27" i="36"/>
  <c r="CN55" i="36"/>
  <c r="CI82" i="36"/>
  <c r="CI28" i="36"/>
  <c r="CN18" i="36"/>
  <c r="CI43" i="36"/>
  <c r="CI59" i="36"/>
  <c r="CI41" i="36"/>
  <c r="L31" i="28"/>
  <c r="CN19" i="36"/>
  <c r="CN39" i="36"/>
  <c r="CI36" i="36"/>
  <c r="CI48" i="36"/>
  <c r="M31" i="28"/>
  <c r="CI85" i="36"/>
  <c r="P25" i="28"/>
  <c r="AJ25" i="28" s="1"/>
  <c r="AD25" i="28"/>
  <c r="AD23" i="28"/>
  <c r="AD21" i="28"/>
  <c r="AD24" i="28"/>
  <c r="AD22" i="28"/>
  <c r="AN25" i="28"/>
  <c r="AN23" i="28"/>
  <c r="AN21" i="28"/>
  <c r="AN24" i="28"/>
  <c r="AN22" i="28"/>
  <c r="BY31" i="40"/>
  <c r="CI16" i="36"/>
  <c r="CI39" i="36"/>
  <c r="BY24" i="40"/>
  <c r="CI61" i="36"/>
  <c r="CN80" i="36"/>
  <c r="CN41" i="36"/>
  <c r="CI76" i="36"/>
  <c r="CN26" i="36"/>
  <c r="CN76" i="36"/>
  <c r="CN27" i="36"/>
  <c r="CN85" i="36"/>
  <c r="BY20" i="40"/>
  <c r="CN66" i="36"/>
  <c r="CG70" i="36"/>
  <c r="CQ70" i="36"/>
  <c r="CI60" i="36"/>
  <c r="CN78" i="36"/>
  <c r="CN35" i="36"/>
  <c r="CI40" i="36"/>
  <c r="CN83" i="36"/>
  <c r="CN56" i="36"/>
  <c r="CO20" i="36"/>
  <c r="CE20" i="36"/>
  <c r="CI22" i="36"/>
  <c r="CN37" i="36"/>
  <c r="CN49" i="36"/>
  <c r="CN62" i="36"/>
  <c r="CN21" i="36"/>
  <c r="CI80" i="36"/>
  <c r="CI19" i="36"/>
  <c r="CN38" i="36"/>
  <c r="CI57" i="36"/>
  <c r="CI49" i="36"/>
  <c r="CQ20" i="36"/>
  <c r="CG20" i="36"/>
  <c r="CN36" i="36"/>
  <c r="CI55" i="36"/>
  <c r="CI77" i="36"/>
  <c r="L23" i="36"/>
  <c r="CJ20" i="36"/>
  <c r="P23" i="36"/>
  <c r="CL20" i="36"/>
  <c r="CN82" i="36"/>
  <c r="CN43" i="36"/>
  <c r="CI78" i="36"/>
  <c r="CN48" i="36"/>
  <c r="CN17" i="36"/>
  <c r="CI42" i="36"/>
  <c r="CI58" i="36"/>
  <c r="CN77" i="36"/>
  <c r="CN58" i="36"/>
  <c r="CI26" i="36"/>
  <c r="CI83" i="36"/>
  <c r="CI37" i="36"/>
  <c r="CN40" i="36"/>
  <c r="CN42" i="36"/>
  <c r="CM20" i="36"/>
  <c r="CN28" i="36"/>
  <c r="CN57" i="36"/>
  <c r="CN61" i="36"/>
  <c r="CI17" i="36"/>
  <c r="CK20" i="36"/>
  <c r="CF70" i="36"/>
  <c r="CP70" i="36"/>
  <c r="CL70" i="36"/>
  <c r="CI18" i="36"/>
  <c r="CN63" i="36"/>
  <c r="CI38" i="36"/>
  <c r="CI50" i="36"/>
  <c r="CI63" i="36"/>
  <c r="CN60" i="36"/>
  <c r="CI62" i="36"/>
  <c r="CP20" i="36"/>
  <c r="CF20" i="36"/>
  <c r="CO70" i="36"/>
  <c r="CE70" i="36"/>
  <c r="CK70" i="36"/>
  <c r="CN50" i="36"/>
  <c r="CI35" i="36"/>
  <c r="CR20" i="36"/>
  <c r="CH20" i="36"/>
  <c r="CR70" i="36"/>
  <c r="CH70" i="36"/>
  <c r="CM70" i="36"/>
  <c r="CN25" i="36"/>
  <c r="CN59" i="36"/>
  <c r="CI21" i="36"/>
  <c r="CI56" i="36"/>
  <c r="CN16" i="36"/>
  <c r="CJ70" i="36"/>
  <c r="BY42" i="40"/>
  <c r="BY39" i="40"/>
  <c r="BY43" i="40"/>
  <c r="BY33" i="40"/>
  <c r="BY41" i="40"/>
  <c r="BY32" i="40"/>
  <c r="BY40" i="40"/>
  <c r="AD26" i="28"/>
  <c r="BY21" i="40"/>
  <c r="BY25" i="40"/>
  <c r="BY22" i="40"/>
  <c r="BJ18" i="40"/>
  <c r="AU18" i="40"/>
  <c r="L16" i="28"/>
  <c r="AK16" i="28" s="1"/>
  <c r="N20" i="28"/>
  <c r="AM20" i="28" s="1"/>
  <c r="O16" i="28"/>
  <c r="AI16" i="28" s="1"/>
  <c r="O20" i="28"/>
  <c r="AN20" i="28" s="1"/>
  <c r="N14" i="28"/>
  <c r="AM14" i="28" s="1"/>
  <c r="N16" i="28"/>
  <c r="M13" i="28"/>
  <c r="AL13" i="28" s="1"/>
  <c r="M17" i="28"/>
  <c r="AL17" i="28" s="1"/>
  <c r="N13" i="28"/>
  <c r="AM13" i="28" s="1"/>
  <c r="L13" i="28"/>
  <c r="AK13" i="28" s="1"/>
  <c r="L17" i="28"/>
  <c r="O13" i="28"/>
  <c r="AN13" i="28" s="1"/>
  <c r="O17" i="28"/>
  <c r="AN17" i="28" s="1"/>
  <c r="N17" i="28"/>
  <c r="AM17" i="28" s="1"/>
  <c r="L30" i="28"/>
  <c r="M14" i="28"/>
  <c r="AL14" i="28" s="1"/>
  <c r="M30" i="28"/>
  <c r="L14" i="28"/>
  <c r="N30" i="28"/>
  <c r="O14" i="28"/>
  <c r="AN14" i="28" s="1"/>
  <c r="O30" i="28"/>
  <c r="L29" i="28"/>
  <c r="M15" i="28"/>
  <c r="AL15" i="28" s="1"/>
  <c r="M19" i="28"/>
  <c r="AL19" i="28" s="1"/>
  <c r="M29" i="28"/>
  <c r="L15" i="28"/>
  <c r="N19" i="28"/>
  <c r="AM19" i="28" s="1"/>
  <c r="N29" i="28"/>
  <c r="O15" i="28"/>
  <c r="AN15" i="28" s="1"/>
  <c r="O19" i="28"/>
  <c r="AN19" i="28" s="1"/>
  <c r="O29" i="28"/>
  <c r="L19" i="28"/>
  <c r="N15" i="28"/>
  <c r="AM15" i="28" s="1"/>
  <c r="L20" i="28"/>
  <c r="M16" i="28"/>
  <c r="M20" i="28"/>
  <c r="AL20" i="28" s="1"/>
  <c r="M26" i="28"/>
  <c r="AL26" i="28" s="1"/>
  <c r="O26" i="28"/>
  <c r="AN26" i="28" s="1"/>
  <c r="N26" i="28"/>
  <c r="AM26" i="28" s="1"/>
  <c r="L26" i="28"/>
  <c r="AK26" i="28" s="1"/>
  <c r="AD30" i="28"/>
  <c r="AD31" i="28"/>
  <c r="AD17" i="28"/>
  <c r="AD27" i="28"/>
  <c r="AD13" i="28"/>
  <c r="AD15" i="28"/>
  <c r="AD29" i="28"/>
  <c r="AD16" i="28"/>
  <c r="AD20" i="28"/>
  <c r="AD14" i="28"/>
  <c r="AD18" i="28"/>
  <c r="AD28" i="28"/>
  <c r="T14" i="28"/>
  <c r="AD19" i="28"/>
  <c r="T13" i="28"/>
  <c r="L18" i="28"/>
  <c r="AK18" i="28" s="1"/>
  <c r="M18" i="28"/>
  <c r="AL18" i="28" s="1"/>
  <c r="N18" i="28"/>
  <c r="AM18" i="28" s="1"/>
  <c r="O18" i="28"/>
  <c r="AN18" i="28" s="1"/>
  <c r="BI37" i="36"/>
  <c r="BI43" i="36"/>
  <c r="CC85" i="36"/>
  <c r="U78" i="36"/>
  <c r="CC37" i="36"/>
  <c r="CC78" i="36"/>
  <c r="C23" i="36"/>
  <c r="CC42" i="36"/>
  <c r="U39" i="36"/>
  <c r="BI58" i="36"/>
  <c r="BI63" i="36"/>
  <c r="U41" i="36"/>
  <c r="BI61" i="36"/>
  <c r="BI41" i="36"/>
  <c r="CC40" i="36"/>
  <c r="CC56" i="36"/>
  <c r="U57" i="36"/>
  <c r="U18" i="36"/>
  <c r="AO56" i="36"/>
  <c r="U82" i="36"/>
  <c r="U19" i="36"/>
  <c r="BI59" i="36"/>
  <c r="CC82" i="36"/>
  <c r="U56" i="36"/>
  <c r="U37" i="36"/>
  <c r="U62" i="36"/>
  <c r="BI80" i="36"/>
  <c r="CC36" i="36"/>
  <c r="U25" i="36"/>
  <c r="U42" i="36"/>
  <c r="BI56" i="36"/>
  <c r="BI83" i="36"/>
  <c r="CC55" i="36"/>
  <c r="BI38" i="36"/>
  <c r="U85" i="36"/>
  <c r="U48" i="36"/>
  <c r="BI77" i="36"/>
  <c r="U80" i="36"/>
  <c r="BI50" i="36"/>
  <c r="BI39" i="36"/>
  <c r="CC38" i="36"/>
  <c r="CC50" i="36"/>
  <c r="U35" i="36"/>
  <c r="U43" i="36"/>
  <c r="U16" i="36"/>
  <c r="BI36" i="36"/>
  <c r="BI40" i="36"/>
  <c r="BI78" i="36"/>
  <c r="CC49" i="36"/>
  <c r="CC43" i="36"/>
  <c r="CC59" i="36"/>
  <c r="AO59" i="36"/>
  <c r="U61" i="36"/>
  <c r="BI55" i="36"/>
  <c r="CC58" i="36"/>
  <c r="CC63" i="36"/>
  <c r="AO41" i="36"/>
  <c r="AO48" i="36"/>
  <c r="U83" i="36"/>
  <c r="AO60" i="36"/>
  <c r="AO78" i="36"/>
  <c r="AO82" i="36"/>
  <c r="CC80" i="36"/>
  <c r="CC39" i="36"/>
  <c r="BI42" i="36"/>
  <c r="BI85" i="36"/>
  <c r="T70" i="36"/>
  <c r="AN70" i="36"/>
  <c r="BH70" i="36"/>
  <c r="CB70" i="36"/>
  <c r="U58" i="36"/>
  <c r="BI49" i="36"/>
  <c r="BI57" i="36"/>
  <c r="CC61" i="36"/>
  <c r="AO39" i="36"/>
  <c r="AO55" i="36"/>
  <c r="AO42" i="36"/>
  <c r="AO63" i="36"/>
  <c r="U77" i="36"/>
  <c r="AO80" i="36"/>
  <c r="AO85" i="36"/>
  <c r="K70" i="36"/>
  <c r="AE70" i="36"/>
  <c r="AY70" i="36"/>
  <c r="BS70" i="36"/>
  <c r="U17" i="36"/>
  <c r="CC41" i="36"/>
  <c r="CC48" i="36"/>
  <c r="U55" i="36"/>
  <c r="U59" i="36"/>
  <c r="U63" i="36"/>
  <c r="AO36" i="36"/>
  <c r="U49" i="36"/>
  <c r="K20" i="36"/>
  <c r="AO58" i="36"/>
  <c r="AO35" i="36"/>
  <c r="U50" i="36"/>
  <c r="AO37" i="36"/>
  <c r="CC76" i="36"/>
  <c r="U76" i="36"/>
  <c r="CC35" i="36"/>
  <c r="BI62" i="36"/>
  <c r="U27" i="36"/>
  <c r="AO49" i="36"/>
  <c r="AO57" i="36"/>
  <c r="U60" i="36"/>
  <c r="AO76" i="36"/>
  <c r="BI82" i="36"/>
  <c r="AO83" i="36"/>
  <c r="BI35" i="36"/>
  <c r="BI48" i="36"/>
  <c r="CC57" i="36"/>
  <c r="CC62" i="36"/>
  <c r="U38" i="36"/>
  <c r="U28" i="36"/>
  <c r="AO62" i="36"/>
  <c r="U21" i="36"/>
  <c r="AO38" i="36"/>
  <c r="AO50" i="36"/>
  <c r="T20" i="36"/>
  <c r="BI76" i="36"/>
  <c r="U36" i="36"/>
  <c r="U40" i="36"/>
  <c r="U26" i="36"/>
  <c r="AO43" i="36"/>
  <c r="AO40" i="36"/>
  <c r="AO61" i="36"/>
  <c r="AO77" i="36"/>
  <c r="CC77" i="36"/>
  <c r="CC83" i="36"/>
  <c r="BI60" i="36"/>
  <c r="CC60" i="36"/>
  <c r="AN44" i="40" l="1"/>
  <c r="AT44" i="40" s="1"/>
  <c r="AU44" i="40" s="1"/>
  <c r="AI19" i="28"/>
  <c r="AI17" i="28"/>
  <c r="BC50" i="40"/>
  <c r="BI50" i="40" s="1"/>
  <c r="AH17" i="28"/>
  <c r="AH20" i="28"/>
  <c r="F44" i="40"/>
  <c r="BN44" i="40" s="1"/>
  <c r="AI20" i="28"/>
  <c r="BC44" i="40"/>
  <c r="BI44" i="40" s="1"/>
  <c r="BJ44" i="40" s="1"/>
  <c r="AI14" i="28"/>
  <c r="AI15" i="28"/>
  <c r="AN29" i="28"/>
  <c r="AI29" i="28"/>
  <c r="AG14" i="28"/>
  <c r="AN30" i="28"/>
  <c r="AI30" i="28"/>
  <c r="AN31" i="28"/>
  <c r="AI31" i="28"/>
  <c r="AH15" i="28"/>
  <c r="AG17" i="28"/>
  <c r="S50" i="40"/>
  <c r="U50" i="40" s="1"/>
  <c r="Y50" i="40" s="1"/>
  <c r="AE50" i="40" s="1"/>
  <c r="AN50" i="40"/>
  <c r="AT50" i="40" s="1"/>
  <c r="BL44" i="40"/>
  <c r="BN26" i="40"/>
  <c r="Y26" i="40"/>
  <c r="Z26" i="40" s="1"/>
  <c r="AH19" i="28"/>
  <c r="AM31" i="28"/>
  <c r="AH31" i="28"/>
  <c r="AM30" i="28"/>
  <c r="AH30" i="28"/>
  <c r="AH14" i="28"/>
  <c r="AM29" i="28"/>
  <c r="AH29" i="28"/>
  <c r="AG15" i="28"/>
  <c r="AG20" i="28"/>
  <c r="AG19" i="28"/>
  <c r="BQ44" i="40"/>
  <c r="Y44" i="40"/>
  <c r="AE44" i="40" s="1"/>
  <c r="AF44" i="40" s="1"/>
  <c r="AL29" i="28"/>
  <c r="AG29" i="28"/>
  <c r="AL30" i="28"/>
  <c r="AG30" i="28"/>
  <c r="AL31" i="28"/>
  <c r="AG31" i="28"/>
  <c r="F50" i="40"/>
  <c r="BQ26" i="40"/>
  <c r="J26" i="40"/>
  <c r="AF16" i="28"/>
  <c r="I50" i="40"/>
  <c r="BQ50" i="40" s="1"/>
  <c r="BO50" i="40"/>
  <c r="AK31" i="28"/>
  <c r="AF31" i="28"/>
  <c r="AK30" i="28"/>
  <c r="AF30" i="28"/>
  <c r="AK17" i="28"/>
  <c r="AF17" i="28"/>
  <c r="AK20" i="28"/>
  <c r="AF20" i="28"/>
  <c r="AK29" i="28"/>
  <c r="AF29" i="28"/>
  <c r="AK14" i="28"/>
  <c r="AF14" i="28"/>
  <c r="AN16" i="28"/>
  <c r="BY38" i="40"/>
  <c r="CS48" i="36"/>
  <c r="CS60" i="36"/>
  <c r="CS16" i="36"/>
  <c r="CS41" i="36"/>
  <c r="CS80" i="36"/>
  <c r="CS18" i="36"/>
  <c r="CS17" i="36"/>
  <c r="CS63" i="36"/>
  <c r="CS59" i="36"/>
  <c r="CS85" i="36"/>
  <c r="CS27" i="36"/>
  <c r="CS82" i="36"/>
  <c r="CS78" i="36"/>
  <c r="CS35" i="36"/>
  <c r="CS77" i="36"/>
  <c r="CS62" i="36"/>
  <c r="CS55" i="36"/>
  <c r="CS76" i="36"/>
  <c r="CS49" i="36"/>
  <c r="CS61" i="36"/>
  <c r="CS36" i="36"/>
  <c r="CE23" i="36"/>
  <c r="CH23" i="36"/>
  <c r="CS43" i="36"/>
  <c r="CS38" i="36"/>
  <c r="CS21" i="36"/>
  <c r="CS19" i="36"/>
  <c r="CG23" i="36"/>
  <c r="CS57" i="36"/>
  <c r="CS58" i="36"/>
  <c r="CS56" i="36"/>
  <c r="CI20" i="36"/>
  <c r="CS28" i="36"/>
  <c r="CN70" i="36"/>
  <c r="CS39" i="36"/>
  <c r="CS40" i="36"/>
  <c r="CN20" i="36"/>
  <c r="CS26" i="36"/>
  <c r="CI70" i="36"/>
  <c r="CS50" i="36"/>
  <c r="CS42" i="36"/>
  <c r="CS37" i="36"/>
  <c r="CS83" i="36"/>
  <c r="CF23" i="36"/>
  <c r="AG16" i="28"/>
  <c r="AL16" i="28"/>
  <c r="AF15" i="28"/>
  <c r="AK15" i="28"/>
  <c r="AF19" i="28"/>
  <c r="AK19" i="28"/>
  <c r="BY18" i="40"/>
  <c r="AH16" i="28"/>
  <c r="AM16" i="28"/>
  <c r="P17" i="28"/>
  <c r="P14" i="28"/>
  <c r="AJ14" i="28" s="1"/>
  <c r="P15" i="28"/>
  <c r="P16" i="28"/>
  <c r="AJ16" i="28" s="1"/>
  <c r="P29" i="28"/>
  <c r="AJ29" i="28" s="1"/>
  <c r="P20" i="28"/>
  <c r="AJ20" i="28" s="1"/>
  <c r="P19" i="28"/>
  <c r="P26" i="28"/>
  <c r="P18" i="28"/>
  <c r="P31" i="28"/>
  <c r="AJ31" i="28" s="1"/>
  <c r="P30" i="28"/>
  <c r="AJ30" i="28" s="1"/>
  <c r="K23" i="36"/>
  <c r="AO70" i="36"/>
  <c r="U70" i="36"/>
  <c r="U20" i="36"/>
  <c r="BI70" i="36"/>
  <c r="CC70" i="36"/>
  <c r="J44" i="40" l="1"/>
  <c r="P44" i="40" s="1"/>
  <c r="BL50" i="40"/>
  <c r="AE26" i="40"/>
  <c r="AF26" i="40" s="1"/>
  <c r="K26" i="40"/>
  <c r="BR26" i="40"/>
  <c r="BN50" i="40"/>
  <c r="J50" i="40"/>
  <c r="CS70" i="36"/>
  <c r="CI23" i="36"/>
  <c r="CS20" i="36"/>
  <c r="BR44" i="40" l="1"/>
  <c r="BS26" i="40"/>
  <c r="BX44" i="40"/>
  <c r="Q44" i="40"/>
  <c r="BY44" i="40" s="1"/>
  <c r="BR50" i="40"/>
  <c r="P50" i="40"/>
  <c r="P26" i="40"/>
  <c r="BX50" i="40" l="1"/>
  <c r="BX26" i="40"/>
  <c r="Q26" i="40"/>
  <c r="BY26" i="40" s="1"/>
  <c r="F13" i="28" l="1"/>
  <c r="B6" i="28"/>
  <c r="B5" i="28"/>
  <c r="B4" i="28"/>
  <c r="B3" i="28"/>
  <c r="B2" i="28"/>
  <c r="Z27" i="28"/>
  <c r="Y27" i="28"/>
  <c r="X27" i="28"/>
  <c r="W27" i="28"/>
  <c r="V27" i="28"/>
  <c r="Y15" i="28"/>
  <c r="X15" i="28"/>
  <c r="W15" i="28"/>
  <c r="V15" i="28"/>
  <c r="Z17" i="28"/>
  <c r="Y17" i="28"/>
  <c r="X17" i="28"/>
  <c r="W17" i="28"/>
  <c r="V17" i="28"/>
  <c r="Z19" i="28"/>
  <c r="Y19" i="28"/>
  <c r="X19" i="28"/>
  <c r="W19" i="28"/>
  <c r="V19" i="28"/>
  <c r="Y13" i="28"/>
  <c r="X13" i="28"/>
  <c r="W13" i="28"/>
  <c r="V13" i="28"/>
  <c r="J10" i="28"/>
  <c r="O10" i="28" s="1"/>
  <c r="T10" i="28" s="1"/>
  <c r="Y10" i="28" s="1"/>
  <c r="AD10" i="28" s="1"/>
  <c r="AI10" i="28" s="1"/>
  <c r="AN10" i="28" s="1"/>
  <c r="I10" i="28"/>
  <c r="N10" i="28" s="1"/>
  <c r="S10" i="28" s="1"/>
  <c r="X10" i="28" s="1"/>
  <c r="AC10" i="28" s="1"/>
  <c r="AH10" i="28" s="1"/>
  <c r="AM10" i="28" s="1"/>
  <c r="H10" i="28"/>
  <c r="M10" i="28" s="1"/>
  <c r="R10" i="28" s="1"/>
  <c r="W10" i="28" s="1"/>
  <c r="AB10" i="28" s="1"/>
  <c r="AG10" i="28" s="1"/>
  <c r="AL10" i="28" s="1"/>
  <c r="G10" i="28"/>
  <c r="L10" i="28" s="1"/>
  <c r="Q10" i="28" s="1"/>
  <c r="V10" i="28" s="1"/>
  <c r="AA10" i="28" s="1"/>
  <c r="AF10" i="28" s="1"/>
  <c r="AK10" i="28" s="1"/>
  <c r="C8" i="8"/>
  <c r="F8" i="28" l="1"/>
  <c r="AG13" i="28"/>
  <c r="AI13" i="28"/>
  <c r="K15" i="28"/>
  <c r="V18" i="28"/>
  <c r="AH18" i="28"/>
  <c r="K18" i="28"/>
  <c r="W18" i="28"/>
  <c r="Y18" i="28"/>
  <c r="AG18" i="28"/>
  <c r="AI18" i="28"/>
  <c r="AF13" i="28"/>
  <c r="AH13" i="28"/>
  <c r="X18" i="28"/>
  <c r="AF18" i="28"/>
  <c r="K13" i="28"/>
  <c r="K19" i="28"/>
  <c r="K17" i="28"/>
  <c r="AO22" i="28" l="1"/>
  <c r="AE24" i="28"/>
  <c r="AE22" i="28"/>
  <c r="AO25" i="28"/>
  <c r="AO23" i="28"/>
  <c r="AO21" i="28"/>
  <c r="AE25" i="28"/>
  <c r="AE23" i="28"/>
  <c r="AE21" i="28"/>
  <c r="AO24" i="28"/>
  <c r="AE26" i="28"/>
  <c r="AO26" i="28"/>
  <c r="AO31" i="28"/>
  <c r="AO15" i="28"/>
  <c r="AO19" i="28"/>
  <c r="AO29" i="28"/>
  <c r="AE14" i="28"/>
  <c r="AE18" i="28"/>
  <c r="AE28" i="28"/>
  <c r="U14" i="28"/>
  <c r="AO16" i="28"/>
  <c r="AO20" i="28"/>
  <c r="AO30" i="28"/>
  <c r="AE15" i="28"/>
  <c r="AE19" i="28"/>
  <c r="AE29" i="28"/>
  <c r="U13" i="28"/>
  <c r="AO17" i="28"/>
  <c r="AE16" i="28"/>
  <c r="AE20" i="28"/>
  <c r="AE30" i="28"/>
  <c r="AO14" i="28"/>
  <c r="AO18" i="28"/>
  <c r="AE31" i="28"/>
  <c r="AE17" i="28"/>
  <c r="AE27" i="28"/>
  <c r="AE13" i="28"/>
  <c r="AJ17" i="28"/>
  <c r="AJ15" i="28"/>
  <c r="AJ19" i="28"/>
  <c r="Z15" i="28"/>
  <c r="Z13" i="28"/>
  <c r="AJ18" i="28"/>
  <c r="Z18" i="28"/>
  <c r="I19" i="7" l="1"/>
  <c r="H19" i="7"/>
  <c r="G19" i="7"/>
  <c r="F19" i="7"/>
  <c r="H45" i="7" l="1"/>
  <c r="H44" i="7"/>
  <c r="H43" i="7"/>
  <c r="H42" i="7"/>
  <c r="A11" i="19" l="1"/>
  <c r="A12" i="19"/>
  <c r="A13" i="19"/>
  <c r="A14" i="19"/>
  <c r="A15" i="19"/>
  <c r="A16" i="19"/>
  <c r="P13" i="28" l="1"/>
  <c r="AO13" i="28" s="1"/>
  <c r="AJ13" i="28" l="1"/>
  <c r="D5" i="11" l="1"/>
  <c r="B11" i="7"/>
  <c r="B19" i="7" s="1"/>
  <c r="C11" i="7"/>
  <c r="C19" i="7" s="1"/>
  <c r="D11" i="7"/>
  <c r="D19" i="7" s="1"/>
  <c r="E11" i="7"/>
  <c r="E19" i="7" s="1"/>
  <c r="C7" i="8"/>
  <c r="B2" i="6"/>
  <c r="B3" i="6"/>
  <c r="B4" i="6"/>
  <c r="B5" i="6"/>
  <c r="B6" i="6"/>
  <c r="C22" i="12"/>
  <c r="C82" i="12" s="1"/>
  <c r="D22" i="12"/>
  <c r="C27" i="6" s="1"/>
  <c r="E22" i="12"/>
  <c r="F22" i="12"/>
  <c r="C35" i="12"/>
  <c r="D35" i="12"/>
  <c r="E35" i="12"/>
  <c r="F35" i="12"/>
  <c r="C46" i="12"/>
  <c r="D46" i="12"/>
  <c r="D48" i="12" s="1"/>
  <c r="E46" i="12"/>
  <c r="F46" i="12"/>
  <c r="X56" i="12"/>
  <c r="D67" i="12"/>
  <c r="C29" i="7" s="1"/>
  <c r="E67" i="12"/>
  <c r="D29" i="7" s="1"/>
  <c r="F67" i="12"/>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29" i="7" l="1"/>
  <c r="E25" i="13"/>
  <c r="E27" i="6"/>
  <c r="D27" i="6"/>
  <c r="E82" i="12"/>
  <c r="E48" i="12"/>
  <c r="B27" i="6"/>
  <c r="C48" i="12"/>
  <c r="E16" i="2"/>
  <c r="E18" i="2" s="1"/>
  <c r="E22" i="2" s="1"/>
  <c r="B29" i="7"/>
  <c r="B20" i="6"/>
  <c r="D78" i="12"/>
  <c r="C13" i="7" s="1"/>
  <c r="F78" i="12"/>
  <c r="E13" i="7" s="1"/>
  <c r="F48" i="12"/>
  <c r="B13" i="7"/>
  <c r="E78" i="12"/>
  <c r="D13" i="7" s="1"/>
  <c r="E26" i="7"/>
  <c r="D26" i="7"/>
  <c r="C26" i="7"/>
  <c r="B26" i="7"/>
  <c r="C12" i="7"/>
  <c r="I15" i="7"/>
  <c r="I16" i="7" s="1"/>
  <c r="I18" i="7" s="1"/>
  <c r="H16" i="7"/>
  <c r="H18" i="7" s="1"/>
  <c r="F16" i="7"/>
  <c r="F18" i="7" s="1"/>
  <c r="G16" i="7"/>
  <c r="G18" i="7" s="1"/>
  <c r="E18" i="6"/>
  <c r="C18" i="6"/>
  <c r="E19" i="6"/>
  <c r="C19" i="6"/>
  <c r="E20" i="6"/>
  <c r="C20" i="6"/>
  <c r="E28" i="6"/>
  <c r="C28" i="6"/>
  <c r="E27" i="7"/>
  <c r="C27" i="7"/>
  <c r="D18" i="6"/>
  <c r="B18" i="6"/>
  <c r="D19" i="6"/>
  <c r="B19" i="6"/>
  <c r="D20" i="6"/>
  <c r="D28" i="6"/>
  <c r="B28" i="6"/>
  <c r="D27" i="7"/>
  <c r="B27" i="7"/>
  <c r="F82" i="12" l="1"/>
  <c r="D12" i="7"/>
  <c r="D14" i="7" s="1"/>
  <c r="D16" i="7" s="1"/>
  <c r="D18" i="7" s="1"/>
  <c r="B12" i="7"/>
  <c r="B14" i="7" s="1"/>
  <c r="B16" i="7" s="1"/>
  <c r="B18" i="7" s="1"/>
  <c r="D93" i="12"/>
  <c r="C37" i="6" s="1"/>
  <c r="C14" i="7"/>
  <c r="C16" i="7" s="1"/>
  <c r="C18" i="7" s="1"/>
  <c r="E12" i="7"/>
  <c r="E14" i="7" s="1"/>
  <c r="E16" i="7" s="1"/>
  <c r="E18" i="7" s="1"/>
  <c r="F91" i="12"/>
  <c r="F92" i="12" s="1"/>
  <c r="F93" i="12"/>
  <c r="E29" i="6" s="1"/>
  <c r="C93" i="12"/>
  <c r="B29" i="6" s="1"/>
  <c r="C28" i="7"/>
  <c r="E93" i="12"/>
  <c r="D29" i="6" s="1"/>
  <c r="E91" i="12"/>
  <c r="E92" i="12" s="1"/>
  <c r="E28" i="7"/>
  <c r="B28" i="7"/>
  <c r="D28" i="7"/>
  <c r="C30" i="7"/>
  <c r="C32" i="7" s="1"/>
  <c r="C34" i="7" s="1"/>
  <c r="B30" i="7"/>
  <c r="B32" i="7" s="1"/>
  <c r="B34" i="7" s="1"/>
  <c r="E30" i="7"/>
  <c r="E32" i="7" s="1"/>
  <c r="E34" i="7" s="1"/>
  <c r="D30" i="7"/>
  <c r="D32" i="7" s="1"/>
  <c r="D34" i="7" s="1"/>
  <c r="D91" i="12" l="1"/>
  <c r="D92" i="12" s="1"/>
  <c r="D94" i="12"/>
  <c r="C91" i="12"/>
  <c r="C92" i="12" s="1"/>
  <c r="C29" i="6"/>
  <c r="F43" i="7"/>
  <c r="F45" i="7"/>
  <c r="C50" i="7" s="1"/>
  <c r="F94" i="12"/>
  <c r="E37" i="6"/>
  <c r="C94" i="12"/>
  <c r="F42" i="7"/>
  <c r="B37" i="6"/>
  <c r="D37" i="6"/>
  <c r="E94" i="12"/>
  <c r="F44" i="7"/>
  <c r="B13" i="44"/>
  <c r="C53" i="7" l="1"/>
  <c r="B14" i="44"/>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R47" i="36" l="1"/>
  <c r="BQ47" i="36"/>
  <c r="BP47" i="36"/>
  <c r="BO47" i="36"/>
  <c r="BN47" i="36"/>
  <c r="BM47" i="36"/>
  <c r="BL47" i="36"/>
  <c r="AX47" i="36"/>
  <c r="AW47" i="36"/>
  <c r="AV47" i="36"/>
  <c r="AU47" i="36"/>
  <c r="AT47" i="36"/>
  <c r="AS47" i="36"/>
  <c r="AR47" i="36"/>
  <c r="AD47" i="36"/>
  <c r="AC47" i="36"/>
  <c r="AB47" i="36"/>
  <c r="AA47" i="36"/>
  <c r="Z47" i="36"/>
  <c r="Y47" i="36"/>
  <c r="X47" i="36"/>
  <c r="J47" i="36"/>
  <c r="H47" i="36"/>
  <c r="F47" i="36"/>
  <c r="D47" i="36"/>
  <c r="BR46" i="36"/>
  <c r="BQ46" i="36"/>
  <c r="BP46" i="36"/>
  <c r="BO46" i="36"/>
  <c r="BN46" i="36"/>
  <c r="BM46" i="36"/>
  <c r="BL46" i="36"/>
  <c r="AX46" i="36"/>
  <c r="AW46" i="36"/>
  <c r="AV46" i="36"/>
  <c r="AU46" i="36"/>
  <c r="AT46" i="36"/>
  <c r="AS46" i="36"/>
  <c r="AR46" i="36"/>
  <c r="AD46" i="36"/>
  <c r="AC46" i="36"/>
  <c r="AB46" i="36"/>
  <c r="AA46" i="36"/>
  <c r="Z46" i="36"/>
  <c r="Y46" i="36"/>
  <c r="X46" i="36"/>
  <c r="J46" i="36"/>
  <c r="H46" i="36"/>
  <c r="F46" i="36"/>
  <c r="D46" i="36"/>
  <c r="BR45" i="36"/>
  <c r="BQ45" i="36"/>
  <c r="BP45" i="36"/>
  <c r="BO45" i="36"/>
  <c r="BN45" i="36"/>
  <c r="BM45" i="36"/>
  <c r="BL45" i="36"/>
  <c r="AX45" i="36"/>
  <c r="AW45" i="36"/>
  <c r="AV45" i="36"/>
  <c r="AU45" i="36"/>
  <c r="AT45" i="36"/>
  <c r="AS45" i="36"/>
  <c r="AR45" i="36"/>
  <c r="AD45" i="36"/>
  <c r="AC45" i="36"/>
  <c r="AB45" i="36"/>
  <c r="AA45" i="36"/>
  <c r="Z45" i="36"/>
  <c r="Y45" i="36"/>
  <c r="X45" i="36"/>
  <c r="J45" i="36"/>
  <c r="H45" i="36"/>
  <c r="F45" i="36"/>
  <c r="D45" i="36"/>
  <c r="D44" i="36" l="1"/>
  <c r="D66" i="36" s="1"/>
  <c r="D66" i="37"/>
  <c r="AC44" i="36"/>
  <c r="AC66" i="36" s="1"/>
  <c r="AC66" i="37"/>
  <c r="AS44" i="36"/>
  <c r="AS66" i="36" s="1"/>
  <c r="AS66" i="37"/>
  <c r="AW44" i="36"/>
  <c r="AW66" i="36" s="1"/>
  <c r="AW66" i="37"/>
  <c r="BM44" i="36"/>
  <c r="BM66" i="36" s="1"/>
  <c r="BM66" i="37"/>
  <c r="BQ44" i="36"/>
  <c r="BQ66" i="36" s="1"/>
  <c r="BQ66" i="37"/>
  <c r="E45" i="36"/>
  <c r="CF45" i="37"/>
  <c r="I45" i="36"/>
  <c r="CH45" i="37"/>
  <c r="E66" i="37"/>
  <c r="I44" i="36"/>
  <c r="CH44" i="37"/>
  <c r="I66" i="37"/>
  <c r="Z44" i="36"/>
  <c r="Z66" i="36" s="1"/>
  <c r="Z66" i="37"/>
  <c r="AT44" i="36"/>
  <c r="AT66" i="36" s="1"/>
  <c r="AT66" i="37"/>
  <c r="AX44" i="36"/>
  <c r="AX66" i="36" s="1"/>
  <c r="AX66" i="37"/>
  <c r="BN44" i="36"/>
  <c r="BN66" i="36" s="1"/>
  <c r="BN66" i="37"/>
  <c r="BR44" i="36"/>
  <c r="BR66" i="36" s="1"/>
  <c r="BR66" i="37"/>
  <c r="E47" i="36"/>
  <c r="CF47" i="37"/>
  <c r="I47" i="36"/>
  <c r="CH47" i="37"/>
  <c r="E44" i="36"/>
  <c r="CF44" i="37"/>
  <c r="Y44" i="36"/>
  <c r="Y66" i="36" s="1"/>
  <c r="Y66" i="37"/>
  <c r="F44" i="36"/>
  <c r="F66" i="36" s="1"/>
  <c r="F66" i="37"/>
  <c r="J44" i="36"/>
  <c r="J66" i="36" s="1"/>
  <c r="J66" i="37"/>
  <c r="AD44" i="36"/>
  <c r="AD66" i="36" s="1"/>
  <c r="AD66" i="37"/>
  <c r="G44" i="36"/>
  <c r="CG44" i="37"/>
  <c r="G66" i="37"/>
  <c r="AA44" i="36"/>
  <c r="AA66" i="36" s="1"/>
  <c r="AA66" i="37"/>
  <c r="AU44" i="36"/>
  <c r="AU66" i="36" s="1"/>
  <c r="AU66" i="37"/>
  <c r="BO44" i="36"/>
  <c r="BO66" i="36" s="1"/>
  <c r="BO66" i="37"/>
  <c r="C45" i="36"/>
  <c r="K45" i="37"/>
  <c r="G45" i="36"/>
  <c r="CG45" i="37"/>
  <c r="G46" i="36"/>
  <c r="CG46" i="37"/>
  <c r="H44" i="36"/>
  <c r="H66" i="36" s="1"/>
  <c r="H66" i="37"/>
  <c r="X44" i="36"/>
  <c r="X66" i="36" s="1"/>
  <c r="X66" i="37"/>
  <c r="AB44" i="36"/>
  <c r="AB66" i="36" s="1"/>
  <c r="AB66" i="37"/>
  <c r="AR44" i="36"/>
  <c r="AR66" i="36" s="1"/>
  <c r="AR66" i="37"/>
  <c r="AV44" i="36"/>
  <c r="AV66" i="36" s="1"/>
  <c r="AV66" i="37"/>
  <c r="BL44" i="36"/>
  <c r="BL66" i="36" s="1"/>
  <c r="BL66" i="37"/>
  <c r="BP44" i="36"/>
  <c r="BP66" i="36" s="1"/>
  <c r="BP66" i="37"/>
  <c r="G47" i="36"/>
  <c r="CG47" i="37"/>
  <c r="BK47" i="36"/>
  <c r="BS47" i="36" s="1"/>
  <c r="BS47" i="37"/>
  <c r="CG47" i="36" l="1"/>
  <c r="AK30" i="40" s="1"/>
  <c r="C46" i="36"/>
  <c r="CO46" i="37"/>
  <c r="CE46" i="37"/>
  <c r="K46" i="37"/>
  <c r="AQ45" i="36"/>
  <c r="AY45" i="36" s="1"/>
  <c r="AY45" i="37"/>
  <c r="CE45" i="37"/>
  <c r="CG66" i="37"/>
  <c r="C44" i="36"/>
  <c r="CE44" i="37"/>
  <c r="K44" i="37"/>
  <c r="C66" i="37"/>
  <c r="CF44" i="36"/>
  <c r="CH47" i="36"/>
  <c r="AZ30" i="40" s="1"/>
  <c r="AQ46" i="36"/>
  <c r="AY46" i="36" s="1"/>
  <c r="BI46" i="36" s="1"/>
  <c r="AY46" i="37"/>
  <c r="BI46" i="37" s="1"/>
  <c r="BK46" i="36"/>
  <c r="BS46" i="36" s="1"/>
  <c r="BS46" i="37"/>
  <c r="CG46" i="36"/>
  <c r="AK29" i="40" s="1"/>
  <c r="CF47" i="36"/>
  <c r="V30" i="40" s="1"/>
  <c r="CH45" i="36"/>
  <c r="AZ28" i="40" s="1"/>
  <c r="C47" i="36"/>
  <c r="CE47" i="37"/>
  <c r="K47" i="37"/>
  <c r="BK44" i="36"/>
  <c r="BK66" i="37"/>
  <c r="BS44" i="37"/>
  <c r="AQ44" i="36"/>
  <c r="AQ66" i="37"/>
  <c r="AY44" i="37"/>
  <c r="W44" i="36"/>
  <c r="W66" i="37"/>
  <c r="AE44" i="37"/>
  <c r="I46" i="36"/>
  <c r="I66" i="36" s="1"/>
  <c r="CH46" i="37"/>
  <c r="CH66" i="37" s="1"/>
  <c r="W46" i="36"/>
  <c r="AE46" i="36" s="1"/>
  <c r="AO46" i="36" s="1"/>
  <c r="AE46" i="37"/>
  <c r="AO46" i="37" s="1"/>
  <c r="CH44" i="36"/>
  <c r="AZ27" i="40" s="1"/>
  <c r="E46" i="36"/>
  <c r="E66" i="36" s="1"/>
  <c r="CP46" i="37"/>
  <c r="CF46" i="37"/>
  <c r="CF66" i="37" s="1"/>
  <c r="W47" i="36"/>
  <c r="AE47" i="36" s="1"/>
  <c r="AE47" i="37"/>
  <c r="AQ47" i="36"/>
  <c r="AY47" i="36" s="1"/>
  <c r="AY47" i="37"/>
  <c r="BK45" i="36"/>
  <c r="BS45" i="36" s="1"/>
  <c r="BS45" i="37"/>
  <c r="W45" i="36"/>
  <c r="AE45" i="36" s="1"/>
  <c r="AE45" i="37"/>
  <c r="CG45" i="36"/>
  <c r="AK28" i="40" s="1"/>
  <c r="K45" i="36"/>
  <c r="CG44" i="36"/>
  <c r="AK27" i="40" s="1"/>
  <c r="G66" i="36"/>
  <c r="CF45" i="36"/>
  <c r="V28" i="40" s="1"/>
  <c r="AM29" i="40" l="1"/>
  <c r="BB30" i="40"/>
  <c r="AM28" i="40"/>
  <c r="BB27" i="40"/>
  <c r="BB28" i="40"/>
  <c r="X28" i="40"/>
  <c r="X30" i="40"/>
  <c r="AM30" i="40"/>
  <c r="AM27" i="40"/>
  <c r="AK52" i="40"/>
  <c r="AM52" i="40" s="1"/>
  <c r="AK45" i="40"/>
  <c r="AM45" i="40" s="1"/>
  <c r="CG66" i="36"/>
  <c r="CI45" i="37"/>
  <c r="CE45" i="36"/>
  <c r="G28" i="40" s="1"/>
  <c r="AE66" i="37"/>
  <c r="BS44" i="36"/>
  <c r="BS66" i="36" s="1"/>
  <c r="BK66" i="36"/>
  <c r="CE47" i="36"/>
  <c r="G30" i="40" s="1"/>
  <c r="K47" i="36"/>
  <c r="CI47" i="36" s="1"/>
  <c r="K66" i="37"/>
  <c r="CI44" i="37"/>
  <c r="CI46" i="37"/>
  <c r="U46" i="37"/>
  <c r="AY44" i="36"/>
  <c r="AY66" i="36" s="1"/>
  <c r="AQ66" i="36"/>
  <c r="CI47" i="37"/>
  <c r="V27" i="40"/>
  <c r="CE66" i="37"/>
  <c r="CF46" i="36"/>
  <c r="V29" i="40" s="1"/>
  <c r="CP46" i="36"/>
  <c r="CH46" i="36"/>
  <c r="AE44" i="36"/>
  <c r="AE66" i="36" s="1"/>
  <c r="W66" i="36"/>
  <c r="BS66" i="37"/>
  <c r="CI45" i="36"/>
  <c r="AY66" i="37"/>
  <c r="K44" i="36"/>
  <c r="CE44" i="36"/>
  <c r="C66" i="36"/>
  <c r="CE46" i="36"/>
  <c r="G29" i="40" s="1"/>
  <c r="CO46" i="36"/>
  <c r="K46" i="36"/>
  <c r="CH66" i="36" l="1"/>
  <c r="AZ29" i="40"/>
  <c r="X29" i="40"/>
  <c r="Y29" i="40" s="1"/>
  <c r="Z29" i="40" s="1"/>
  <c r="CI66" i="37"/>
  <c r="CI46" i="36"/>
  <c r="U46" i="36"/>
  <c r="G27" i="40"/>
  <c r="CE66" i="36"/>
  <c r="CI44" i="36"/>
  <c r="K66" i="36"/>
  <c r="CI66" i="36" s="1"/>
  <c r="CF66" i="36"/>
  <c r="BO30" i="40"/>
  <c r="I30" i="40"/>
  <c r="BQ30" i="40" s="1"/>
  <c r="I28" i="40"/>
  <c r="BQ28" i="40" s="1"/>
  <c r="BO28" i="40"/>
  <c r="I29" i="40"/>
  <c r="X27" i="40"/>
  <c r="V45" i="40"/>
  <c r="X45" i="40" s="1"/>
  <c r="V52" i="40"/>
  <c r="X52" i="40" s="1"/>
  <c r="AE29" i="40" l="1"/>
  <c r="AF29" i="40" s="1"/>
  <c r="BB29" i="40"/>
  <c r="BQ29" i="40" s="1"/>
  <c r="AZ45" i="40"/>
  <c r="BB45" i="40" s="1"/>
  <c r="AZ52" i="40"/>
  <c r="BB52" i="40" s="1"/>
  <c r="BO29" i="40"/>
  <c r="J29" i="40"/>
  <c r="I27" i="40"/>
  <c r="BQ27" i="40" s="1"/>
  <c r="BO27" i="40"/>
  <c r="G52" i="40"/>
  <c r="G45" i="40"/>
  <c r="I45" i="40" l="1"/>
  <c r="BQ45" i="40" s="1"/>
  <c r="BO45" i="40"/>
  <c r="K29" i="40"/>
  <c r="I52" i="40"/>
  <c r="BQ52" i="40" s="1"/>
  <c r="BO52" i="40"/>
  <c r="BS29" i="40" l="1"/>
  <c r="P29" i="40"/>
  <c r="Q29" i="40" s="1"/>
  <c r="CB45" i="54" l="1"/>
  <c r="CC45" i="54" s="1"/>
  <c r="BE45" i="36"/>
  <c r="BH45" i="54"/>
  <c r="BI45" i="54" s="1"/>
  <c r="BC45" i="36"/>
  <c r="AN44" i="53"/>
  <c r="BY45" i="36"/>
  <c r="AM44" i="36"/>
  <c r="CA45" i="36"/>
  <c r="BW45" i="36"/>
  <c r="AN45" i="54"/>
  <c r="AO45" i="54" s="1"/>
  <c r="AM45" i="36"/>
  <c r="BH45" i="53"/>
  <c r="BI45" i="53" s="1"/>
  <c r="AK45" i="36"/>
  <c r="BG45" i="36"/>
  <c r="CB45" i="53"/>
  <c r="CC45" i="53" s="1"/>
  <c r="AI45" i="36"/>
  <c r="CM44" i="54" l="1"/>
  <c r="CR44" i="54"/>
  <c r="AI44" i="36"/>
  <c r="BE44" i="36"/>
  <c r="CP44" i="53"/>
  <c r="CK44" i="53"/>
  <c r="CJ45" i="37"/>
  <c r="T45" i="37"/>
  <c r="CO45" i="37"/>
  <c r="M45" i="36"/>
  <c r="CO45" i="53"/>
  <c r="T45" i="53"/>
  <c r="CJ45" i="53"/>
  <c r="S45" i="36"/>
  <c r="CM45" i="37"/>
  <c r="CR45" i="37"/>
  <c r="CL45" i="37"/>
  <c r="CQ45" i="37"/>
  <c r="BG44" i="36"/>
  <c r="BH44" i="54"/>
  <c r="BU45" i="36"/>
  <c r="CB45" i="36" s="1"/>
  <c r="CC45" i="36" s="1"/>
  <c r="CB45" i="37"/>
  <c r="CC45" i="37" s="1"/>
  <c r="O44" i="36"/>
  <c r="CK44" i="37"/>
  <c r="CP44" i="37"/>
  <c r="CL44" i="53"/>
  <c r="CQ44" i="53"/>
  <c r="O45" i="36"/>
  <c r="CK45" i="37"/>
  <c r="CP45" i="37"/>
  <c r="AG45" i="36"/>
  <c r="AN45" i="36" s="1"/>
  <c r="AO45" i="36" s="1"/>
  <c r="AN45" i="37"/>
  <c r="AO45" i="37" s="1"/>
  <c r="BH44" i="53"/>
  <c r="AN44" i="54"/>
  <c r="CA44" i="36"/>
  <c r="T44" i="53"/>
  <c r="CJ44" i="53"/>
  <c r="CO44" i="53"/>
  <c r="AG44" i="36"/>
  <c r="AN44" i="37"/>
  <c r="CB44" i="53"/>
  <c r="CR45" i="53"/>
  <c r="CM45" i="53"/>
  <c r="M44" i="36"/>
  <c r="CJ44" i="37"/>
  <c r="T44" i="37"/>
  <c r="CO44" i="37"/>
  <c r="BA45" i="36"/>
  <c r="BH45" i="36" s="1"/>
  <c r="BI45" i="36" s="1"/>
  <c r="BH45" i="37"/>
  <c r="BI45" i="37" s="1"/>
  <c r="BC44" i="36"/>
  <c r="BW44" i="36"/>
  <c r="Q45" i="36"/>
  <c r="CQ45" i="53"/>
  <c r="CL45" i="53"/>
  <c r="CM44" i="53"/>
  <c r="CR44" i="53"/>
  <c r="BA44" i="36"/>
  <c r="BH44" i="37"/>
  <c r="BU44" i="36"/>
  <c r="CB44" i="37"/>
  <c r="CJ45" i="54"/>
  <c r="CO45" i="54"/>
  <c r="T45" i="54"/>
  <c r="S44" i="36"/>
  <c r="CM44" i="37"/>
  <c r="CR44" i="37"/>
  <c r="CJ44" i="54"/>
  <c r="T44" i="54"/>
  <c r="CO44" i="54"/>
  <c r="CM45" i="54"/>
  <c r="CR45" i="54"/>
  <c r="AK44" i="36"/>
  <c r="BY44" i="36"/>
  <c r="CK44" i="54"/>
  <c r="CP44" i="54"/>
  <c r="CB44" i="54"/>
  <c r="CK45" i="53"/>
  <c r="CP45" i="53"/>
  <c r="CQ45" i="54"/>
  <c r="CL45" i="54"/>
  <c r="AO44" i="53"/>
  <c r="Q44" i="36"/>
  <c r="CL44" i="37"/>
  <c r="CQ44" i="37"/>
  <c r="CQ44" i="54"/>
  <c r="CL44" i="54"/>
  <c r="AN45" i="53"/>
  <c r="AO45" i="53" s="1"/>
  <c r="CP45" i="54"/>
  <c r="CK45" i="54"/>
  <c r="CB44" i="36" l="1"/>
  <c r="BH44" i="36"/>
  <c r="AO44" i="54"/>
  <c r="CJ45" i="36"/>
  <c r="D28" i="40" s="1"/>
  <c r="T45" i="36"/>
  <c r="CO45" i="36"/>
  <c r="CL44" i="36"/>
  <c r="AH27" i="40" s="1"/>
  <c r="CQ44" i="36"/>
  <c r="U44" i="54"/>
  <c r="CN44" i="54"/>
  <c r="CC44" i="53"/>
  <c r="AO44" i="37"/>
  <c r="U44" i="53"/>
  <c r="CN44" i="53"/>
  <c r="BI44" i="53"/>
  <c r="CM45" i="36"/>
  <c r="AW28" i="40" s="1"/>
  <c r="CR45" i="36"/>
  <c r="CC44" i="54"/>
  <c r="CC44" i="37"/>
  <c r="BI44" i="37"/>
  <c r="T44" i="36"/>
  <c r="CJ44" i="36"/>
  <c r="CO44" i="36"/>
  <c r="AN44" i="36"/>
  <c r="CK44" i="36"/>
  <c r="CP44" i="36"/>
  <c r="BI44" i="54"/>
  <c r="U45" i="53"/>
  <c r="CS45" i="53" s="1"/>
  <c r="CN45" i="53"/>
  <c r="U45" i="37"/>
  <c r="CS45" i="37" s="1"/>
  <c r="CN45" i="37"/>
  <c r="CM44" i="36"/>
  <c r="AW27" i="40" s="1"/>
  <c r="CR44" i="36"/>
  <c r="U45" i="54"/>
  <c r="CS45" i="54" s="1"/>
  <c r="CN45" i="54"/>
  <c r="CL45" i="36"/>
  <c r="AH28" i="40" s="1"/>
  <c r="CQ45" i="36"/>
  <c r="U44" i="37"/>
  <c r="CN44" i="37"/>
  <c r="CK45" i="36"/>
  <c r="S28" i="40" s="1"/>
  <c r="CP45" i="36"/>
  <c r="AJ28" i="40" l="1"/>
  <c r="AN28" i="40" s="1"/>
  <c r="AT28" i="40" s="1"/>
  <c r="U28" i="40"/>
  <c r="Y28" i="40" s="1"/>
  <c r="AY27" i="40"/>
  <c r="BC27" i="40" s="1"/>
  <c r="BI27" i="40" s="1"/>
  <c r="BJ27" i="40" s="1"/>
  <c r="AY28" i="40"/>
  <c r="BC28" i="40" s="1"/>
  <c r="BI28" i="40" s="1"/>
  <c r="BJ28" i="40" s="1"/>
  <c r="AJ27" i="40"/>
  <c r="AN27" i="40" s="1"/>
  <c r="AT27" i="40" s="1"/>
  <c r="AU27" i="40" s="1"/>
  <c r="F28" i="40"/>
  <c r="BL28" i="40"/>
  <c r="CC44" i="36"/>
  <c r="CN44" i="36"/>
  <c r="U44" i="36"/>
  <c r="N27" i="28"/>
  <c r="AU28" i="40"/>
  <c r="D27" i="40"/>
  <c r="CS44" i="37"/>
  <c r="O27" i="28"/>
  <c r="CS44" i="53"/>
  <c r="L27" i="28"/>
  <c r="BI44" i="36"/>
  <c r="M27" i="28"/>
  <c r="Z28" i="40"/>
  <c r="S27" i="40"/>
  <c r="AO44" i="36"/>
  <c r="CS44" i="54"/>
  <c r="CN45" i="36"/>
  <c r="U45" i="36"/>
  <c r="CS45" i="36" s="1"/>
  <c r="AE28" i="40" l="1"/>
  <c r="AF28" i="40" s="1"/>
  <c r="AI27" i="28"/>
  <c r="AN27" i="28"/>
  <c r="AH27" i="28"/>
  <c r="AM27" i="28"/>
  <c r="AL27" i="28"/>
  <c r="AG27" i="28"/>
  <c r="AK27" i="28"/>
  <c r="AF27" i="28"/>
  <c r="P27" i="28"/>
  <c r="BL27" i="40"/>
  <c r="F27" i="40"/>
  <c r="D52" i="40"/>
  <c r="U27" i="40"/>
  <c r="Y27" i="40" s="1"/>
  <c r="Z27" i="40" s="1"/>
  <c r="S52" i="40"/>
  <c r="U52" i="40" s="1"/>
  <c r="Y52" i="40" s="1"/>
  <c r="CS44" i="36"/>
  <c r="BN28" i="40"/>
  <c r="J28" i="40"/>
  <c r="AO27" i="28" l="1"/>
  <c r="AJ27" i="28"/>
  <c r="BR28" i="40"/>
  <c r="K28" i="40"/>
  <c r="F52" i="40"/>
  <c r="AE27" i="40"/>
  <c r="AF27" i="40" s="1"/>
  <c r="Z52" i="40"/>
  <c r="AE52" i="40" s="1"/>
  <c r="BN27" i="40"/>
  <c r="J27" i="40"/>
  <c r="BS28" i="40" l="1"/>
  <c r="P28" i="40"/>
  <c r="J52" i="40"/>
  <c r="BR27" i="40"/>
  <c r="K27" i="40"/>
  <c r="P27" i="40" l="1"/>
  <c r="Q27" i="40" s="1"/>
  <c r="BY27" i="40" s="1"/>
  <c r="BX27" i="40"/>
  <c r="BX28" i="40"/>
  <c r="Q28" i="40"/>
  <c r="BY28" i="40" s="1"/>
  <c r="BS27" i="40"/>
  <c r="K52" i="40"/>
  <c r="BS52" i="40" s="1"/>
  <c r="P52" i="40" l="1"/>
  <c r="BC66" i="54" l="1"/>
  <c r="BC66" i="53"/>
  <c r="AK66" i="53"/>
  <c r="AM66" i="54"/>
  <c r="CA66" i="53"/>
  <c r="AM66" i="53"/>
  <c r="BE66" i="54"/>
  <c r="BY66" i="53"/>
  <c r="BW66" i="54"/>
  <c r="AI66" i="54"/>
  <c r="BW66" i="53"/>
  <c r="AI66" i="53"/>
  <c r="BG66" i="54"/>
  <c r="BG66" i="53"/>
  <c r="BE66" i="53"/>
  <c r="Q66" i="54" l="1"/>
  <c r="AK66" i="54"/>
  <c r="AN47" i="54" l="1"/>
  <c r="AG66" i="54"/>
  <c r="CR47" i="54"/>
  <c r="CM47" i="54"/>
  <c r="S66" i="54"/>
  <c r="BH47" i="54"/>
  <c r="BA66" i="54"/>
  <c r="T47" i="53"/>
  <c r="CO47" i="53"/>
  <c r="CO66" i="53" s="1"/>
  <c r="CJ47" i="53"/>
  <c r="CJ66" i="53" s="1"/>
  <c r="M66" i="53"/>
  <c r="CR47" i="53"/>
  <c r="CR66" i="53" s="1"/>
  <c r="CM47" i="53"/>
  <c r="CM66" i="53" s="1"/>
  <c r="S66" i="53"/>
  <c r="CP47" i="54"/>
  <c r="CP66" i="54" s="1"/>
  <c r="CK47" i="54"/>
  <c r="CK66" i="54" s="1"/>
  <c r="O66" i="54"/>
  <c r="AN47" i="53"/>
  <c r="AG66" i="53"/>
  <c r="CA47" i="36"/>
  <c r="CB47" i="53"/>
  <c r="BU66" i="53"/>
  <c r="CP47" i="53"/>
  <c r="CP66" i="53" s="1"/>
  <c r="CK47" i="53"/>
  <c r="CK66" i="53" s="1"/>
  <c r="O66" i="53"/>
  <c r="T47" i="54"/>
  <c r="CO47" i="54"/>
  <c r="CO66" i="54" s="1"/>
  <c r="CJ47" i="54"/>
  <c r="CJ66" i="54" s="1"/>
  <c r="M66" i="54"/>
  <c r="CL47" i="54"/>
  <c r="CQ47" i="53"/>
  <c r="CQ66" i="53" s="1"/>
  <c r="CL47" i="53"/>
  <c r="CL66" i="53" s="1"/>
  <c r="Q66" i="53"/>
  <c r="BY47" i="36"/>
  <c r="BH47" i="53"/>
  <c r="BA66" i="53"/>
  <c r="CQ47" i="54"/>
  <c r="CB47" i="54"/>
  <c r="CC47" i="54" s="1"/>
  <c r="BU66" i="54"/>
  <c r="AM47" i="36" l="1"/>
  <c r="AM66" i="36" s="1"/>
  <c r="AM66" i="37"/>
  <c r="AG47" i="36"/>
  <c r="AN47" i="37"/>
  <c r="AG66" i="37"/>
  <c r="CB46" i="54"/>
  <c r="CQ46" i="54"/>
  <c r="CQ66" i="54" s="1"/>
  <c r="CL46" i="54"/>
  <c r="CL66" i="54" s="1"/>
  <c r="BY66" i="54"/>
  <c r="U47" i="53"/>
  <c r="U66" i="53" s="1"/>
  <c r="CN47" i="53"/>
  <c r="T66" i="53"/>
  <c r="Q47" i="36"/>
  <c r="CL47" i="37"/>
  <c r="CQ47" i="37"/>
  <c r="Q66" i="37"/>
  <c r="BY46" i="36"/>
  <c r="CL46" i="37"/>
  <c r="CB46" i="37"/>
  <c r="CQ46" i="37"/>
  <c r="BY66" i="37"/>
  <c r="O47" i="36"/>
  <c r="CK47" i="37"/>
  <c r="CK66" i="37" s="1"/>
  <c r="CP47" i="37"/>
  <c r="CP66" i="37" s="1"/>
  <c r="O66" i="37"/>
  <c r="BI47" i="54"/>
  <c r="BI66" i="54" s="1"/>
  <c r="BH66" i="54"/>
  <c r="CR46" i="54"/>
  <c r="CR66" i="54" s="1"/>
  <c r="CM46" i="54"/>
  <c r="CM66" i="54" s="1"/>
  <c r="CA66" i="54"/>
  <c r="AI47" i="36"/>
  <c r="AI66" i="36" s="1"/>
  <c r="AI66" i="37"/>
  <c r="BC47" i="36"/>
  <c r="BC66" i="36" s="1"/>
  <c r="BC66" i="37"/>
  <c r="CA46" i="36"/>
  <c r="CM46" i="37"/>
  <c r="CR46" i="37"/>
  <c r="CA66" i="37"/>
  <c r="BG47" i="36"/>
  <c r="BG66" i="36" s="1"/>
  <c r="BG66" i="37"/>
  <c r="CC47" i="53"/>
  <c r="CC66" i="53" s="1"/>
  <c r="CB66" i="53"/>
  <c r="BE47" i="36"/>
  <c r="BE66" i="36" s="1"/>
  <c r="BE66" i="37"/>
  <c r="BU47" i="36"/>
  <c r="CB47" i="37"/>
  <c r="CC47" i="37" s="1"/>
  <c r="BU66" i="37"/>
  <c r="U47" i="54"/>
  <c r="U66" i="54" s="1"/>
  <c r="CN47" i="54"/>
  <c r="T66" i="54"/>
  <c r="BI47" i="53"/>
  <c r="BI66" i="53" s="1"/>
  <c r="BH66" i="53"/>
  <c r="M47" i="36"/>
  <c r="CJ47" i="37"/>
  <c r="CJ66" i="37" s="1"/>
  <c r="T47" i="37"/>
  <c r="CO47" i="37"/>
  <c r="CO66" i="37" s="1"/>
  <c r="M66" i="37"/>
  <c r="BW47" i="36"/>
  <c r="BW66" i="36" s="1"/>
  <c r="BW66" i="37"/>
  <c r="S47" i="36"/>
  <c r="CM47" i="37"/>
  <c r="CR47" i="37"/>
  <c r="S66" i="37"/>
  <c r="AO47" i="53"/>
  <c r="AN66" i="53"/>
  <c r="AK47" i="36"/>
  <c r="AK66" i="36" s="1"/>
  <c r="AK66" i="37"/>
  <c r="BA47" i="36"/>
  <c r="BH47" i="37"/>
  <c r="BA66" i="37"/>
  <c r="AO47" i="54"/>
  <c r="AO66" i="54" s="1"/>
  <c r="AN66" i="54"/>
  <c r="CL66" i="37" l="1"/>
  <c r="CQ66" i="37"/>
  <c r="CS47" i="53"/>
  <c r="AO66" i="53"/>
  <c r="CS66" i="53" s="1"/>
  <c r="AO47" i="37"/>
  <c r="AO66" i="37" s="1"/>
  <c r="AN66" i="37"/>
  <c r="U47" i="37"/>
  <c r="U66" i="37" s="1"/>
  <c r="CN47" i="37"/>
  <c r="T66" i="37"/>
  <c r="CS47" i="54"/>
  <c r="CC46" i="37"/>
  <c r="CN46" i="37"/>
  <c r="CB66" i="37"/>
  <c r="AN47" i="36"/>
  <c r="AG66" i="36"/>
  <c r="BI47" i="37"/>
  <c r="BI66" i="37" s="1"/>
  <c r="BH66" i="37"/>
  <c r="CB47" i="36"/>
  <c r="CC47" i="36" s="1"/>
  <c r="BU66" i="36"/>
  <c r="CR66" i="37"/>
  <c r="CK47" i="36"/>
  <c r="CP47" i="36"/>
  <c r="O66" i="36"/>
  <c r="CC46" i="54"/>
  <c r="CN46" i="54"/>
  <c r="CB66" i="54"/>
  <c r="CM47" i="36"/>
  <c r="AW30" i="40" s="1"/>
  <c r="CR47" i="36"/>
  <c r="S66" i="36"/>
  <c r="CM46" i="36"/>
  <c r="AW29" i="40" s="1"/>
  <c r="CR46" i="36"/>
  <c r="CA66" i="36"/>
  <c r="BH47" i="36"/>
  <c r="BA66" i="36"/>
  <c r="T47" i="36"/>
  <c r="CJ47" i="36"/>
  <c r="CO47" i="36"/>
  <c r="M66" i="36"/>
  <c r="CM66" i="37"/>
  <c r="CL46" i="36"/>
  <c r="AH29" i="40" s="1"/>
  <c r="CB46" i="36"/>
  <c r="CQ46" i="36"/>
  <c r="BY66" i="36"/>
  <c r="CL47" i="36"/>
  <c r="AH30" i="40" s="1"/>
  <c r="CQ47" i="36"/>
  <c r="Q66" i="36"/>
  <c r="AJ30" i="40" l="1"/>
  <c r="AN30" i="40" s="1"/>
  <c r="AT30" i="40" s="1"/>
  <c r="AY30" i="40"/>
  <c r="BC30" i="40" s="1"/>
  <c r="BI30" i="40" s="1"/>
  <c r="AY29" i="40"/>
  <c r="BC29" i="40" s="1"/>
  <c r="BI29" i="40" s="1"/>
  <c r="AW45" i="40"/>
  <c r="AY45" i="40" s="1"/>
  <c r="BC45" i="40" s="1"/>
  <c r="BI45" i="40" s="1"/>
  <c r="BJ45" i="40" s="1"/>
  <c r="AW52" i="40"/>
  <c r="AY52" i="40" s="1"/>
  <c r="BC52" i="40" s="1"/>
  <c r="BI52" i="40" s="1"/>
  <c r="AJ29" i="40"/>
  <c r="BL29" i="40"/>
  <c r="AH52" i="40"/>
  <c r="AH45" i="40"/>
  <c r="AJ45" i="40" s="1"/>
  <c r="AN45" i="40" s="1"/>
  <c r="AT45" i="40" s="1"/>
  <c r="AU45" i="40" s="1"/>
  <c r="CS47" i="37"/>
  <c r="CC46" i="36"/>
  <c r="CN46" i="36"/>
  <c r="CB66" i="36"/>
  <c r="CL66" i="36"/>
  <c r="D30" i="40"/>
  <c r="CJ66" i="36"/>
  <c r="O28" i="28"/>
  <c r="BJ30" i="40"/>
  <c r="CS46" i="54"/>
  <c r="CC66" i="54"/>
  <c r="CS66" i="54" s="1"/>
  <c r="AO47" i="36"/>
  <c r="AO66" i="36" s="1"/>
  <c r="AN66" i="36"/>
  <c r="N28" i="28"/>
  <c r="AU30" i="40"/>
  <c r="L28" i="28"/>
  <c r="CO66" i="36"/>
  <c r="BI47" i="36"/>
  <c r="BI66" i="36" s="1"/>
  <c r="BH66" i="36"/>
  <c r="S30" i="40"/>
  <c r="CK66" i="36"/>
  <c r="CS46" i="37"/>
  <c r="CC66" i="37"/>
  <c r="CS66" i="37" s="1"/>
  <c r="CN47" i="36"/>
  <c r="U47" i="36"/>
  <c r="U66" i="36" s="1"/>
  <c r="T66" i="36"/>
  <c r="BJ29" i="40"/>
  <c r="CR66" i="36"/>
  <c r="E39" i="6" s="1"/>
  <c r="CQ66" i="36"/>
  <c r="D39" i="6" s="1"/>
  <c r="CM66" i="36"/>
  <c r="M28" i="28"/>
  <c r="CP66" i="36"/>
  <c r="AI28" i="28" l="1"/>
  <c r="AN28" i="28"/>
  <c r="AJ52" i="40"/>
  <c r="BL52" i="40"/>
  <c r="AN29" i="40"/>
  <c r="BN29" i="40"/>
  <c r="AH28" i="28"/>
  <c r="AM28" i="28"/>
  <c r="D21" i="6"/>
  <c r="B44" i="7"/>
  <c r="CS47" i="36"/>
  <c r="P28" i="28"/>
  <c r="AF28" i="28"/>
  <c r="AK28" i="28"/>
  <c r="C21" i="6"/>
  <c r="B43" i="7"/>
  <c r="C39" i="6"/>
  <c r="B45" i="7"/>
  <c r="E21" i="6"/>
  <c r="B42" i="7"/>
  <c r="B39" i="6"/>
  <c r="B21" i="6"/>
  <c r="AG28" i="28"/>
  <c r="AL28" i="28"/>
  <c r="U30" i="40"/>
  <c r="Y30" i="40" s="1"/>
  <c r="Z30" i="40" s="1"/>
  <c r="S45" i="40"/>
  <c r="U45" i="40" s="1"/>
  <c r="Y45" i="40" s="1"/>
  <c r="BL30" i="40"/>
  <c r="F30" i="40"/>
  <c r="D45" i="40"/>
  <c r="CS46" i="36"/>
  <c r="CC66" i="36"/>
  <c r="CS66" i="36" s="1"/>
  <c r="AT29" i="40" l="1"/>
  <c r="BR29" i="40"/>
  <c r="AN52" i="40"/>
  <c r="BN52" i="40"/>
  <c r="AJ28" i="28"/>
  <c r="AO28" i="28"/>
  <c r="BL45" i="40"/>
  <c r="F45" i="40"/>
  <c r="AE30" i="40"/>
  <c r="Z45" i="40"/>
  <c r="AE45" i="40" s="1"/>
  <c r="AF45" i="40" s="1"/>
  <c r="BN30" i="40"/>
  <c r="J30" i="40"/>
  <c r="AF30" i="40" l="1"/>
  <c r="AT52" i="40"/>
  <c r="BX52" i="40" s="1"/>
  <c r="BR52" i="40"/>
  <c r="BX29" i="40"/>
  <c r="AU29" i="40"/>
  <c r="BY29" i="40" s="1"/>
  <c r="BR30" i="40"/>
  <c r="K30" i="40"/>
  <c r="BN45" i="40"/>
  <c r="J45" i="40"/>
  <c r="P30" i="40" l="1"/>
  <c r="Q52" i="40" s="1"/>
  <c r="Q53" i="40" s="1"/>
  <c r="BR45" i="40"/>
  <c r="BS30" i="40"/>
  <c r="K45" i="40"/>
  <c r="BS45" i="40" s="1"/>
  <c r="Q30" i="40" l="1"/>
  <c r="BY30" i="40" s="1"/>
  <c r="BX30" i="40"/>
  <c r="P45" i="40"/>
  <c r="Q54" i="40" s="1"/>
  <c r="BX45" i="40" l="1"/>
  <c r="Q45" i="40"/>
  <c r="BY45" i="40" s="1"/>
  <c r="BE23" i="53" l="1"/>
  <c r="AM23" i="54"/>
  <c r="BC23" i="53"/>
  <c r="BG23" i="53"/>
  <c r="BE23" i="54"/>
  <c r="BW23" i="53"/>
  <c r="AI23" i="53"/>
  <c r="BC23" i="54"/>
  <c r="AK23" i="54"/>
  <c r="AK23" i="53"/>
  <c r="BG23" i="54"/>
  <c r="CA23" i="54"/>
  <c r="BY23" i="54"/>
  <c r="CA23" i="53"/>
  <c r="AM23" i="53"/>
  <c r="BW23" i="54"/>
  <c r="AI23" i="54"/>
  <c r="BY23" i="53"/>
  <c r="AI22" i="36" l="1"/>
  <c r="AI23" i="36" s="1"/>
  <c r="AI23" i="37"/>
  <c r="BW22" i="36"/>
  <c r="BW23" i="36" s="1"/>
  <c r="BW23" i="37"/>
  <c r="BY22" i="36"/>
  <c r="BY23" i="36" s="1"/>
  <c r="BY23" i="37"/>
  <c r="BA23" i="37"/>
  <c r="BA22" i="36"/>
  <c r="BH22" i="37"/>
  <c r="BI22" i="37" s="1"/>
  <c r="CJ22" i="37"/>
  <c r="M22" i="36"/>
  <c r="T22" i="37"/>
  <c r="M23" i="37"/>
  <c r="CO22" i="37"/>
  <c r="CP22" i="54"/>
  <c r="CK22" i="54"/>
  <c r="O23" i="54"/>
  <c r="CO22" i="54"/>
  <c r="T22" i="54"/>
  <c r="CJ22" i="54"/>
  <c r="M23" i="54"/>
  <c r="S23" i="53"/>
  <c r="CM22" i="53"/>
  <c r="CR22" i="53"/>
  <c r="AN22" i="54"/>
  <c r="AO22" i="54" s="1"/>
  <c r="AG23" i="54"/>
  <c r="AN23" i="54" s="1"/>
  <c r="AO23" i="54" s="1"/>
  <c r="BG22" i="36"/>
  <c r="BG23" i="36" s="1"/>
  <c r="BG23" i="37"/>
  <c r="CP22" i="37"/>
  <c r="O22" i="36"/>
  <c r="CK22" i="37"/>
  <c r="O23" i="37"/>
  <c r="CA22" i="36"/>
  <c r="CA23" i="36" s="1"/>
  <c r="CA23" i="37"/>
  <c r="CQ22" i="37"/>
  <c r="CL22" i="37"/>
  <c r="Q22" i="36"/>
  <c r="Q23" i="37"/>
  <c r="CL22" i="54"/>
  <c r="Q23" i="54"/>
  <c r="CQ22" i="54"/>
  <c r="AG23" i="37"/>
  <c r="AG22" i="36"/>
  <c r="AN22" i="37"/>
  <c r="AO22" i="37" s="1"/>
  <c r="CO22" i="53"/>
  <c r="T22" i="53"/>
  <c r="CJ22" i="53"/>
  <c r="M23" i="53"/>
  <c r="BH22" i="54"/>
  <c r="BI22" i="54" s="1"/>
  <c r="BA23" i="54"/>
  <c r="BH23" i="54" s="1"/>
  <c r="BI23" i="54" s="1"/>
  <c r="S22" i="36"/>
  <c r="CM22" i="37"/>
  <c r="S23" i="37"/>
  <c r="CR22" i="37"/>
  <c r="CR22" i="54"/>
  <c r="CM22" i="54"/>
  <c r="S23" i="54"/>
  <c r="AK22" i="36"/>
  <c r="AK23" i="36" s="1"/>
  <c r="AK23" i="37"/>
  <c r="CB22" i="53"/>
  <c r="CC22" i="53" s="1"/>
  <c r="BU23" i="53"/>
  <c r="CB23" i="53" s="1"/>
  <c r="CC23" i="53" s="1"/>
  <c r="BE22" i="36"/>
  <c r="BE23" i="36" s="1"/>
  <c r="BE23" i="37"/>
  <c r="BU23" i="54"/>
  <c r="CB23" i="54" s="1"/>
  <c r="CC23" i="54" s="1"/>
  <c r="CB22" i="54"/>
  <c r="CC22" i="54" s="1"/>
  <c r="CP22" i="53"/>
  <c r="CK22" i="53"/>
  <c r="O23" i="53"/>
  <c r="BH22" i="53"/>
  <c r="BI22" i="53" s="1"/>
  <c r="BA23" i="53"/>
  <c r="BH23" i="53" s="1"/>
  <c r="BI23" i="53" s="1"/>
  <c r="CQ22" i="53"/>
  <c r="Q23" i="53"/>
  <c r="CL22" i="53"/>
  <c r="BU22" i="36"/>
  <c r="BU23" i="37"/>
  <c r="CB22" i="37"/>
  <c r="CC22" i="37" s="1"/>
  <c r="AM22" i="36"/>
  <c r="AM23" i="36" s="1"/>
  <c r="AM23" i="37"/>
  <c r="AG23" i="53"/>
  <c r="AN23" i="53" s="1"/>
  <c r="AO23" i="53" s="1"/>
  <c r="AN22" i="53"/>
  <c r="AO22" i="53" s="1"/>
  <c r="BC22" i="36"/>
  <c r="BC23" i="36" s="1"/>
  <c r="BC23" i="37"/>
  <c r="CJ23" i="53" l="1"/>
  <c r="T23" i="53"/>
  <c r="CO23" i="53"/>
  <c r="CL23" i="54"/>
  <c r="CQ23" i="54"/>
  <c r="CB23" i="37"/>
  <c r="CC23" i="37" s="1"/>
  <c r="CM22" i="36"/>
  <c r="CR22" i="36"/>
  <c r="S23" i="36"/>
  <c r="AN22" i="36"/>
  <c r="AO22" i="36" s="1"/>
  <c r="AG23" i="36"/>
  <c r="AN23" i="36" s="1"/>
  <c r="AO23" i="36" s="1"/>
  <c r="CN22" i="54"/>
  <c r="U22" i="54"/>
  <c r="CS22" i="54" s="1"/>
  <c r="T22" i="36"/>
  <c r="CO22" i="36"/>
  <c r="M23" i="36"/>
  <c r="CJ22" i="36"/>
  <c r="BH23" i="37"/>
  <c r="BI23" i="37" s="1"/>
  <c r="CK23" i="53"/>
  <c r="CP23" i="53"/>
  <c r="CP23" i="37"/>
  <c r="CK23" i="37"/>
  <c r="U22" i="37"/>
  <c r="CS22" i="37" s="1"/>
  <c r="CN22" i="37"/>
  <c r="BA23" i="36"/>
  <c r="BH23" i="36" s="1"/>
  <c r="BI23" i="36" s="1"/>
  <c r="BH22" i="36"/>
  <c r="BI22" i="36" s="1"/>
  <c r="CB22" i="36"/>
  <c r="CC22" i="36" s="1"/>
  <c r="BU23" i="36"/>
  <c r="CB23" i="36" s="1"/>
  <c r="CC23" i="36" s="1"/>
  <c r="U22" i="53"/>
  <c r="CS22" i="53" s="1"/>
  <c r="CN22" i="53"/>
  <c r="AN23" i="37"/>
  <c r="AO23" i="37" s="1"/>
  <c r="CL23" i="37"/>
  <c r="CQ23" i="37"/>
  <c r="CK22" i="36"/>
  <c r="O23" i="36"/>
  <c r="CP22" i="36"/>
  <c r="CM23" i="53"/>
  <c r="CR23" i="53"/>
  <c r="CL23" i="53"/>
  <c r="CQ23" i="53"/>
  <c r="CR23" i="54"/>
  <c r="CM23" i="54"/>
  <c r="CM23" i="37"/>
  <c r="CR23" i="37"/>
  <c r="CQ22" i="36"/>
  <c r="CL22" i="36"/>
  <c r="Q23" i="36"/>
  <c r="CO23" i="54"/>
  <c r="CJ23" i="54"/>
  <c r="T23" i="54"/>
  <c r="CP23" i="54"/>
  <c r="CK23" i="54"/>
  <c r="CO23" i="37"/>
  <c r="T23" i="37"/>
  <c r="CJ23" i="37"/>
  <c r="CN22" i="36" l="1"/>
  <c r="U22" i="36"/>
  <c r="CS22" i="36" s="1"/>
  <c r="CN23" i="53"/>
  <c r="U23" i="53"/>
  <c r="CS23" i="53" s="1"/>
  <c r="U23" i="37"/>
  <c r="CS23" i="37" s="1"/>
  <c r="CN23" i="37"/>
  <c r="CP23" i="36"/>
  <c r="CK23" i="36"/>
  <c r="CR23" i="36"/>
  <c r="CM23" i="36"/>
  <c r="U23" i="54"/>
  <c r="CS23" i="54" s="1"/>
  <c r="CN23" i="54"/>
  <c r="CL23" i="36"/>
  <c r="CQ23" i="36"/>
  <c r="CO23" i="36"/>
  <c r="T23" i="36"/>
  <c r="CJ23" i="36"/>
  <c r="E32" i="6" l="1"/>
  <c r="C45" i="7"/>
  <c r="C42" i="7"/>
  <c r="B32" i="6"/>
  <c r="D32" i="6"/>
  <c r="C44" i="7"/>
  <c r="C32" i="6"/>
  <c r="C43" i="7"/>
  <c r="CN23" i="36"/>
  <c r="U23" i="36"/>
  <c r="CS23" i="36" s="1"/>
  <c r="CP25" i="53" l="1"/>
  <c r="CF25" i="53"/>
  <c r="CR25" i="53"/>
  <c r="CH25" i="53"/>
  <c r="BS25" i="37"/>
  <c r="CE25" i="37"/>
  <c r="BK25" i="36"/>
  <c r="CO25" i="37"/>
  <c r="CP25" i="54"/>
  <c r="CF25" i="54"/>
  <c r="CG25" i="37"/>
  <c r="CQ25" i="37"/>
  <c r="BO25" i="36"/>
  <c r="CH25" i="54"/>
  <c r="CR25" i="54"/>
  <c r="BL25" i="36"/>
  <c r="BP25" i="36"/>
  <c r="BS25" i="53"/>
  <c r="CO25" i="53"/>
  <c r="CE25" i="53"/>
  <c r="BN25" i="36"/>
  <c r="CQ25" i="53"/>
  <c r="CG25" i="53"/>
  <c r="BR25" i="36"/>
  <c r="CE25" i="54"/>
  <c r="BS25" i="54"/>
  <c r="CO25" i="54"/>
  <c r="BM25" i="36"/>
  <c r="CP25" i="37"/>
  <c r="CF25" i="37"/>
  <c r="CQ25" i="54"/>
  <c r="CG25" i="54"/>
  <c r="CR25" i="37"/>
  <c r="CH25" i="37"/>
  <c r="BQ25" i="36"/>
  <c r="CF25" i="36" l="1"/>
  <c r="CP25" i="36"/>
  <c r="CC25" i="37"/>
  <c r="CS25" i="37" s="1"/>
  <c r="CI25" i="37"/>
  <c r="CC25" i="54"/>
  <c r="CS25" i="54" s="1"/>
  <c r="CI25" i="54"/>
  <c r="CC25" i="53"/>
  <c r="CS25" i="53" s="1"/>
  <c r="CI25" i="53"/>
  <c r="CG25" i="36"/>
  <c r="CQ25" i="36"/>
  <c r="CH25" i="36"/>
  <c r="CR25" i="36"/>
  <c r="CE25" i="36"/>
  <c r="BS25" i="36"/>
  <c r="CO25" i="36"/>
  <c r="CC25" i="36" l="1"/>
  <c r="CS25" i="36" s="1"/>
  <c r="CI25" i="36"/>
  <c r="BT30" i="53" l="1"/>
  <c r="AJ30" i="53"/>
  <c r="AJ32" i="53" s="1"/>
  <c r="O30" i="54"/>
  <c r="O32" i="54" s="1"/>
  <c r="BY30" i="54"/>
  <c r="BY32" i="54" s="1"/>
  <c r="AG30" i="54"/>
  <c r="AG32" i="54" s="1"/>
  <c r="BB30" i="53"/>
  <c r="BB32" i="53" s="1"/>
  <c r="BB30" i="54"/>
  <c r="BB32" i="54" s="1"/>
  <c r="BC30" i="53"/>
  <c r="BC32" i="53" s="1"/>
  <c r="BC30" i="54"/>
  <c r="BC32" i="54" s="1"/>
  <c r="BX30" i="53"/>
  <c r="BX32" i="53" s="1"/>
  <c r="AK30" i="54"/>
  <c r="AK32" i="54" s="1"/>
  <c r="BF30" i="53"/>
  <c r="BF32" i="53" s="1"/>
  <c r="BU30" i="54"/>
  <c r="BU32" i="54" s="1"/>
  <c r="BE30" i="53"/>
  <c r="BE32" i="53" s="1"/>
  <c r="M30" i="53"/>
  <c r="M32" i="53" s="1"/>
  <c r="BE30" i="54"/>
  <c r="BE32" i="54" s="1"/>
  <c r="M30" i="54"/>
  <c r="M32" i="54" s="1"/>
  <c r="AH30" i="54"/>
  <c r="AH32" i="54" s="1"/>
  <c r="AI30" i="53"/>
  <c r="AI32" i="53" s="1"/>
  <c r="BG30" i="53"/>
  <c r="BG32" i="53" s="1"/>
  <c r="BX30" i="54"/>
  <c r="BX32" i="54" s="1"/>
  <c r="Q30" i="53"/>
  <c r="Q32" i="53" s="1"/>
  <c r="BP30" i="54"/>
  <c r="BP32" i="54" s="1"/>
  <c r="BF30" i="54"/>
  <c r="BF32" i="54" s="1"/>
  <c r="BA30" i="53"/>
  <c r="BA32" i="53" s="1"/>
  <c r="AJ30" i="54"/>
  <c r="AJ32" i="54" s="1"/>
  <c r="BZ30" i="53"/>
  <c r="BZ32" i="53" s="1"/>
  <c r="S30" i="53"/>
  <c r="S32" i="53" s="1"/>
  <c r="AH30" i="53"/>
  <c r="AH32" i="53" s="1"/>
  <c r="AK30" i="53"/>
  <c r="AK32" i="53" s="1"/>
  <c r="BZ30" i="54"/>
  <c r="BZ32" i="54" s="1"/>
  <c r="BU30" i="53"/>
  <c r="BU32" i="53" s="1"/>
  <c r="AI30" i="54"/>
  <c r="AI32" i="54" s="1"/>
  <c r="BN30" i="53"/>
  <c r="BN32" i="53" s="1"/>
  <c r="BD30" i="53"/>
  <c r="BD32" i="53" s="1"/>
  <c r="S30" i="54"/>
  <c r="S32" i="54" s="1"/>
  <c r="Q30" i="54"/>
  <c r="Q32" i="54" s="1"/>
  <c r="AL30" i="53"/>
  <c r="AL32" i="53" s="1"/>
  <c r="CA30" i="54"/>
  <c r="CA32" i="54" s="1"/>
  <c r="BA30" i="54"/>
  <c r="BA32" i="54" s="1"/>
  <c r="AM30" i="54"/>
  <c r="AM32" i="54" s="1"/>
  <c r="BV30" i="53"/>
  <c r="BV32" i="53" s="1"/>
  <c r="AM30" i="53"/>
  <c r="AM32" i="53" s="1"/>
  <c r="BW30" i="53"/>
  <c r="BW32" i="53" s="1"/>
  <c r="CA30" i="53"/>
  <c r="CA32" i="53" s="1"/>
  <c r="BW30" i="54"/>
  <c r="BW32" i="54" s="1"/>
  <c r="AR30" i="53"/>
  <c r="AR32" i="53" s="1"/>
  <c r="BG30" i="54"/>
  <c r="BG32" i="54" s="1"/>
  <c r="O30" i="53"/>
  <c r="O32" i="53" s="1"/>
  <c r="BD30" i="54"/>
  <c r="BD32" i="54" s="1"/>
  <c r="BY30" i="53"/>
  <c r="BY32" i="53" s="1"/>
  <c r="AL30" i="54"/>
  <c r="AL32" i="54" s="1"/>
  <c r="AG30" i="53"/>
  <c r="AG32" i="53" s="1"/>
  <c r="BV30" i="54"/>
  <c r="BV32" i="54" s="1"/>
  <c r="AM30" i="37" l="1"/>
  <c r="AM32" i="37" s="1"/>
  <c r="AM29" i="36"/>
  <c r="AM30" i="36" s="1"/>
  <c r="AM32" i="36" s="1"/>
  <c r="BF95" i="54"/>
  <c r="BF94" i="54"/>
  <c r="BF96" i="54"/>
  <c r="BF97" i="54"/>
  <c r="CK29" i="53"/>
  <c r="N30" i="53"/>
  <c r="P30" i="53"/>
  <c r="CL29" i="53"/>
  <c r="AL96" i="54"/>
  <c r="AL95" i="54"/>
  <c r="AL94" i="54"/>
  <c r="AL97" i="54"/>
  <c r="AG29" i="36"/>
  <c r="AG30" i="36" s="1"/>
  <c r="AG32" i="36" s="1"/>
  <c r="AG30" i="37"/>
  <c r="AG32" i="37" s="1"/>
  <c r="AH97" i="53"/>
  <c r="AH94" i="53"/>
  <c r="AH95" i="53"/>
  <c r="AH96" i="53"/>
  <c r="AF30" i="54"/>
  <c r="AN29" i="54"/>
  <c r="AL29" i="36"/>
  <c r="AL30" i="36" s="1"/>
  <c r="AL32" i="36" s="1"/>
  <c r="AL30" i="37"/>
  <c r="AL32" i="37" s="1"/>
  <c r="AH30" i="37"/>
  <c r="AH32" i="37" s="1"/>
  <c r="AH29" i="36"/>
  <c r="AH30" i="36" s="1"/>
  <c r="AH32" i="36" s="1"/>
  <c r="BF97" i="53"/>
  <c r="BF94" i="53"/>
  <c r="BF96" i="53"/>
  <c r="BF95" i="53"/>
  <c r="AZ30" i="53"/>
  <c r="BH29" i="53"/>
  <c r="BZ29" i="36"/>
  <c r="BZ30" i="36" s="1"/>
  <c r="BZ32" i="36" s="1"/>
  <c r="BZ30" i="37"/>
  <c r="BZ32" i="37" s="1"/>
  <c r="BB94" i="53"/>
  <c r="BB95" i="53"/>
  <c r="BB96" i="53"/>
  <c r="BB97" i="53"/>
  <c r="M29" i="36"/>
  <c r="M30" i="36" s="1"/>
  <c r="M32" i="36" s="1"/>
  <c r="M30" i="37"/>
  <c r="M32" i="37" s="1"/>
  <c r="CB29" i="37"/>
  <c r="BT30" i="37"/>
  <c r="BT29" i="36"/>
  <c r="AZ30" i="54"/>
  <c r="BH29" i="54"/>
  <c r="BV94" i="53"/>
  <c r="BV97" i="53"/>
  <c r="BV96" i="53"/>
  <c r="BV95" i="53"/>
  <c r="AJ95" i="54"/>
  <c r="AJ94" i="54"/>
  <c r="AJ97" i="54"/>
  <c r="AJ96" i="54"/>
  <c r="AI29" i="36"/>
  <c r="AI30" i="36" s="1"/>
  <c r="AI32" i="36" s="1"/>
  <c r="AI30" i="37"/>
  <c r="AI32" i="37" s="1"/>
  <c r="BU29" i="36"/>
  <c r="BU30" i="36" s="1"/>
  <c r="BU32" i="36" s="1"/>
  <c r="BU30" i="37"/>
  <c r="BU32" i="37" s="1"/>
  <c r="CL29" i="37"/>
  <c r="P30" i="37"/>
  <c r="P29" i="36"/>
  <c r="R30" i="53"/>
  <c r="CM29" i="53"/>
  <c r="L30" i="53"/>
  <c r="CJ29" i="53"/>
  <c r="T29" i="53"/>
  <c r="BB29" i="36"/>
  <c r="BB30" i="36" s="1"/>
  <c r="BB32" i="36" s="1"/>
  <c r="BB30" i="37"/>
  <c r="BB32" i="37" s="1"/>
  <c r="L30" i="54"/>
  <c r="T29" i="54"/>
  <c r="CJ29" i="54"/>
  <c r="CM29" i="37"/>
  <c r="R30" i="37"/>
  <c r="R29" i="36"/>
  <c r="BX29" i="36"/>
  <c r="BX30" i="36" s="1"/>
  <c r="BX32" i="36" s="1"/>
  <c r="BX30" i="37"/>
  <c r="BX32" i="37" s="1"/>
  <c r="BY30" i="37"/>
  <c r="BY32" i="37" s="1"/>
  <c r="BY29" i="36"/>
  <c r="BY30" i="36" s="1"/>
  <c r="BY32" i="36" s="1"/>
  <c r="BD96" i="53"/>
  <c r="BD97" i="53"/>
  <c r="BD94" i="53"/>
  <c r="BD95" i="53"/>
  <c r="BC30" i="37"/>
  <c r="BC32" i="37" s="1"/>
  <c r="BC29" i="36"/>
  <c r="BC30" i="36" s="1"/>
  <c r="BC32" i="36" s="1"/>
  <c r="BV30" i="37"/>
  <c r="BV32" i="37" s="1"/>
  <c r="BV29" i="36"/>
  <c r="BV30" i="36" s="1"/>
  <c r="BV32" i="36" s="1"/>
  <c r="CJ29" i="37"/>
  <c r="T29" i="37"/>
  <c r="L30" i="37"/>
  <c r="L29" i="36"/>
  <c r="BX95" i="54"/>
  <c r="BX94" i="54"/>
  <c r="BX97" i="54"/>
  <c r="BX96" i="54"/>
  <c r="BA30" i="37"/>
  <c r="BA32" i="37" s="1"/>
  <c r="BA29" i="36"/>
  <c r="BA30" i="36" s="1"/>
  <c r="BA32" i="36" s="1"/>
  <c r="AF30" i="53"/>
  <c r="AN29" i="53"/>
  <c r="Q30" i="37"/>
  <c r="Q32" i="37" s="1"/>
  <c r="Q29" i="36"/>
  <c r="Q30" i="36" s="1"/>
  <c r="Q32" i="36" s="1"/>
  <c r="BB94" i="54"/>
  <c r="BB95" i="54"/>
  <c r="BB97" i="54"/>
  <c r="BB96" i="54"/>
  <c r="CM29" i="54"/>
  <c r="R30" i="54"/>
  <c r="BW29" i="36"/>
  <c r="BW30" i="36" s="1"/>
  <c r="BW32" i="36" s="1"/>
  <c r="BW30" i="37"/>
  <c r="BW32" i="37" s="1"/>
  <c r="BE29" i="36"/>
  <c r="BE30" i="36" s="1"/>
  <c r="BE32" i="36" s="1"/>
  <c r="BE30" i="37"/>
  <c r="BE32" i="37" s="1"/>
  <c r="CB29" i="53"/>
  <c r="CA30" i="37"/>
  <c r="CA32" i="37" s="1"/>
  <c r="CA29" i="36"/>
  <c r="CA30" i="36" s="1"/>
  <c r="CA32" i="36" s="1"/>
  <c r="AJ29" i="36"/>
  <c r="AJ30" i="36" s="1"/>
  <c r="AJ32" i="36" s="1"/>
  <c r="AJ30" i="37"/>
  <c r="AJ32" i="37" s="1"/>
  <c r="AL96" i="53"/>
  <c r="AL97" i="53"/>
  <c r="AL95" i="53"/>
  <c r="AL94" i="53"/>
  <c r="CK29" i="54"/>
  <c r="N30" i="54"/>
  <c r="BF29" i="36"/>
  <c r="BF30" i="36" s="1"/>
  <c r="BF32" i="36" s="1"/>
  <c r="BF30" i="37"/>
  <c r="BF32" i="37" s="1"/>
  <c r="BT30" i="54"/>
  <c r="CB29" i="54"/>
  <c r="AJ96" i="53"/>
  <c r="AJ97" i="53"/>
  <c r="AJ95" i="53"/>
  <c r="AJ94" i="53"/>
  <c r="BV94" i="54"/>
  <c r="BV97" i="54"/>
  <c r="BV95" i="54"/>
  <c r="BV96" i="54"/>
  <c r="BZ96" i="54"/>
  <c r="BZ97" i="54"/>
  <c r="BZ95" i="54"/>
  <c r="BZ94" i="54"/>
  <c r="BD94" i="54"/>
  <c r="BD96" i="54"/>
  <c r="BD95" i="54"/>
  <c r="BD97" i="54"/>
  <c r="N29" i="36"/>
  <c r="N30" i="37"/>
  <c r="CK29" i="37"/>
  <c r="BQ30" i="37"/>
  <c r="BQ32" i="37" s="1"/>
  <c r="O29" i="36"/>
  <c r="O30" i="36" s="1"/>
  <c r="O32" i="36" s="1"/>
  <c r="O30" i="37"/>
  <c r="O32" i="37" s="1"/>
  <c r="CL29" i="54"/>
  <c r="P30" i="54"/>
  <c r="BZ96" i="53"/>
  <c r="BZ95" i="53"/>
  <c r="BZ94" i="53"/>
  <c r="BZ97" i="53"/>
  <c r="BG29" i="36"/>
  <c r="BG30" i="36" s="1"/>
  <c r="BG32" i="36" s="1"/>
  <c r="BG30" i="37"/>
  <c r="BG32" i="37" s="1"/>
  <c r="BD29" i="36"/>
  <c r="BD30" i="36" s="1"/>
  <c r="BD32" i="36" s="1"/>
  <c r="BD30" i="37"/>
  <c r="BD32" i="37" s="1"/>
  <c r="AH96" i="54"/>
  <c r="AH97" i="54"/>
  <c r="AH95" i="54"/>
  <c r="AH94" i="54"/>
  <c r="AZ30" i="37"/>
  <c r="BH29" i="37"/>
  <c r="AZ29" i="36"/>
  <c r="BX94" i="53"/>
  <c r="BX97" i="53"/>
  <c r="BX96" i="53"/>
  <c r="BX95" i="53"/>
  <c r="AN29" i="37"/>
  <c r="AF29" i="36"/>
  <c r="AF30" i="37"/>
  <c r="AK30" i="37"/>
  <c r="AK32" i="37" s="1"/>
  <c r="AK29" i="36"/>
  <c r="AK30" i="36" s="1"/>
  <c r="AK32" i="36" s="1"/>
  <c r="S30" i="37"/>
  <c r="S32" i="37" s="1"/>
  <c r="S29" i="36"/>
  <c r="S30" i="36" s="1"/>
  <c r="S32" i="36" s="1"/>
  <c r="CB30" i="53"/>
  <c r="CB32" i="53" s="1"/>
  <c r="BT32" i="53"/>
  <c r="BO30" i="53"/>
  <c r="BO32" i="53" s="1"/>
  <c r="BQ30" i="54"/>
  <c r="BQ32" i="54" s="1"/>
  <c r="BR30" i="53"/>
  <c r="BR32" i="53" s="1"/>
  <c r="AX30" i="54"/>
  <c r="AX32" i="54" s="1"/>
  <c r="AB30" i="54"/>
  <c r="AB32" i="54" s="1"/>
  <c r="AV30" i="54"/>
  <c r="AV32" i="54" s="1"/>
  <c r="AD30" i="54"/>
  <c r="AD32" i="54" s="1"/>
  <c r="BL30" i="53"/>
  <c r="BL32" i="53" s="1"/>
  <c r="AT30" i="53"/>
  <c r="AT32" i="53" s="1"/>
  <c r="F30" i="53"/>
  <c r="F32" i="53" s="1"/>
  <c r="BP30" i="53"/>
  <c r="BP32" i="53" s="1"/>
  <c r="AS30" i="53"/>
  <c r="AS32" i="53" s="1"/>
  <c r="F30" i="54"/>
  <c r="F32" i="54" s="1"/>
  <c r="AC30" i="54"/>
  <c r="AC32" i="54" s="1"/>
  <c r="AW30" i="53"/>
  <c r="AW32" i="53" s="1"/>
  <c r="D30" i="54"/>
  <c r="D32" i="54" s="1"/>
  <c r="AB30" i="53"/>
  <c r="AB32" i="53" s="1"/>
  <c r="BM30" i="53"/>
  <c r="BM32" i="53" s="1"/>
  <c r="J30" i="54"/>
  <c r="J32" i="54" s="1"/>
  <c r="AC30" i="53"/>
  <c r="AC32" i="53" s="1"/>
  <c r="BN30" i="54"/>
  <c r="BN32" i="54" s="1"/>
  <c r="BO30" i="54"/>
  <c r="BO32" i="54" s="1"/>
  <c r="AX30" i="53"/>
  <c r="AX32" i="53" s="1"/>
  <c r="BQ30" i="53"/>
  <c r="BQ32" i="53" s="1"/>
  <c r="BL30" i="54"/>
  <c r="BL32" i="54" s="1"/>
  <c r="H30" i="53"/>
  <c r="H32" i="53" s="1"/>
  <c r="Z30" i="54"/>
  <c r="Z32" i="54" s="1"/>
  <c r="H30" i="54"/>
  <c r="H32" i="54" s="1"/>
  <c r="AU30" i="54"/>
  <c r="AU32" i="54" s="1"/>
  <c r="AT30" i="54"/>
  <c r="AT32" i="54" s="1"/>
  <c r="J30" i="53"/>
  <c r="J32" i="53" s="1"/>
  <c r="X30" i="54"/>
  <c r="X32" i="54" s="1"/>
  <c r="AS30" i="54"/>
  <c r="AS32" i="54" s="1"/>
  <c r="BM30" i="54"/>
  <c r="BM32" i="54" s="1"/>
  <c r="AU30" i="53"/>
  <c r="AU32" i="53" s="1"/>
  <c r="AW30" i="54"/>
  <c r="AW32" i="54" s="1"/>
  <c r="AD30" i="53"/>
  <c r="AD32" i="53" s="1"/>
  <c r="Y30" i="54"/>
  <c r="Y32" i="54" s="1"/>
  <c r="AA30" i="54"/>
  <c r="AA32" i="54" s="1"/>
  <c r="AR30" i="54"/>
  <c r="AR32" i="54" s="1"/>
  <c r="AV30" i="53"/>
  <c r="AV32" i="53" s="1"/>
  <c r="X30" i="53"/>
  <c r="X32" i="53" s="1"/>
  <c r="Y30" i="53"/>
  <c r="Y32" i="53" s="1"/>
  <c r="BR30" i="54"/>
  <c r="BR32" i="54" s="1"/>
  <c r="Z30" i="53"/>
  <c r="Z32" i="53" s="1"/>
  <c r="D30" i="53"/>
  <c r="D32" i="53" s="1"/>
  <c r="AA30" i="53"/>
  <c r="AA32" i="53" s="1"/>
  <c r="CN29" i="53" l="1"/>
  <c r="CN29" i="37"/>
  <c r="CF29" i="54"/>
  <c r="E30" i="54"/>
  <c r="CP29" i="54"/>
  <c r="AS30" i="37"/>
  <c r="AS32" i="37" s="1"/>
  <c r="AS29" i="36"/>
  <c r="AS30" i="36" s="1"/>
  <c r="AS32" i="36" s="1"/>
  <c r="H30" i="37"/>
  <c r="H32" i="37" s="1"/>
  <c r="H29" i="36"/>
  <c r="H30" i="36" s="1"/>
  <c r="H32" i="36" s="1"/>
  <c r="Z29" i="36"/>
  <c r="Z30" i="36" s="1"/>
  <c r="Z32" i="36" s="1"/>
  <c r="Z30" i="37"/>
  <c r="Z32" i="37" s="1"/>
  <c r="C30" i="54"/>
  <c r="CE29" i="54"/>
  <c r="CO29" i="54"/>
  <c r="K29" i="54"/>
  <c r="CP29" i="53"/>
  <c r="CF29" i="53"/>
  <c r="E30" i="53"/>
  <c r="AZ32" i="37"/>
  <c r="BH30" i="37"/>
  <c r="BH32" i="37" s="1"/>
  <c r="BQ29" i="36"/>
  <c r="BQ30" i="36" s="1"/>
  <c r="BQ32" i="36" s="1"/>
  <c r="CK30" i="54"/>
  <c r="CK32" i="54" s="1"/>
  <c r="N32" i="54"/>
  <c r="AJ95" i="36"/>
  <c r="AJ97" i="36"/>
  <c r="AJ96" i="36"/>
  <c r="CM30" i="54"/>
  <c r="CM32" i="54" s="1"/>
  <c r="R32" i="54"/>
  <c r="L32" i="37"/>
  <c r="CJ30" i="37"/>
  <c r="CJ32" i="37" s="1"/>
  <c r="T30" i="37"/>
  <c r="BV95" i="37"/>
  <c r="BV96" i="37"/>
  <c r="BV97" i="37"/>
  <c r="BV94" i="37"/>
  <c r="R30" i="36"/>
  <c r="CM29" i="36"/>
  <c r="CN29" i="54"/>
  <c r="R32" i="53"/>
  <c r="CM30" i="53"/>
  <c r="CM32" i="53" s="1"/>
  <c r="CB29" i="36"/>
  <c r="BT30" i="36"/>
  <c r="CP29" i="37"/>
  <c r="CF29" i="37"/>
  <c r="E30" i="37"/>
  <c r="E29" i="36"/>
  <c r="BP29" i="36"/>
  <c r="BP30" i="36" s="1"/>
  <c r="BP32" i="36" s="1"/>
  <c r="BP30" i="37"/>
  <c r="BP32" i="37" s="1"/>
  <c r="BO29" i="36"/>
  <c r="BO30" i="36" s="1"/>
  <c r="BO32" i="36" s="1"/>
  <c r="BO30" i="37"/>
  <c r="BO32" i="37" s="1"/>
  <c r="AN30" i="37"/>
  <c r="AN32" i="37" s="1"/>
  <c r="AF32" i="37"/>
  <c r="BT32" i="54"/>
  <c r="CB30" i="54"/>
  <c r="CB32" i="54" s="1"/>
  <c r="CM30" i="37"/>
  <c r="CM32" i="37" s="1"/>
  <c r="R32" i="37"/>
  <c r="L32" i="54"/>
  <c r="CJ30" i="54"/>
  <c r="CJ32" i="54" s="1"/>
  <c r="T30" i="54"/>
  <c r="CL29" i="36"/>
  <c r="P30" i="36"/>
  <c r="CB30" i="37"/>
  <c r="CB32" i="37" s="1"/>
  <c r="BT32" i="37"/>
  <c r="BH30" i="53"/>
  <c r="BH32" i="53" s="1"/>
  <c r="AZ32" i="53"/>
  <c r="AL96" i="37"/>
  <c r="AL97" i="37"/>
  <c r="AL94" i="37"/>
  <c r="AL95" i="37"/>
  <c r="AQ30" i="54"/>
  <c r="AY29" i="54"/>
  <c r="BI29" i="54" s="1"/>
  <c r="W29" i="36"/>
  <c r="W30" i="37"/>
  <c r="AE29" i="37"/>
  <c r="AO29" i="37" s="1"/>
  <c r="AV29" i="36"/>
  <c r="AV30" i="36" s="1"/>
  <c r="AV32" i="36" s="1"/>
  <c r="AV30" i="37"/>
  <c r="AV32" i="37" s="1"/>
  <c r="Y30" i="37"/>
  <c r="Y32" i="37" s="1"/>
  <c r="Y29" i="36"/>
  <c r="Y30" i="36" s="1"/>
  <c r="Y32" i="36" s="1"/>
  <c r="G30" i="37"/>
  <c r="CQ29" i="37"/>
  <c r="CG29" i="37"/>
  <c r="G29" i="36"/>
  <c r="BM29" i="36"/>
  <c r="BM30" i="36" s="1"/>
  <c r="BM32" i="36" s="1"/>
  <c r="BM30" i="37"/>
  <c r="BM32" i="37" s="1"/>
  <c r="AX30" i="37"/>
  <c r="AX32" i="37" s="1"/>
  <c r="AX29" i="36"/>
  <c r="AX30" i="36" s="1"/>
  <c r="AX32" i="36" s="1"/>
  <c r="X30" i="37"/>
  <c r="X32" i="37" s="1"/>
  <c r="X29" i="36"/>
  <c r="X30" i="36" s="1"/>
  <c r="X32" i="36" s="1"/>
  <c r="AW30" i="37"/>
  <c r="AW32" i="37" s="1"/>
  <c r="AW29" i="36"/>
  <c r="AW30" i="36" s="1"/>
  <c r="AW32" i="36" s="1"/>
  <c r="AF30" i="36"/>
  <c r="AN29" i="36"/>
  <c r="AZ30" i="36"/>
  <c r="BH29" i="36"/>
  <c r="BD95" i="37"/>
  <c r="BD97" i="37"/>
  <c r="BD96" i="37"/>
  <c r="BD94" i="37"/>
  <c r="CK30" i="37"/>
  <c r="CK32" i="37" s="1"/>
  <c r="N32" i="37"/>
  <c r="BF94" i="37"/>
  <c r="BF97" i="37"/>
  <c r="BF96" i="37"/>
  <c r="BF95" i="37"/>
  <c r="AN30" i="53"/>
  <c r="AN32" i="53" s="1"/>
  <c r="AF32" i="53"/>
  <c r="BX96" i="37"/>
  <c r="BX95" i="37"/>
  <c r="BX97" i="37"/>
  <c r="BX94" i="37"/>
  <c r="BB94" i="37"/>
  <c r="BB95" i="37"/>
  <c r="BB96" i="37"/>
  <c r="BB97" i="37"/>
  <c r="T30" i="53"/>
  <c r="CJ30" i="53"/>
  <c r="CJ32" i="53" s="1"/>
  <c r="L32" i="53"/>
  <c r="CL30" i="37"/>
  <c r="CL32" i="37" s="1"/>
  <c r="P32" i="37"/>
  <c r="CN32" i="37" s="1"/>
  <c r="BZ97" i="37"/>
  <c r="BZ94" i="37"/>
  <c r="BZ96" i="37"/>
  <c r="BZ95" i="37"/>
  <c r="AL97" i="36"/>
  <c r="AL96" i="36"/>
  <c r="AL95" i="36"/>
  <c r="CL30" i="53"/>
  <c r="CL32" i="53" s="1"/>
  <c r="P32" i="53"/>
  <c r="AR30" i="37"/>
  <c r="AR32" i="37" s="1"/>
  <c r="AR29" i="36"/>
  <c r="AR30" i="36" s="1"/>
  <c r="AR32" i="36" s="1"/>
  <c r="AD30" i="37"/>
  <c r="AD32" i="37" s="1"/>
  <c r="AD29" i="36"/>
  <c r="AD30" i="36" s="1"/>
  <c r="AD32" i="36" s="1"/>
  <c r="C30" i="53"/>
  <c r="CE29" i="53"/>
  <c r="CO29" i="53"/>
  <c r="K29" i="53"/>
  <c r="BS29" i="53"/>
  <c r="CC29" i="53" s="1"/>
  <c r="BK30" i="53"/>
  <c r="AT30" i="37"/>
  <c r="AT32" i="37" s="1"/>
  <c r="AT29" i="36"/>
  <c r="AT30" i="36" s="1"/>
  <c r="AT32" i="36" s="1"/>
  <c r="AA30" i="37"/>
  <c r="AA32" i="37" s="1"/>
  <c r="AA29" i="36"/>
  <c r="AA30" i="36" s="1"/>
  <c r="AA32" i="36" s="1"/>
  <c r="D29" i="36"/>
  <c r="D30" i="36" s="1"/>
  <c r="D32" i="36" s="1"/>
  <c r="D30" i="37"/>
  <c r="D32" i="37" s="1"/>
  <c r="J30" i="37"/>
  <c r="J32" i="37" s="1"/>
  <c r="J29" i="36"/>
  <c r="J30" i="36" s="1"/>
  <c r="J32" i="36" s="1"/>
  <c r="AH95" i="37"/>
  <c r="AH96" i="37"/>
  <c r="AH94" i="37"/>
  <c r="AH97" i="37"/>
  <c r="AF32" i="54"/>
  <c r="AN30" i="54"/>
  <c r="AN32" i="54" s="1"/>
  <c r="W30" i="54"/>
  <c r="AE29" i="54"/>
  <c r="AO29" i="54" s="1"/>
  <c r="BR29" i="36"/>
  <c r="BR30" i="36" s="1"/>
  <c r="BR32" i="36" s="1"/>
  <c r="BR30" i="37"/>
  <c r="BR32" i="37" s="1"/>
  <c r="BL29" i="36"/>
  <c r="BL30" i="36" s="1"/>
  <c r="BL32" i="36" s="1"/>
  <c r="BL30" i="37"/>
  <c r="BL32" i="37" s="1"/>
  <c r="BK29" i="36"/>
  <c r="BS29" i="37"/>
  <c r="CC29" i="37" s="1"/>
  <c r="BK30" i="37"/>
  <c r="BN29" i="36"/>
  <c r="BN30" i="36" s="1"/>
  <c r="BN32" i="36" s="1"/>
  <c r="BN30" i="37"/>
  <c r="BN32" i="37" s="1"/>
  <c r="CG29" i="53"/>
  <c r="CQ29" i="53"/>
  <c r="G30" i="53"/>
  <c r="AY29" i="37"/>
  <c r="BI29" i="37" s="1"/>
  <c r="AQ30" i="37"/>
  <c r="AQ29" i="36"/>
  <c r="W30" i="53"/>
  <c r="AE29" i="53"/>
  <c r="AO29" i="53" s="1"/>
  <c r="AU29" i="36"/>
  <c r="AU30" i="36" s="1"/>
  <c r="AU32" i="36" s="1"/>
  <c r="AU30" i="37"/>
  <c r="AU32" i="37" s="1"/>
  <c r="F30" i="37"/>
  <c r="F32" i="37" s="1"/>
  <c r="F29" i="36"/>
  <c r="F30" i="36" s="1"/>
  <c r="F32" i="36" s="1"/>
  <c r="C29" i="36"/>
  <c r="CE29" i="37"/>
  <c r="C30" i="37"/>
  <c r="CO29" i="37"/>
  <c r="K29" i="37"/>
  <c r="AB30" i="37"/>
  <c r="AB32" i="37" s="1"/>
  <c r="AB29" i="36"/>
  <c r="AB30" i="36" s="1"/>
  <c r="AB32" i="36" s="1"/>
  <c r="CR29" i="37"/>
  <c r="I29" i="36"/>
  <c r="CH29" i="37"/>
  <c r="I30" i="37"/>
  <c r="AC29" i="36"/>
  <c r="AC30" i="36" s="1"/>
  <c r="AC32" i="36" s="1"/>
  <c r="AC30" i="37"/>
  <c r="AC32" i="37" s="1"/>
  <c r="CQ29" i="54"/>
  <c r="G30" i="54"/>
  <c r="CG29" i="54"/>
  <c r="CH29" i="53"/>
  <c r="CR29" i="53"/>
  <c r="I30" i="53"/>
  <c r="AQ30" i="53"/>
  <c r="AY29" i="53"/>
  <c r="BI29" i="53" s="1"/>
  <c r="CR29" i="54"/>
  <c r="CH29" i="54"/>
  <c r="I30" i="54"/>
  <c r="BS29" i="54"/>
  <c r="CC29" i="54" s="1"/>
  <c r="BK30" i="54"/>
  <c r="BT97" i="53"/>
  <c r="BT95" i="53"/>
  <c r="BT96" i="53"/>
  <c r="BT94" i="53"/>
  <c r="BD97" i="36"/>
  <c r="BD96" i="36"/>
  <c r="BD95" i="36"/>
  <c r="CL30" i="54"/>
  <c r="CL32" i="54" s="1"/>
  <c r="P32" i="54"/>
  <c r="CK29" i="36"/>
  <c r="N30" i="36"/>
  <c r="BF96" i="36"/>
  <c r="BF97" i="36"/>
  <c r="BF95" i="36"/>
  <c r="AJ94" i="37"/>
  <c r="AJ96" i="37"/>
  <c r="AJ95" i="37"/>
  <c r="AJ97" i="37"/>
  <c r="T29" i="36"/>
  <c r="CJ29" i="36"/>
  <c r="L30" i="36"/>
  <c r="BV96" i="36"/>
  <c r="BV95" i="36"/>
  <c r="BV97" i="36"/>
  <c r="BX95" i="36"/>
  <c r="BX96" i="36"/>
  <c r="BX97" i="36"/>
  <c r="BB97" i="36"/>
  <c r="BB96" i="36"/>
  <c r="BB95" i="36"/>
  <c r="BH30" i="54"/>
  <c r="BH32" i="54" s="1"/>
  <c r="AZ32" i="54"/>
  <c r="BZ97" i="36"/>
  <c r="BZ95" i="36"/>
  <c r="BZ96" i="36"/>
  <c r="AH95" i="36"/>
  <c r="AH97" i="36"/>
  <c r="AH96" i="36"/>
  <c r="CK30" i="53"/>
  <c r="CK32" i="53" s="1"/>
  <c r="N32" i="53"/>
  <c r="N94" i="53" l="1"/>
  <c r="N97" i="53"/>
  <c r="N96" i="53"/>
  <c r="N95" i="53"/>
  <c r="I32" i="54"/>
  <c r="CH30" i="54"/>
  <c r="CH32" i="54" s="1"/>
  <c r="CR30" i="54"/>
  <c r="CR32" i="54" s="1"/>
  <c r="BS29" i="36"/>
  <c r="CC29" i="36" s="1"/>
  <c r="BK30" i="36"/>
  <c r="AE29" i="36"/>
  <c r="AO29" i="36" s="1"/>
  <c r="W30" i="36"/>
  <c r="BT96" i="54"/>
  <c r="BT95" i="54"/>
  <c r="BT94" i="54"/>
  <c r="BT97" i="54"/>
  <c r="T30" i="36"/>
  <c r="CJ30" i="36"/>
  <c r="CJ32" i="36" s="1"/>
  <c r="L32" i="36"/>
  <c r="CH30" i="53"/>
  <c r="CH32" i="53" s="1"/>
  <c r="CR30" i="53"/>
  <c r="CR32" i="53" s="1"/>
  <c r="I32" i="53"/>
  <c r="CQ30" i="54"/>
  <c r="CQ32" i="54" s="1"/>
  <c r="CG30" i="54"/>
  <c r="CG32" i="54" s="1"/>
  <c r="G32" i="54"/>
  <c r="CR30" i="37"/>
  <c r="CR32" i="37" s="1"/>
  <c r="CH30" i="37"/>
  <c r="CH32" i="37" s="1"/>
  <c r="I32" i="37"/>
  <c r="CN96" i="37"/>
  <c r="CN95" i="37"/>
  <c r="CN94" i="37"/>
  <c r="CN97" i="37"/>
  <c r="AY30" i="53"/>
  <c r="AQ32" i="53"/>
  <c r="CI29" i="53"/>
  <c r="U29" i="53"/>
  <c r="CS29" i="53" s="1"/>
  <c r="P97" i="53"/>
  <c r="P95" i="53"/>
  <c r="P96" i="53"/>
  <c r="P94" i="53"/>
  <c r="CN32" i="53"/>
  <c r="AZ94" i="53"/>
  <c r="AZ95" i="53"/>
  <c r="AZ96" i="53"/>
  <c r="AZ97" i="53"/>
  <c r="L94" i="54"/>
  <c r="L95" i="54"/>
  <c r="L97" i="54"/>
  <c r="L96" i="54"/>
  <c r="CP30" i="37"/>
  <c r="CP32" i="37" s="1"/>
  <c r="E32" i="37"/>
  <c r="CF30" i="37"/>
  <c r="CF32" i="37" s="1"/>
  <c r="AZ95" i="37"/>
  <c r="AZ97" i="37"/>
  <c r="AZ96" i="37"/>
  <c r="AZ94" i="37"/>
  <c r="CF30" i="53"/>
  <c r="CF32" i="53" s="1"/>
  <c r="CP30" i="53"/>
  <c r="CP32" i="53" s="1"/>
  <c r="E32" i="53"/>
  <c r="R32" i="36"/>
  <c r="CM30" i="36"/>
  <c r="CM32" i="36" s="1"/>
  <c r="BS30" i="37"/>
  <c r="BK32" i="37"/>
  <c r="W32" i="54"/>
  <c r="AE30" i="54"/>
  <c r="BK32" i="53"/>
  <c r="BS30" i="53"/>
  <c r="CQ29" i="36"/>
  <c r="CG29" i="36"/>
  <c r="G30" i="36"/>
  <c r="AQ32" i="54"/>
  <c r="AY30" i="54"/>
  <c r="BT97" i="37"/>
  <c r="BT96" i="37"/>
  <c r="BT95" i="37"/>
  <c r="BT94" i="37"/>
  <c r="CN30" i="54"/>
  <c r="T32" i="54"/>
  <c r="R94" i="53"/>
  <c r="R95" i="53"/>
  <c r="R96" i="53"/>
  <c r="R97" i="53"/>
  <c r="R95" i="54"/>
  <c r="R94" i="54"/>
  <c r="R96" i="54"/>
  <c r="R97" i="54"/>
  <c r="K30" i="54"/>
  <c r="CE30" i="54"/>
  <c r="CE32" i="54" s="1"/>
  <c r="C32" i="54"/>
  <c r="CO30" i="54"/>
  <c r="CO32" i="54" s="1"/>
  <c r="CP30" i="54"/>
  <c r="CP32" i="54" s="1"/>
  <c r="E32" i="54"/>
  <c r="CF30" i="54"/>
  <c r="CF32" i="54" s="1"/>
  <c r="AF96" i="54"/>
  <c r="AF95" i="54"/>
  <c r="AF97" i="54"/>
  <c r="AF94" i="54"/>
  <c r="CL30" i="36"/>
  <c r="CL32" i="36" s="1"/>
  <c r="P32" i="36"/>
  <c r="N95" i="54"/>
  <c r="N94" i="54"/>
  <c r="N96" i="54"/>
  <c r="N97" i="54"/>
  <c r="N32" i="36"/>
  <c r="CK30" i="36"/>
  <c r="CK32" i="36" s="1"/>
  <c r="CO30" i="37"/>
  <c r="CO32" i="37" s="1"/>
  <c r="C32" i="37"/>
  <c r="CE30" i="37"/>
  <c r="CE32" i="37" s="1"/>
  <c r="K30" i="37"/>
  <c r="W32" i="53"/>
  <c r="AE30" i="53"/>
  <c r="CQ30" i="53"/>
  <c r="CQ32" i="53" s="1"/>
  <c r="G32" i="53"/>
  <c r="CG30" i="53"/>
  <c r="CG32" i="53" s="1"/>
  <c r="L96" i="53"/>
  <c r="L95" i="53"/>
  <c r="L97" i="53"/>
  <c r="L94" i="53"/>
  <c r="AF32" i="36"/>
  <c r="AN30" i="36"/>
  <c r="AN32" i="36" s="1"/>
  <c r="CG30" i="37"/>
  <c r="CG32" i="37" s="1"/>
  <c r="CQ30" i="37"/>
  <c r="CQ32" i="37" s="1"/>
  <c r="G32" i="37"/>
  <c r="R95" i="37"/>
  <c r="R96" i="37"/>
  <c r="R94" i="37"/>
  <c r="R97" i="37"/>
  <c r="AF94" i="37"/>
  <c r="AF96" i="37"/>
  <c r="AF97" i="37"/>
  <c r="AF95" i="37"/>
  <c r="L97" i="37"/>
  <c r="L94" i="37"/>
  <c r="L95" i="37"/>
  <c r="L96" i="37"/>
  <c r="AZ94" i="54"/>
  <c r="AZ97" i="54"/>
  <c r="AZ96" i="54"/>
  <c r="AZ95" i="54"/>
  <c r="BS30" i="54"/>
  <c r="BK32" i="54"/>
  <c r="AY29" i="36"/>
  <c r="BI29" i="36" s="1"/>
  <c r="AQ30" i="36"/>
  <c r="CN29" i="36"/>
  <c r="P95" i="54"/>
  <c r="P94" i="54"/>
  <c r="P96" i="54"/>
  <c r="P97" i="54"/>
  <c r="CN32" i="54"/>
  <c r="CH29" i="36"/>
  <c r="CR29" i="36"/>
  <c r="I30" i="36"/>
  <c r="U29" i="37"/>
  <c r="CS29" i="37" s="1"/>
  <c r="CI29" i="37"/>
  <c r="CE29" i="36"/>
  <c r="C30" i="36"/>
  <c r="CO29" i="36"/>
  <c r="K29" i="36"/>
  <c r="AQ32" i="37"/>
  <c r="AY30" i="37"/>
  <c r="CE30" i="53"/>
  <c r="CE32" i="53" s="1"/>
  <c r="CO30" i="53"/>
  <c r="CO32" i="53" s="1"/>
  <c r="K30" i="53"/>
  <c r="C32" i="53"/>
  <c r="P96" i="37"/>
  <c r="P94" i="37"/>
  <c r="P95" i="37"/>
  <c r="P97" i="37"/>
  <c r="CN30" i="53"/>
  <c r="T32" i="53"/>
  <c r="AF94" i="53"/>
  <c r="AF97" i="53"/>
  <c r="AF95" i="53"/>
  <c r="AF96" i="53"/>
  <c r="N95" i="37"/>
  <c r="N97" i="37"/>
  <c r="N94" i="37"/>
  <c r="N96" i="37"/>
  <c r="BH30" i="36"/>
  <c r="BH32" i="36" s="1"/>
  <c r="AZ32" i="36"/>
  <c r="AE30" i="37"/>
  <c r="W32" i="37"/>
  <c r="E30" i="36"/>
  <c r="CF29" i="36"/>
  <c r="CP29" i="36"/>
  <c r="CB30" i="36"/>
  <c r="CB32" i="36" s="1"/>
  <c r="BT32" i="36"/>
  <c r="CN30" i="37"/>
  <c r="T32" i="37"/>
  <c r="U29" i="54"/>
  <c r="CS29" i="54" s="1"/>
  <c r="CI29" i="54"/>
  <c r="BT95" i="36" l="1"/>
  <c r="BT97" i="36"/>
  <c r="BT96" i="36"/>
  <c r="BT94" i="36"/>
  <c r="AO30" i="37"/>
  <c r="AO32" i="37" s="1"/>
  <c r="AE32" i="37"/>
  <c r="AE32" i="53"/>
  <c r="AO30" i="53"/>
  <c r="AO32" i="53" s="1"/>
  <c r="CC30" i="53"/>
  <c r="BS32" i="53"/>
  <c r="AZ96" i="36"/>
  <c r="AZ95" i="36"/>
  <c r="AZ94" i="36"/>
  <c r="AZ97" i="36"/>
  <c r="CI30" i="53"/>
  <c r="U30" i="53"/>
  <c r="U32" i="53" s="1"/>
  <c r="K32" i="53"/>
  <c r="CI29" i="36"/>
  <c r="U29" i="36"/>
  <c r="CS29" i="36" s="1"/>
  <c r="P97" i="36"/>
  <c r="P96" i="36"/>
  <c r="P95" i="36"/>
  <c r="CN32" i="36"/>
  <c r="CQ30" i="36"/>
  <c r="CQ32" i="36" s="1"/>
  <c r="CG30" i="36"/>
  <c r="CG32" i="36" s="1"/>
  <c r="G32" i="36"/>
  <c r="CC30" i="37"/>
  <c r="BS32" i="37"/>
  <c r="CN94" i="53"/>
  <c r="CN97" i="53"/>
  <c r="CN95" i="53"/>
  <c r="CN96" i="53"/>
  <c r="L94" i="36"/>
  <c r="L96" i="36"/>
  <c r="L97" i="36"/>
  <c r="L95" i="36"/>
  <c r="AE30" i="36"/>
  <c r="W32" i="36"/>
  <c r="CP30" i="36"/>
  <c r="CP32" i="36" s="1"/>
  <c r="CF30" i="36"/>
  <c r="CF32" i="36" s="1"/>
  <c r="E32" i="36"/>
  <c r="AY30" i="36"/>
  <c r="AQ32" i="36"/>
  <c r="CN97" i="54"/>
  <c r="CN96" i="54"/>
  <c r="CN94" i="54"/>
  <c r="CN95" i="54"/>
  <c r="K32" i="37"/>
  <c r="U30" i="37"/>
  <c r="U32" i="37" s="1"/>
  <c r="CI30" i="37"/>
  <c r="CI30" i="54"/>
  <c r="K32" i="54"/>
  <c r="U30" i="54"/>
  <c r="U32" i="54" s="1"/>
  <c r="AE32" i="54"/>
  <c r="AO30" i="54"/>
  <c r="AO32" i="54" s="1"/>
  <c r="AY32" i="53"/>
  <c r="BI30" i="53"/>
  <c r="BI32" i="53" s="1"/>
  <c r="BS30" i="36"/>
  <c r="BK32" i="36"/>
  <c r="AY32" i="37"/>
  <c r="BI30" i="37"/>
  <c r="BI32" i="37" s="1"/>
  <c r="C32" i="36"/>
  <c r="CE30" i="36"/>
  <c r="CE32" i="36" s="1"/>
  <c r="CO30" i="36"/>
  <c r="CO32" i="36" s="1"/>
  <c r="K30" i="36"/>
  <c r="I32" i="36"/>
  <c r="CH30" i="36"/>
  <c r="CH32" i="36" s="1"/>
  <c r="CR30" i="36"/>
  <c r="CR32" i="36" s="1"/>
  <c r="CC30" i="54"/>
  <c r="BS32" i="54"/>
  <c r="AF95" i="36"/>
  <c r="AF97" i="36"/>
  <c r="AF96" i="36"/>
  <c r="AF94" i="36"/>
  <c r="N95" i="36"/>
  <c r="N96" i="36"/>
  <c r="N97" i="36"/>
  <c r="AY32" i="54"/>
  <c r="BI30" i="54"/>
  <c r="BI32" i="54" s="1"/>
  <c r="R97" i="36"/>
  <c r="R95" i="36"/>
  <c r="R96" i="36"/>
  <c r="CN30" i="36"/>
  <c r="T32" i="36"/>
  <c r="CI32" i="54" l="1"/>
  <c r="AO30" i="36"/>
  <c r="AO32" i="36" s="1"/>
  <c r="AE32" i="36"/>
  <c r="CI32" i="37"/>
  <c r="CS30" i="54"/>
  <c r="CC32" i="54"/>
  <c r="K32" i="36"/>
  <c r="U30" i="36"/>
  <c r="U32" i="36" s="1"/>
  <c r="CI30" i="36"/>
  <c r="CC30" i="36"/>
  <c r="BS32" i="36"/>
  <c r="CS30" i="37"/>
  <c r="CC32" i="37"/>
  <c r="D22" i="6"/>
  <c r="D36" i="6"/>
  <c r="CI32" i="53"/>
  <c r="E36" i="6"/>
  <c r="E22" i="6"/>
  <c r="B22" i="6"/>
  <c r="B36" i="6"/>
  <c r="AY32" i="36"/>
  <c r="BI30" i="36"/>
  <c r="BI32" i="36" s="1"/>
  <c r="C22" i="6"/>
  <c r="C36" i="6"/>
  <c r="CN97" i="36"/>
  <c r="CN94" i="36"/>
  <c r="CN96" i="36"/>
  <c r="CN95" i="36"/>
  <c r="CS30" i="53"/>
  <c r="CC32" i="53"/>
  <c r="CI32" i="36" l="1"/>
  <c r="CS32" i="53"/>
  <c r="CS32" i="37"/>
  <c r="CS30" i="36"/>
  <c r="CC32" i="36"/>
  <c r="CS32" i="54"/>
  <c r="CS32" i="36" l="1"/>
  <c r="AR71" i="36" l="1"/>
  <c r="D71" i="36"/>
  <c r="M81" i="36"/>
  <c r="M88" i="54"/>
  <c r="M71" i="36"/>
  <c r="BF73" i="54"/>
  <c r="BZ73" i="53"/>
  <c r="AL86" i="36"/>
  <c r="AD71" i="36"/>
  <c r="S71" i="36"/>
  <c r="AD86" i="36"/>
  <c r="BQ71" i="36"/>
  <c r="AJ73" i="53"/>
  <c r="BX73" i="54"/>
  <c r="AJ71" i="36"/>
  <c r="BD71" i="36"/>
  <c r="Q73" i="54"/>
  <c r="AV71" i="36"/>
  <c r="BO71" i="36"/>
  <c r="BE73" i="54"/>
  <c r="AU71" i="36"/>
  <c r="H71" i="36"/>
  <c r="BE71" i="36"/>
  <c r="AK73" i="53"/>
  <c r="BP88" i="53"/>
  <c r="BV73" i="53"/>
  <c r="AH71" i="36"/>
  <c r="AI71" i="36"/>
  <c r="BC81" i="36"/>
  <c r="BM73" i="54"/>
  <c r="F73" i="54"/>
  <c r="AT71" i="36"/>
  <c r="BN73" i="54"/>
  <c r="Y88" i="53"/>
  <c r="Y81" i="36"/>
  <c r="Z73" i="54" l="1"/>
  <c r="AH73" i="54"/>
  <c r="AB71" i="36"/>
  <c r="Q71" i="36"/>
  <c r="AL73" i="53"/>
  <c r="AL73" i="54"/>
  <c r="Q73" i="53"/>
  <c r="Q95" i="53" s="1"/>
  <c r="AL71" i="36"/>
  <c r="O88" i="53"/>
  <c r="O97" i="53" s="1"/>
  <c r="BB81" i="36"/>
  <c r="AH88" i="54"/>
  <c r="AH90" i="54" s="1"/>
  <c r="AH92" i="54" s="1"/>
  <c r="AK81" i="36"/>
  <c r="BY81" i="36"/>
  <c r="AB88" i="53"/>
  <c r="AB97" i="53" s="1"/>
  <c r="AU88" i="54"/>
  <c r="AU81" i="36"/>
  <c r="AM81" i="36"/>
  <c r="J88" i="53"/>
  <c r="J97" i="53" s="1"/>
  <c r="BG81" i="36"/>
  <c r="S88" i="53"/>
  <c r="S97" i="53" s="1"/>
  <c r="BZ81" i="36"/>
  <c r="X81" i="36"/>
  <c r="BL81" i="36"/>
  <c r="AE81" i="54"/>
  <c r="BH81" i="53"/>
  <c r="Z81" i="36"/>
  <c r="AH81" i="36"/>
  <c r="S88" i="54"/>
  <c r="S97" i="54" s="1"/>
  <c r="S81" i="36"/>
  <c r="AW81" i="36"/>
  <c r="BC86" i="36"/>
  <c r="AS86" i="36"/>
  <c r="F88" i="54"/>
  <c r="F97" i="54" s="1"/>
  <c r="BB88" i="54"/>
  <c r="BY86" i="36"/>
  <c r="AK88" i="53"/>
  <c r="AK97" i="53" s="1"/>
  <c r="AU86" i="36"/>
  <c r="BO86" i="36"/>
  <c r="AB88" i="54"/>
  <c r="AB97" i="54" s="1"/>
  <c r="H86" i="36"/>
  <c r="AJ88" i="54"/>
  <c r="BX86" i="36"/>
  <c r="BD88" i="54"/>
  <c r="BG86" i="36"/>
  <c r="BQ86" i="36"/>
  <c r="AW88" i="54"/>
  <c r="AW97" i="54" s="1"/>
  <c r="BF88" i="53"/>
  <c r="BL88" i="54"/>
  <c r="BL97" i="54" s="1"/>
  <c r="X86" i="36"/>
  <c r="BS86" i="53"/>
  <c r="BW88" i="54"/>
  <c r="BW97" i="54" s="1"/>
  <c r="BC88" i="53"/>
  <c r="BC97" i="53" s="1"/>
  <c r="AK88" i="54"/>
  <c r="AK97" i="54" s="1"/>
  <c r="X88" i="54"/>
  <c r="X97" i="54" s="1"/>
  <c r="F86" i="36"/>
  <c r="BG88" i="54"/>
  <c r="BY88" i="53"/>
  <c r="AK86" i="36"/>
  <c r="AA88" i="53"/>
  <c r="AW86" i="36"/>
  <c r="AR88" i="54"/>
  <c r="AR97" i="54" s="1"/>
  <c r="D88" i="54"/>
  <c r="D97" i="54" s="1"/>
  <c r="D86" i="36"/>
  <c r="CF81" i="54"/>
  <c r="CP81" i="54"/>
  <c r="BN96" i="54"/>
  <c r="BN95" i="54"/>
  <c r="BW79" i="36"/>
  <c r="BW88" i="37"/>
  <c r="AT73" i="37"/>
  <c r="AT69" i="36"/>
  <c r="AT73" i="36" s="1"/>
  <c r="BM88" i="37"/>
  <c r="BM79" i="36"/>
  <c r="Y73" i="37"/>
  <c r="Y69" i="36"/>
  <c r="AH79" i="36"/>
  <c r="AH88" i="37"/>
  <c r="CK71" i="54"/>
  <c r="CK79" i="37"/>
  <c r="N79" i="36"/>
  <c r="N88" i="37"/>
  <c r="BO79" i="36"/>
  <c r="BO88" i="37"/>
  <c r="CG86" i="53"/>
  <c r="CQ86" i="53"/>
  <c r="BE88" i="37"/>
  <c r="BE79" i="36"/>
  <c r="CQ81" i="37"/>
  <c r="CG81" i="37"/>
  <c r="G81" i="36"/>
  <c r="AJ69" i="36"/>
  <c r="AJ73" i="36" s="1"/>
  <c r="AJ73" i="37"/>
  <c r="AC79" i="36"/>
  <c r="AC88" i="37"/>
  <c r="CH86" i="53"/>
  <c r="CR86" i="53"/>
  <c r="AX79" i="36"/>
  <c r="AX88" i="37"/>
  <c r="CR81" i="54"/>
  <c r="CH81" i="54"/>
  <c r="R69" i="36"/>
  <c r="R73" i="37"/>
  <c r="AE86" i="53"/>
  <c r="BL88" i="37"/>
  <c r="BL79" i="36"/>
  <c r="BS86" i="54"/>
  <c r="CB81" i="53"/>
  <c r="BH86" i="54"/>
  <c r="AF88" i="53"/>
  <c r="AN79" i="53"/>
  <c r="T79" i="54"/>
  <c r="CJ79" i="54"/>
  <c r="L88" i="54"/>
  <c r="CJ81" i="53"/>
  <c r="T81" i="53"/>
  <c r="CB81" i="37"/>
  <c r="BT81" i="36"/>
  <c r="L86" i="36"/>
  <c r="T86" i="37"/>
  <c r="CJ86" i="37"/>
  <c r="AS71" i="36"/>
  <c r="AT73" i="54"/>
  <c r="BN73" i="53"/>
  <c r="F88" i="37"/>
  <c r="F79" i="36"/>
  <c r="CF71" i="54"/>
  <c r="CP71" i="54"/>
  <c r="Y73" i="53"/>
  <c r="Y90" i="53" s="1"/>
  <c r="Y92" i="53" s="1"/>
  <c r="Y94" i="53" s="1"/>
  <c r="BM71" i="36"/>
  <c r="Y79" i="36"/>
  <c r="Y88" i="37"/>
  <c r="AI88" i="54"/>
  <c r="BW86" i="36"/>
  <c r="AI79" i="36"/>
  <c r="AI88" i="37"/>
  <c r="N73" i="53"/>
  <c r="N86" i="36"/>
  <c r="CK86" i="37"/>
  <c r="BV73" i="54"/>
  <c r="N71" i="36"/>
  <c r="CK71" i="37"/>
  <c r="BB73" i="54"/>
  <c r="CK86" i="53"/>
  <c r="BV88" i="53"/>
  <c r="BV90" i="53" s="1"/>
  <c r="BV92" i="53" s="1"/>
  <c r="CK86" i="54"/>
  <c r="BB88" i="53"/>
  <c r="BP97" i="53"/>
  <c r="Q73" i="37"/>
  <c r="Q69" i="36"/>
  <c r="AU79" i="36"/>
  <c r="AU88" i="37"/>
  <c r="G88" i="54"/>
  <c r="G97" i="54" s="1"/>
  <c r="CQ79" i="54"/>
  <c r="CG79" i="54"/>
  <c r="AK69" i="36"/>
  <c r="AK73" i="37"/>
  <c r="G79" i="36"/>
  <c r="CQ79" i="37"/>
  <c r="CG79" i="37"/>
  <c r="G88" i="37"/>
  <c r="G97" i="37" s="1"/>
  <c r="AV81" i="36"/>
  <c r="AA88" i="54"/>
  <c r="AA81" i="36"/>
  <c r="Q88" i="54"/>
  <c r="BE69" i="36"/>
  <c r="BE73" i="36" s="1"/>
  <c r="BE73" i="37"/>
  <c r="CG86" i="54"/>
  <c r="CQ86" i="54"/>
  <c r="CQ86" i="37"/>
  <c r="CG86" i="37"/>
  <c r="G86" i="36"/>
  <c r="H88" i="53"/>
  <c r="AB86" i="36"/>
  <c r="AU88" i="53"/>
  <c r="BY73" i="54"/>
  <c r="BE86" i="36"/>
  <c r="BP88" i="54"/>
  <c r="AV88" i="37"/>
  <c r="AV79" i="36"/>
  <c r="H79" i="36"/>
  <c r="H88" i="37"/>
  <c r="AJ79" i="36"/>
  <c r="AJ88" i="37"/>
  <c r="CL81" i="54"/>
  <c r="AJ73" i="54"/>
  <c r="BX73" i="53"/>
  <c r="BX69" i="36"/>
  <c r="BX73" i="37"/>
  <c r="BD73" i="37"/>
  <c r="BD69" i="36"/>
  <c r="BD73" i="36" s="1"/>
  <c r="BX81" i="36"/>
  <c r="AJ88" i="53"/>
  <c r="AJ90" i="53" s="1"/>
  <c r="AJ92" i="53" s="1"/>
  <c r="AJ81" i="36"/>
  <c r="P71" i="36"/>
  <c r="CL71" i="37"/>
  <c r="BQ88" i="54"/>
  <c r="AM88" i="53"/>
  <c r="BR79" i="36"/>
  <c r="BR88" i="37"/>
  <c r="AM88" i="54"/>
  <c r="BR81" i="36"/>
  <c r="S86" i="36"/>
  <c r="CR79" i="54"/>
  <c r="I88" i="54"/>
  <c r="I97" i="54" s="1"/>
  <c r="CH79" i="54"/>
  <c r="I88" i="53"/>
  <c r="I97" i="53" s="1"/>
  <c r="CH79" i="53"/>
  <c r="CR79" i="53"/>
  <c r="AX88" i="54"/>
  <c r="AM71" i="36"/>
  <c r="AX86" i="36"/>
  <c r="AW71" i="36"/>
  <c r="AM86" i="36"/>
  <c r="BQ81" i="36"/>
  <c r="CA71" i="36"/>
  <c r="J71" i="36"/>
  <c r="AC81" i="36"/>
  <c r="BZ73" i="37"/>
  <c r="BZ69" i="36"/>
  <c r="R88" i="53"/>
  <c r="CM79" i="53"/>
  <c r="BZ86" i="36"/>
  <c r="CM86" i="53"/>
  <c r="CM79" i="37"/>
  <c r="R88" i="37"/>
  <c r="R79" i="36"/>
  <c r="BZ71" i="36"/>
  <c r="CM81" i="54"/>
  <c r="BZ73" i="54"/>
  <c r="AY86" i="37"/>
  <c r="AQ86" i="36"/>
  <c r="AE71" i="54"/>
  <c r="BS79" i="54"/>
  <c r="BK88" i="54"/>
  <c r="BK97" i="54" s="1"/>
  <c r="AR88" i="53"/>
  <c r="AY86" i="54"/>
  <c r="CE71" i="54"/>
  <c r="CO71" i="54"/>
  <c r="K71" i="54"/>
  <c r="BA71" i="36"/>
  <c r="CO86" i="37"/>
  <c r="CE86" i="37"/>
  <c r="K86" i="37"/>
  <c r="C86" i="36"/>
  <c r="BS71" i="53"/>
  <c r="AY79" i="54"/>
  <c r="AQ88" i="54"/>
  <c r="AQ97" i="54" s="1"/>
  <c r="D88" i="53"/>
  <c r="AE86" i="54"/>
  <c r="AY79" i="53"/>
  <c r="AQ88" i="53"/>
  <c r="AQ97" i="53" s="1"/>
  <c r="BK81" i="36"/>
  <c r="BS81" i="37"/>
  <c r="BU88" i="53"/>
  <c r="CE79" i="53"/>
  <c r="C88" i="53"/>
  <c r="C97" i="53" s="1"/>
  <c r="CO79" i="53"/>
  <c r="K79" i="53"/>
  <c r="AY81" i="54"/>
  <c r="AQ71" i="36"/>
  <c r="AY71" i="37"/>
  <c r="AR86" i="36"/>
  <c r="BU79" i="36"/>
  <c r="BU88" i="37"/>
  <c r="BK86" i="36"/>
  <c r="BS86" i="37"/>
  <c r="CE81" i="53"/>
  <c r="K81" i="53"/>
  <c r="CO81" i="53"/>
  <c r="AQ88" i="37"/>
  <c r="AQ79" i="36"/>
  <c r="AY79" i="37"/>
  <c r="CE86" i="53"/>
  <c r="CO86" i="53"/>
  <c r="K86" i="53"/>
  <c r="M73" i="54"/>
  <c r="M90" i="54" s="1"/>
  <c r="M92" i="54" s="1"/>
  <c r="M94" i="54" s="1"/>
  <c r="AE81" i="53"/>
  <c r="X71" i="36"/>
  <c r="BU81" i="36"/>
  <c r="CE79" i="37"/>
  <c r="C79" i="36"/>
  <c r="C88" i="37"/>
  <c r="C97" i="37" s="1"/>
  <c r="K79" i="37"/>
  <c r="CO79" i="37"/>
  <c r="CJ86" i="53"/>
  <c r="T86" i="53"/>
  <c r="CB86" i="54"/>
  <c r="AF88" i="37"/>
  <c r="AF79" i="36"/>
  <c r="AN79" i="37"/>
  <c r="AN71" i="53"/>
  <c r="AZ71" i="36"/>
  <c r="BH71" i="37"/>
  <c r="BH71" i="54"/>
  <c r="AZ81" i="36"/>
  <c r="BH81" i="37"/>
  <c r="BT88" i="53"/>
  <c r="CB79" i="53"/>
  <c r="CB81" i="54"/>
  <c r="BH71" i="53"/>
  <c r="AN71" i="37"/>
  <c r="AF71" i="36"/>
  <c r="T81" i="54"/>
  <c r="CJ81" i="54"/>
  <c r="BA88" i="54"/>
  <c r="E88" i="54"/>
  <c r="E97" i="54" s="1"/>
  <c r="CP79" i="54"/>
  <c r="CF79" i="54"/>
  <c r="Z73" i="53"/>
  <c r="CF71" i="53"/>
  <c r="CP71" i="53"/>
  <c r="BO88" i="53"/>
  <c r="CQ71" i="53"/>
  <c r="CG71" i="53"/>
  <c r="BY79" i="36"/>
  <c r="BY88" i="37"/>
  <c r="AJ86" i="36"/>
  <c r="P86" i="36"/>
  <c r="CL86" i="37"/>
  <c r="AM88" i="37"/>
  <c r="AM79" i="36"/>
  <c r="S88" i="37"/>
  <c r="S79" i="36"/>
  <c r="BG71" i="36"/>
  <c r="R73" i="53"/>
  <c r="BZ79" i="36"/>
  <c r="BZ88" i="37"/>
  <c r="AL88" i="37"/>
  <c r="AL79" i="36"/>
  <c r="BS81" i="54"/>
  <c r="BK88" i="53"/>
  <c r="BK97" i="53" s="1"/>
  <c r="BS79" i="53"/>
  <c r="AN86" i="54"/>
  <c r="L88" i="37"/>
  <c r="T79" i="37"/>
  <c r="L79" i="36"/>
  <c r="CJ79" i="37"/>
  <c r="CB71" i="53"/>
  <c r="BT86" i="36"/>
  <c r="CB86" i="37"/>
  <c r="AF88" i="54"/>
  <c r="AN79" i="54"/>
  <c r="Y97" i="53"/>
  <c r="BN88" i="54"/>
  <c r="Z71" i="36"/>
  <c r="Z69" i="36"/>
  <c r="Z73" i="37"/>
  <c r="AS81" i="36"/>
  <c r="Z88" i="37"/>
  <c r="Z79" i="36"/>
  <c r="BM96" i="54"/>
  <c r="BM95" i="54"/>
  <c r="CP81" i="53"/>
  <c r="CF81" i="53"/>
  <c r="BM86" i="36"/>
  <c r="BW71" i="36"/>
  <c r="Z95" i="54"/>
  <c r="Z96" i="54"/>
  <c r="Z88" i="54"/>
  <c r="BM81" i="36"/>
  <c r="AI81" i="36"/>
  <c r="BN81" i="36"/>
  <c r="CP86" i="54"/>
  <c r="CF86" i="54"/>
  <c r="CP71" i="37"/>
  <c r="E71" i="36"/>
  <c r="CF71" i="37"/>
  <c r="AT88" i="54"/>
  <c r="BN86" i="36"/>
  <c r="BM88" i="54"/>
  <c r="BM88" i="53"/>
  <c r="BM69" i="36"/>
  <c r="BM73" i="37"/>
  <c r="CP81" i="37"/>
  <c r="CF81" i="37"/>
  <c r="E81" i="36"/>
  <c r="O88" i="54"/>
  <c r="O86" i="36"/>
  <c r="BB73" i="53"/>
  <c r="N73" i="54"/>
  <c r="BB71" i="36"/>
  <c r="CK81" i="37"/>
  <c r="N81" i="36"/>
  <c r="AH73" i="53"/>
  <c r="AH69" i="36"/>
  <c r="AH73" i="36" s="1"/>
  <c r="AH73" i="37"/>
  <c r="AH86" i="36"/>
  <c r="AH88" i="53"/>
  <c r="AV86" i="36"/>
  <c r="AK73" i="54"/>
  <c r="AA86" i="36"/>
  <c r="BY97" i="53"/>
  <c r="G71" i="36"/>
  <c r="CQ71" i="37"/>
  <c r="CG71" i="37"/>
  <c r="Q88" i="53"/>
  <c r="AB81" i="36"/>
  <c r="BE88" i="54"/>
  <c r="BY73" i="53"/>
  <c r="BY90" i="53" s="1"/>
  <c r="BY92" i="53" s="1"/>
  <c r="BY94" i="53" s="1"/>
  <c r="AK71" i="36"/>
  <c r="H88" i="54"/>
  <c r="AA71" i="36"/>
  <c r="BX79" i="36"/>
  <c r="BX88" i="37"/>
  <c r="CL69" i="53"/>
  <c r="P73" i="53"/>
  <c r="CL86" i="54"/>
  <c r="P81" i="36"/>
  <c r="CL81" i="37"/>
  <c r="CL79" i="37"/>
  <c r="P79" i="36"/>
  <c r="P88" i="37"/>
  <c r="BX88" i="54"/>
  <c r="BX90" i="54" s="1"/>
  <c r="BX92" i="54" s="1"/>
  <c r="BD86" i="36"/>
  <c r="P88" i="54"/>
  <c r="CL79" i="54"/>
  <c r="AD79" i="36"/>
  <c r="AD88" i="37"/>
  <c r="AC88" i="53"/>
  <c r="CR86" i="37"/>
  <c r="CH86" i="37"/>
  <c r="I86" i="36"/>
  <c r="AX81" i="36"/>
  <c r="CH71" i="54"/>
  <c r="CR71" i="54"/>
  <c r="AC86" i="36"/>
  <c r="AD88" i="54"/>
  <c r="CA81" i="36"/>
  <c r="AD81" i="36"/>
  <c r="CR86" i="54"/>
  <c r="CH86" i="54"/>
  <c r="AX88" i="53"/>
  <c r="BR86" i="36"/>
  <c r="CR79" i="37"/>
  <c r="I88" i="37"/>
  <c r="I97" i="37" s="1"/>
  <c r="I79" i="36"/>
  <c r="CH79" i="37"/>
  <c r="BQ88" i="53"/>
  <c r="CR71" i="53"/>
  <c r="CH71" i="53"/>
  <c r="BF73" i="37"/>
  <c r="BF69" i="36"/>
  <c r="BF88" i="37"/>
  <c r="BF79" i="36"/>
  <c r="R88" i="54"/>
  <c r="CM79" i="54"/>
  <c r="CM71" i="53"/>
  <c r="R71" i="36"/>
  <c r="CM71" i="37"/>
  <c r="CM86" i="54"/>
  <c r="CM81" i="53"/>
  <c r="CM86" i="37"/>
  <c r="R86" i="36"/>
  <c r="CM71" i="54"/>
  <c r="CO86" i="54"/>
  <c r="K86" i="54"/>
  <c r="CE86" i="54"/>
  <c r="CO71" i="53"/>
  <c r="K71" i="53"/>
  <c r="CE71" i="53"/>
  <c r="BL86" i="36"/>
  <c r="CO81" i="54"/>
  <c r="CE81" i="54"/>
  <c r="K81" i="54"/>
  <c r="BU71" i="36"/>
  <c r="AG71" i="36"/>
  <c r="AR81" i="36"/>
  <c r="AE79" i="54"/>
  <c r="W88" i="54"/>
  <c r="W97" i="54" s="1"/>
  <c r="C81" i="36"/>
  <c r="CE81" i="37"/>
  <c r="CO81" i="37"/>
  <c r="K81" i="37"/>
  <c r="AG79" i="36"/>
  <c r="AG88" i="37"/>
  <c r="AG81" i="36"/>
  <c r="BU88" i="54"/>
  <c r="BU86" i="36"/>
  <c r="CB79" i="37"/>
  <c r="BT79" i="36"/>
  <c r="BT88" i="37"/>
  <c r="L81" i="36"/>
  <c r="CJ81" i="37"/>
  <c r="T81" i="37"/>
  <c r="AZ86" i="36"/>
  <c r="BH86" i="37"/>
  <c r="BH79" i="54"/>
  <c r="AZ88" i="54"/>
  <c r="AN81" i="54"/>
  <c r="CJ79" i="53"/>
  <c r="T79" i="53"/>
  <c r="L88" i="53"/>
  <c r="CB71" i="37"/>
  <c r="BT71" i="36"/>
  <c r="AN71" i="54"/>
  <c r="CB79" i="54"/>
  <c r="BT88" i="54"/>
  <c r="CJ71" i="37"/>
  <c r="T71" i="37"/>
  <c r="L71" i="36"/>
  <c r="AN81" i="53"/>
  <c r="CJ86" i="54"/>
  <c r="T86" i="54"/>
  <c r="CF79" i="53"/>
  <c r="E88" i="53"/>
  <c r="E97" i="53" s="1"/>
  <c r="CP79" i="53"/>
  <c r="BC79" i="36"/>
  <c r="BC88" i="37"/>
  <c r="BW88" i="53"/>
  <c r="F95" i="54"/>
  <c r="F96" i="54"/>
  <c r="Z86" i="36"/>
  <c r="CK79" i="53"/>
  <c r="N88" i="53"/>
  <c r="BB79" i="36"/>
  <c r="BB88" i="37"/>
  <c r="BV79" i="36"/>
  <c r="BV88" i="37"/>
  <c r="CK71" i="53"/>
  <c r="AA88" i="37"/>
  <c r="AA79" i="36"/>
  <c r="AK96" i="53"/>
  <c r="AK95" i="53"/>
  <c r="BE96" i="54"/>
  <c r="BE95" i="54"/>
  <c r="BP88" i="37"/>
  <c r="BP79" i="36"/>
  <c r="AU97" i="54"/>
  <c r="AK79" i="36"/>
  <c r="AK88" i="37"/>
  <c r="Q95" i="54"/>
  <c r="Q96" i="54"/>
  <c r="CG81" i="54"/>
  <c r="CQ81" i="54"/>
  <c r="BD88" i="37"/>
  <c r="BD79" i="36"/>
  <c r="CL86" i="53"/>
  <c r="CL71" i="53"/>
  <c r="BG88" i="53"/>
  <c r="AW88" i="37"/>
  <c r="AW79" i="36"/>
  <c r="J79" i="36"/>
  <c r="J88" i="37"/>
  <c r="BF86" i="36"/>
  <c r="AL88" i="54"/>
  <c r="BA79" i="36"/>
  <c r="BA88" i="37"/>
  <c r="M97" i="54"/>
  <c r="BA86" i="36"/>
  <c r="AY71" i="53"/>
  <c r="BK71" i="36"/>
  <c r="BS71" i="37"/>
  <c r="AE71" i="53"/>
  <c r="AQ81" i="36"/>
  <c r="AY81" i="37"/>
  <c r="AY86" i="53"/>
  <c r="Y71" i="36"/>
  <c r="F88" i="53"/>
  <c r="F73" i="53"/>
  <c r="AT88" i="53"/>
  <c r="F81" i="36"/>
  <c r="O71" i="36"/>
  <c r="BN88" i="53"/>
  <c r="BN69" i="36"/>
  <c r="BN73" i="37"/>
  <c r="Y73" i="54"/>
  <c r="CF86" i="37"/>
  <c r="E86" i="36"/>
  <c r="CP86" i="37"/>
  <c r="AI88" i="53"/>
  <c r="BM73" i="53"/>
  <c r="AI86" i="36"/>
  <c r="AS73" i="54"/>
  <c r="AT81" i="36"/>
  <c r="AT88" i="37"/>
  <c r="AT79" i="36"/>
  <c r="Y86" i="36"/>
  <c r="AS88" i="53"/>
  <c r="BW81" i="36"/>
  <c r="O81" i="36"/>
  <c r="Z88" i="53"/>
  <c r="BN71" i="36"/>
  <c r="F71" i="36"/>
  <c r="Y88" i="54"/>
  <c r="AS88" i="37"/>
  <c r="AS79" i="36"/>
  <c r="E88" i="37"/>
  <c r="E97" i="37" s="1"/>
  <c r="CP79" i="37"/>
  <c r="E79" i="36"/>
  <c r="CF79" i="37"/>
  <c r="O88" i="37"/>
  <c r="O79" i="36"/>
  <c r="AT86" i="36"/>
  <c r="BC88" i="54"/>
  <c r="AT73" i="53"/>
  <c r="BN88" i="37"/>
  <c r="BN79" i="36"/>
  <c r="AS88" i="54"/>
  <c r="CF86" i="53"/>
  <c r="CP86" i="53"/>
  <c r="AS73" i="37"/>
  <c r="BC71" i="36"/>
  <c r="BV86" i="36"/>
  <c r="BB69" i="36"/>
  <c r="BB73" i="37"/>
  <c r="BV88" i="54"/>
  <c r="BV81" i="36"/>
  <c r="BV73" i="37"/>
  <c r="BV69" i="36"/>
  <c r="N88" i="54"/>
  <c r="CK79" i="54"/>
  <c r="BV71" i="36"/>
  <c r="BB86" i="36"/>
  <c r="CK81" i="54"/>
  <c r="N73" i="37"/>
  <c r="N69" i="36"/>
  <c r="CK81" i="53"/>
  <c r="Q88" i="37"/>
  <c r="Q79" i="36"/>
  <c r="CQ79" i="53"/>
  <c r="G88" i="53"/>
  <c r="G97" i="53" s="1"/>
  <c r="CG79" i="53"/>
  <c r="BE88" i="53"/>
  <c r="AV88" i="54"/>
  <c r="BY88" i="54"/>
  <c r="BP71" i="36"/>
  <c r="BE73" i="53"/>
  <c r="CQ71" i="54"/>
  <c r="CG71" i="54"/>
  <c r="BP81" i="36"/>
  <c r="H81" i="36"/>
  <c r="CQ81" i="53"/>
  <c r="CG81" i="53"/>
  <c r="BY69" i="36"/>
  <c r="BY73" i="37"/>
  <c r="Q81" i="36"/>
  <c r="AV88" i="53"/>
  <c r="BP86" i="36"/>
  <c r="BO88" i="54"/>
  <c r="BE81" i="36"/>
  <c r="BY71" i="36"/>
  <c r="Q86" i="36"/>
  <c r="BO81" i="36"/>
  <c r="AB88" i="37"/>
  <c r="AB79" i="36"/>
  <c r="CL79" i="53"/>
  <c r="P88" i="53"/>
  <c r="CL81" i="53"/>
  <c r="CL71" i="54"/>
  <c r="BX71" i="36"/>
  <c r="BD73" i="53"/>
  <c r="BD88" i="53"/>
  <c r="BX88" i="53"/>
  <c r="CL69" i="54"/>
  <c r="P73" i="54"/>
  <c r="BD81" i="36"/>
  <c r="P69" i="36"/>
  <c r="CL69" i="37"/>
  <c r="P73" i="37"/>
  <c r="BD73" i="54"/>
  <c r="BR88" i="53"/>
  <c r="J88" i="54"/>
  <c r="CA88" i="54"/>
  <c r="BR88" i="54"/>
  <c r="CA79" i="36"/>
  <c r="CA88" i="37"/>
  <c r="I81" i="36"/>
  <c r="CH81" i="37"/>
  <c r="CR81" i="37"/>
  <c r="CA86" i="36"/>
  <c r="CR71" i="37"/>
  <c r="I71" i="36"/>
  <c r="CH71" i="37"/>
  <c r="CA88" i="53"/>
  <c r="AD88" i="53"/>
  <c r="BG88" i="37"/>
  <c r="BG79" i="36"/>
  <c r="BR71" i="36"/>
  <c r="J86" i="36"/>
  <c r="CH81" i="53"/>
  <c r="CR81" i="53"/>
  <c r="AC71" i="36"/>
  <c r="J81" i="36"/>
  <c r="AW88" i="53"/>
  <c r="AX71" i="36"/>
  <c r="AC88" i="54"/>
  <c r="BQ88" i="37"/>
  <c r="BQ79" i="36"/>
  <c r="AL73" i="37"/>
  <c r="AL69" i="36"/>
  <c r="BF73" i="53"/>
  <c r="BF71" i="36"/>
  <c r="R73" i="54"/>
  <c r="AL88" i="53"/>
  <c r="BF88" i="54"/>
  <c r="BF90" i="54" s="1"/>
  <c r="BF92" i="54" s="1"/>
  <c r="AL81" i="36"/>
  <c r="BZ88" i="53"/>
  <c r="BZ90" i="53" s="1"/>
  <c r="BZ92" i="53" s="1"/>
  <c r="R81" i="36"/>
  <c r="CM81" i="37"/>
  <c r="BF81" i="36"/>
  <c r="BZ88" i="54"/>
  <c r="AG88" i="53"/>
  <c r="X88" i="37"/>
  <c r="X79" i="36"/>
  <c r="W86" i="36"/>
  <c r="AE86" i="37"/>
  <c r="BK88" i="37"/>
  <c r="BK97" i="37" s="1"/>
  <c r="BS79" i="37"/>
  <c r="BK79" i="36"/>
  <c r="AY71" i="54"/>
  <c r="K71" i="37"/>
  <c r="CE71" i="37"/>
  <c r="C71" i="36"/>
  <c r="CO71" i="37"/>
  <c r="X88" i="53"/>
  <c r="AE79" i="37"/>
  <c r="W88" i="37"/>
  <c r="W97" i="37" s="1"/>
  <c r="W79" i="36"/>
  <c r="BS71" i="54"/>
  <c r="AG86" i="36"/>
  <c r="BA81" i="36"/>
  <c r="AR88" i="37"/>
  <c r="AR79" i="36"/>
  <c r="BA88" i="53"/>
  <c r="M86" i="36"/>
  <c r="D88" i="37"/>
  <c r="D79" i="36"/>
  <c r="M88" i="53"/>
  <c r="AE71" i="37"/>
  <c r="W71" i="36"/>
  <c r="W88" i="53"/>
  <c r="W97" i="53" s="1"/>
  <c r="AE79" i="53"/>
  <c r="CE79" i="54"/>
  <c r="K79" i="54"/>
  <c r="C88" i="54"/>
  <c r="C97" i="54" s="1"/>
  <c r="CO79" i="54"/>
  <c r="D81" i="36"/>
  <c r="BS81" i="53"/>
  <c r="AE81" i="37"/>
  <c r="W81" i="36"/>
  <c r="BL88" i="53"/>
  <c r="BL71" i="36"/>
  <c r="AG88" i="54"/>
  <c r="AY81" i="53"/>
  <c r="M79" i="36"/>
  <c r="M88" i="37"/>
  <c r="BH79" i="53"/>
  <c r="AZ88" i="53"/>
  <c r="AZ79" i="36"/>
  <c r="BH79" i="37"/>
  <c r="AZ88" i="37"/>
  <c r="CB71" i="54"/>
  <c r="CJ71" i="53"/>
  <c r="T71" i="53"/>
  <c r="T71" i="54"/>
  <c r="CJ71" i="54"/>
  <c r="AF86" i="36"/>
  <c r="AN86" i="37"/>
  <c r="BH86" i="53"/>
  <c r="AF81" i="36"/>
  <c r="AN81" i="37"/>
  <c r="AN86" i="53"/>
  <c r="CB86" i="53"/>
  <c r="BH81" i="54"/>
  <c r="AS73" i="53"/>
  <c r="J73" i="54"/>
  <c r="D73" i="54"/>
  <c r="BQ73" i="54"/>
  <c r="AW73" i="54"/>
  <c r="AM73" i="53"/>
  <c r="BG73" i="53"/>
  <c r="S73" i="53"/>
  <c r="AC73" i="54"/>
  <c r="AD73" i="54"/>
  <c r="AI73" i="53"/>
  <c r="AU73" i="54"/>
  <c r="X73" i="54"/>
  <c r="AV73" i="54"/>
  <c r="BO73" i="53"/>
  <c r="AU73" i="53"/>
  <c r="AR73" i="53"/>
  <c r="X73" i="53"/>
  <c r="BW73" i="54"/>
  <c r="O73" i="54"/>
  <c r="BW73" i="53"/>
  <c r="AB73" i="53"/>
  <c r="AG73" i="54"/>
  <c r="BC73" i="53"/>
  <c r="O73" i="53"/>
  <c r="AB73" i="54"/>
  <c r="AA73" i="54"/>
  <c r="BQ73" i="53"/>
  <c r="AX73" i="54"/>
  <c r="BP73" i="54"/>
  <c r="BP73" i="53"/>
  <c r="AA73" i="53"/>
  <c r="H73" i="53"/>
  <c r="CA73" i="54"/>
  <c r="AM73" i="54"/>
  <c r="AR73" i="54"/>
  <c r="D73" i="53"/>
  <c r="AX73" i="53"/>
  <c r="AW73" i="53"/>
  <c r="BR73" i="53"/>
  <c r="AG73" i="53"/>
  <c r="BL73" i="53"/>
  <c r="AD73" i="53"/>
  <c r="BA73" i="53"/>
  <c r="BA73" i="54"/>
  <c r="AI73" i="54"/>
  <c r="BC73" i="54"/>
  <c r="BO73" i="54"/>
  <c r="AV73" i="53"/>
  <c r="H73" i="54"/>
  <c r="S73" i="54"/>
  <c r="BG73" i="54"/>
  <c r="CA73" i="53"/>
  <c r="BL73" i="54"/>
  <c r="AC73" i="53"/>
  <c r="J73" i="53"/>
  <c r="BR73" i="54"/>
  <c r="M73" i="53"/>
  <c r="BU73" i="54"/>
  <c r="BU73" i="53"/>
  <c r="Q96" i="53" l="1"/>
  <c r="BB73" i="36"/>
  <c r="AW90" i="54"/>
  <c r="AW92" i="54" s="1"/>
  <c r="AW94" i="54" s="1"/>
  <c r="AL90" i="54"/>
  <c r="AL92" i="54" s="1"/>
  <c r="BD90" i="53"/>
  <c r="BD92" i="53" s="1"/>
  <c r="CL73" i="37"/>
  <c r="CL96" i="37" s="1"/>
  <c r="BB90" i="54"/>
  <c r="BB92" i="54" s="1"/>
  <c r="D90" i="54"/>
  <c r="D92" i="54" s="1"/>
  <c r="D94" i="54" s="1"/>
  <c r="BW90" i="54"/>
  <c r="BW92" i="54" s="1"/>
  <c r="BW94" i="54" s="1"/>
  <c r="D88" i="36"/>
  <c r="CC71" i="54"/>
  <c r="AR88" i="36"/>
  <c r="AR97" i="36" s="1"/>
  <c r="N90" i="53"/>
  <c r="N92" i="53" s="1"/>
  <c r="AL90" i="53"/>
  <c r="AL92" i="53" s="1"/>
  <c r="BI71" i="37"/>
  <c r="AH90" i="53"/>
  <c r="AH92" i="53" s="1"/>
  <c r="Z73" i="36"/>
  <c r="Z95" i="36" s="1"/>
  <c r="BX90" i="37"/>
  <c r="BX92" i="37" s="1"/>
  <c r="AK90" i="54"/>
  <c r="AK92" i="54" s="1"/>
  <c r="AK94" i="54" s="1"/>
  <c r="CC86" i="53"/>
  <c r="N90" i="54"/>
  <c r="N92" i="54" s="1"/>
  <c r="BX88" i="36"/>
  <c r="BZ90" i="37"/>
  <c r="BZ92" i="37" s="1"/>
  <c r="AJ90" i="54"/>
  <c r="AJ92" i="54" s="1"/>
  <c r="BF90" i="53"/>
  <c r="BF92" i="53" s="1"/>
  <c r="X88" i="36"/>
  <c r="X97" i="36" s="1"/>
  <c r="AU88" i="36"/>
  <c r="AU97" i="36" s="1"/>
  <c r="CL88" i="54"/>
  <c r="CL97" i="54" s="1"/>
  <c r="F90" i="54"/>
  <c r="F92" i="54" s="1"/>
  <c r="F94" i="54" s="1"/>
  <c r="M88" i="36"/>
  <c r="M97" i="36" s="1"/>
  <c r="BV90" i="54"/>
  <c r="BV92" i="54" s="1"/>
  <c r="AO86" i="37"/>
  <c r="BI81" i="53"/>
  <c r="BQ88" i="36"/>
  <c r="BQ97" i="36" s="1"/>
  <c r="AK90" i="53"/>
  <c r="AK92" i="53" s="1"/>
  <c r="AK94" i="53" s="1"/>
  <c r="BG90" i="54"/>
  <c r="BG92" i="54" s="1"/>
  <c r="BG94" i="54" s="1"/>
  <c r="BN88" i="36"/>
  <c r="BN97" i="36" s="1"/>
  <c r="CI86" i="54"/>
  <c r="CM71" i="36"/>
  <c r="BG97" i="54"/>
  <c r="Q73" i="36"/>
  <c r="Q96" i="36" s="1"/>
  <c r="AA90" i="53"/>
  <c r="AA92" i="53" s="1"/>
  <c r="AA94" i="53" s="1"/>
  <c r="AL73" i="36"/>
  <c r="BN73" i="36"/>
  <c r="BN96" i="36" s="1"/>
  <c r="BB90" i="37"/>
  <c r="BB92" i="37" s="1"/>
  <c r="BF90" i="37"/>
  <c r="BF92" i="37" s="1"/>
  <c r="CH88" i="53"/>
  <c r="CH97" i="53" s="1"/>
  <c r="BZ90" i="54"/>
  <c r="BZ92" i="54" s="1"/>
  <c r="BX90" i="53"/>
  <c r="BX92" i="53" s="1"/>
  <c r="AO71" i="54"/>
  <c r="CL88" i="37"/>
  <c r="CL90" i="37" s="1"/>
  <c r="CL92" i="37" s="1"/>
  <c r="CL94" i="37" s="1"/>
  <c r="CN73" i="53"/>
  <c r="AM88" i="36"/>
  <c r="AM97" i="36" s="1"/>
  <c r="AO71" i="37"/>
  <c r="Y73" i="36"/>
  <c r="Y96" i="36" s="1"/>
  <c r="AA88" i="36"/>
  <c r="AA97" i="36" s="1"/>
  <c r="CR88" i="54"/>
  <c r="CR97" i="54" s="1"/>
  <c r="BL90" i="54"/>
  <c r="BL92" i="54" s="1"/>
  <c r="BL94" i="54" s="1"/>
  <c r="BG88" i="36"/>
  <c r="BG97" i="36" s="1"/>
  <c r="CI81" i="54"/>
  <c r="CO88" i="53"/>
  <c r="CO97" i="53" s="1"/>
  <c r="BS88" i="54"/>
  <c r="BS97" i="54" s="1"/>
  <c r="AO86" i="53"/>
  <c r="AO81" i="54"/>
  <c r="AD88" i="36"/>
  <c r="AD97" i="36" s="1"/>
  <c r="BI81" i="54"/>
  <c r="AN81" i="36"/>
  <c r="AE81" i="36"/>
  <c r="CO88" i="54"/>
  <c r="CO97" i="54" s="1"/>
  <c r="AE88" i="53"/>
  <c r="AE97" i="53" s="1"/>
  <c r="AW88" i="36"/>
  <c r="AW97" i="36" s="1"/>
  <c r="AK88" i="36"/>
  <c r="AK97" i="36" s="1"/>
  <c r="CJ88" i="37"/>
  <c r="CJ97" i="37" s="1"/>
  <c r="BO88" i="36"/>
  <c r="CA88" i="36"/>
  <c r="CA97" i="36" s="1"/>
  <c r="AB88" i="36"/>
  <c r="AB97" i="36" s="1"/>
  <c r="Q88" i="36"/>
  <c r="Q97" i="36" s="1"/>
  <c r="CK88" i="54"/>
  <c r="CF88" i="53"/>
  <c r="CF97" i="53" s="1"/>
  <c r="AE88" i="54"/>
  <c r="AE97" i="54" s="1"/>
  <c r="AO86" i="54"/>
  <c r="BZ88" i="36"/>
  <c r="CF88" i="54"/>
  <c r="BM88" i="36"/>
  <c r="BM97" i="36" s="1"/>
  <c r="BS86" i="36"/>
  <c r="BL88" i="36"/>
  <c r="BL97" i="36" s="1"/>
  <c r="AB90" i="54"/>
  <c r="AB92" i="54" s="1"/>
  <c r="AB94" i="54" s="1"/>
  <c r="AE88" i="37"/>
  <c r="BS88" i="37"/>
  <c r="BS97" i="37" s="1"/>
  <c r="BD90" i="54"/>
  <c r="BD92" i="54" s="1"/>
  <c r="BB88" i="36"/>
  <c r="BB90" i="36" s="1"/>
  <c r="BB92" i="36" s="1"/>
  <c r="BB94" i="36" s="1"/>
  <c r="BC88" i="36"/>
  <c r="BC97" i="36" s="1"/>
  <c r="AA97" i="53"/>
  <c r="CC86" i="37"/>
  <c r="BY88" i="36"/>
  <c r="CC86" i="54"/>
  <c r="BI86" i="37"/>
  <c r="CQ88" i="54"/>
  <c r="CQ97" i="54" s="1"/>
  <c r="T69" i="54"/>
  <c r="L73" i="54"/>
  <c r="L90" i="54" s="1"/>
  <c r="L92" i="54" s="1"/>
  <c r="CJ69" i="54"/>
  <c r="CJ73" i="54" s="1"/>
  <c r="AV73" i="37"/>
  <c r="AV69" i="36"/>
  <c r="AV73" i="36" s="1"/>
  <c r="AA73" i="37"/>
  <c r="AA90" i="37" s="1"/>
  <c r="AA92" i="37" s="1"/>
  <c r="AA94" i="37" s="1"/>
  <c r="AA69" i="36"/>
  <c r="AA73" i="36" s="1"/>
  <c r="AN69" i="53"/>
  <c r="AF73" i="53"/>
  <c r="AF90" i="53" s="1"/>
  <c r="AF92" i="53" s="1"/>
  <c r="W73" i="53"/>
  <c r="AE69" i="53"/>
  <c r="AE73" i="53" s="1"/>
  <c r="BU69" i="36"/>
  <c r="BU73" i="36" s="1"/>
  <c r="BU73" i="37"/>
  <c r="BU90" i="37" s="1"/>
  <c r="BU92" i="37" s="1"/>
  <c r="BU94" i="37" s="1"/>
  <c r="BQ95" i="53"/>
  <c r="BQ96" i="53"/>
  <c r="BC95" i="53"/>
  <c r="BC96" i="53"/>
  <c r="O95" i="54"/>
  <c r="O96" i="54"/>
  <c r="X96" i="54"/>
  <c r="X95" i="54"/>
  <c r="BQ96" i="54"/>
  <c r="BQ95" i="54"/>
  <c r="BE90" i="53"/>
  <c r="BE92" i="53" s="1"/>
  <c r="BE94" i="53" s="1"/>
  <c r="BE97" i="53"/>
  <c r="AS90" i="37"/>
  <c r="AS92" i="37" s="1"/>
  <c r="AS94" i="37" s="1"/>
  <c r="AS97" i="37"/>
  <c r="AS96" i="54"/>
  <c r="AS95" i="54"/>
  <c r="AW97" i="37"/>
  <c r="CN81" i="37"/>
  <c r="U81" i="37"/>
  <c r="CH79" i="36"/>
  <c r="I88" i="36"/>
  <c r="I97" i="36" s="1"/>
  <c r="CR79" i="36"/>
  <c r="BE90" i="54"/>
  <c r="BE92" i="54" s="1"/>
  <c r="BE94" i="54" s="1"/>
  <c r="BE97" i="54"/>
  <c r="BN90" i="54"/>
  <c r="BN92" i="54" s="1"/>
  <c r="BN94" i="54" s="1"/>
  <c r="BN97" i="54"/>
  <c r="S97" i="37"/>
  <c r="Z96" i="53"/>
  <c r="Z95" i="53"/>
  <c r="BA90" i="54"/>
  <c r="BA92" i="54" s="1"/>
  <c r="BA94" i="54" s="1"/>
  <c r="BA97" i="54"/>
  <c r="AY86" i="36"/>
  <c r="BZ73" i="36"/>
  <c r="BP90" i="54"/>
  <c r="BP92" i="54" s="1"/>
  <c r="BP94" i="54" s="1"/>
  <c r="BP97" i="54"/>
  <c r="CK69" i="53"/>
  <c r="CK73" i="53" s="1"/>
  <c r="F88" i="36"/>
  <c r="M96" i="53"/>
  <c r="M95" i="53"/>
  <c r="AY69" i="54"/>
  <c r="AY73" i="54" s="1"/>
  <c r="AQ73" i="54"/>
  <c r="CA73" i="37"/>
  <c r="CA69" i="36"/>
  <c r="CA73" i="36" s="1"/>
  <c r="S96" i="54"/>
  <c r="S95" i="54"/>
  <c r="AV95" i="53"/>
  <c r="AV96" i="53"/>
  <c r="BA96" i="54"/>
  <c r="BA95" i="54"/>
  <c r="K69" i="54"/>
  <c r="CO69" i="54"/>
  <c r="CO73" i="54" s="1"/>
  <c r="C73" i="54"/>
  <c r="CE69" i="54"/>
  <c r="CE73" i="54" s="1"/>
  <c r="BA69" i="36"/>
  <c r="BA73" i="36" s="1"/>
  <c r="BA73" i="37"/>
  <c r="AC73" i="37"/>
  <c r="AC90" i="37" s="1"/>
  <c r="AC92" i="37" s="1"/>
  <c r="AC94" i="37" s="1"/>
  <c r="AC69" i="36"/>
  <c r="AC73" i="36" s="1"/>
  <c r="AX96" i="53"/>
  <c r="AX95" i="53"/>
  <c r="AR95" i="54"/>
  <c r="AR96" i="54"/>
  <c r="AN69" i="54"/>
  <c r="AF73" i="54"/>
  <c r="AF90" i="54" s="1"/>
  <c r="AF92" i="54" s="1"/>
  <c r="H95" i="53"/>
  <c r="H96" i="53"/>
  <c r="AA95" i="53"/>
  <c r="AA96" i="53"/>
  <c r="BW73" i="37"/>
  <c r="BW90" i="37" s="1"/>
  <c r="BW92" i="37" s="1"/>
  <c r="BW94" i="37" s="1"/>
  <c r="BW69" i="36"/>
  <c r="BW73" i="36" s="1"/>
  <c r="M69" i="36"/>
  <c r="M73" i="36" s="1"/>
  <c r="M73" i="37"/>
  <c r="M90" i="37" s="1"/>
  <c r="M92" i="37" s="1"/>
  <c r="M94" i="37" s="1"/>
  <c r="E73" i="37"/>
  <c r="CP69" i="37"/>
  <c r="CP73" i="37" s="1"/>
  <c r="CF69" i="37"/>
  <c r="CF73" i="37" s="1"/>
  <c r="E69" i="36"/>
  <c r="CB69" i="53"/>
  <c r="BT73" i="53"/>
  <c r="BT90" i="53" s="1"/>
  <c r="BT92" i="53" s="1"/>
  <c r="AB95" i="53"/>
  <c r="AB96" i="53"/>
  <c r="AU95" i="53"/>
  <c r="AU96" i="53"/>
  <c r="H73" i="37"/>
  <c r="H90" i="37" s="1"/>
  <c r="H92" i="37" s="1"/>
  <c r="H94" i="37" s="1"/>
  <c r="H69" i="36"/>
  <c r="H73" i="36" s="1"/>
  <c r="AI95" i="53"/>
  <c r="AI96" i="53"/>
  <c r="BG96" i="53"/>
  <c r="BG95" i="53"/>
  <c r="AX69" i="36"/>
  <c r="AX73" i="36" s="1"/>
  <c r="AX73" i="37"/>
  <c r="AX90" i="37" s="1"/>
  <c r="AX92" i="37" s="1"/>
  <c r="AX94" i="37" s="1"/>
  <c r="J96" i="54"/>
  <c r="J95" i="54"/>
  <c r="O73" i="37"/>
  <c r="O90" i="37" s="1"/>
  <c r="O92" i="37" s="1"/>
  <c r="O94" i="37" s="1"/>
  <c r="O69" i="36"/>
  <c r="O73" i="36" s="1"/>
  <c r="BI86" i="53"/>
  <c r="U71" i="54"/>
  <c r="CN71" i="54"/>
  <c r="BH88" i="53"/>
  <c r="BH97" i="53" s="1"/>
  <c r="BI79" i="53"/>
  <c r="AG90" i="54"/>
  <c r="AG92" i="54" s="1"/>
  <c r="AG94" i="54" s="1"/>
  <c r="AG97" i="54"/>
  <c r="D97" i="36"/>
  <c r="X90" i="53"/>
  <c r="X92" i="53" s="1"/>
  <c r="X94" i="53" s="1"/>
  <c r="X97" i="53"/>
  <c r="CI71" i="37"/>
  <c r="X97" i="37"/>
  <c r="AW90" i="53"/>
  <c r="AW92" i="53" s="1"/>
  <c r="AW94" i="53" s="1"/>
  <c r="AW97" i="53"/>
  <c r="BG97" i="37"/>
  <c r="CR71" i="36"/>
  <c r="CH71" i="36"/>
  <c r="BR90" i="54"/>
  <c r="BR92" i="54" s="1"/>
  <c r="BR94" i="54" s="1"/>
  <c r="BR97" i="54"/>
  <c r="AB97" i="37"/>
  <c r="CG88" i="53"/>
  <c r="Q90" i="37"/>
  <c r="Q92" i="37" s="1"/>
  <c r="Q94" i="37" s="1"/>
  <c r="Q97" i="37"/>
  <c r="BN90" i="37"/>
  <c r="BN92" i="37" s="1"/>
  <c r="BN94" i="37" s="1"/>
  <c r="BN97" i="37"/>
  <c r="O88" i="36"/>
  <c r="CP88" i="37"/>
  <c r="Y90" i="54"/>
  <c r="Y92" i="54" s="1"/>
  <c r="Y94" i="54" s="1"/>
  <c r="Y97" i="54"/>
  <c r="AT88" i="36"/>
  <c r="CF86" i="36"/>
  <c r="CP86" i="36"/>
  <c r="AT90" i="53"/>
  <c r="AT92" i="53" s="1"/>
  <c r="AT94" i="53" s="1"/>
  <c r="AT97" i="53"/>
  <c r="BC90" i="53"/>
  <c r="BC92" i="53" s="1"/>
  <c r="BC94" i="53" s="1"/>
  <c r="BS71" i="36"/>
  <c r="J97" i="37"/>
  <c r="BG90" i="53"/>
  <c r="BG92" i="53" s="1"/>
  <c r="BG94" i="53" s="1"/>
  <c r="BG97" i="53"/>
  <c r="BD88" i="36"/>
  <c r="BD90" i="36" s="1"/>
  <c r="BD92" i="36" s="1"/>
  <c r="BD94" i="36" s="1"/>
  <c r="U86" i="54"/>
  <c r="CN86" i="54"/>
  <c r="U71" i="37"/>
  <c r="CN71" i="37"/>
  <c r="U79" i="53"/>
  <c r="T88" i="53"/>
  <c r="T97" i="53" s="1"/>
  <c r="CN79" i="53"/>
  <c r="BH88" i="54"/>
  <c r="BH97" i="54" s="1"/>
  <c r="BI79" i="54"/>
  <c r="CB88" i="37"/>
  <c r="CB97" i="37" s="1"/>
  <c r="CC79" i="37"/>
  <c r="AG97" i="37"/>
  <c r="CI71" i="53"/>
  <c r="AD90" i="54"/>
  <c r="AD92" i="54" s="1"/>
  <c r="AD94" i="54" s="1"/>
  <c r="AD97" i="54"/>
  <c r="CL73" i="53"/>
  <c r="H90" i="54"/>
  <c r="H92" i="54" s="1"/>
  <c r="H94" i="54" s="1"/>
  <c r="H97" i="54"/>
  <c r="CK69" i="54"/>
  <c r="CK73" i="54" s="1"/>
  <c r="O90" i="54"/>
  <c r="O92" i="54" s="1"/>
  <c r="O94" i="54" s="1"/>
  <c r="O97" i="54"/>
  <c r="BM95" i="37"/>
  <c r="BM96" i="37"/>
  <c r="Z96" i="37"/>
  <c r="Z95" i="37"/>
  <c r="L88" i="36"/>
  <c r="T79" i="36"/>
  <c r="CJ79" i="36"/>
  <c r="BS88" i="53"/>
  <c r="BY90" i="37"/>
  <c r="BY92" i="37" s="1"/>
  <c r="BY94" i="37" s="1"/>
  <c r="BY97" i="37"/>
  <c r="BO90" i="53"/>
  <c r="BO92" i="53" s="1"/>
  <c r="BO94" i="53" s="1"/>
  <c r="BO97" i="53"/>
  <c r="BI71" i="53"/>
  <c r="BI81" i="37"/>
  <c r="BH71" i="36"/>
  <c r="CO88" i="37"/>
  <c r="CE88" i="37"/>
  <c r="M96" i="54"/>
  <c r="M95" i="54"/>
  <c r="AY88" i="37"/>
  <c r="AY97" i="37" s="1"/>
  <c r="CI81" i="53"/>
  <c r="BU97" i="37"/>
  <c r="AY71" i="36"/>
  <c r="BS81" i="36"/>
  <c r="D90" i="53"/>
  <c r="D92" i="53" s="1"/>
  <c r="D94" i="53" s="1"/>
  <c r="D97" i="53"/>
  <c r="K86" i="36"/>
  <c r="CE86" i="36"/>
  <c r="CO86" i="36"/>
  <c r="R88" i="36"/>
  <c r="CM79" i="36"/>
  <c r="BR88" i="36"/>
  <c r="BQ90" i="54"/>
  <c r="BQ92" i="54" s="1"/>
  <c r="BQ94" i="54" s="1"/>
  <c r="BQ97" i="54"/>
  <c r="CN73" i="37"/>
  <c r="H88" i="36"/>
  <c r="H90" i="53"/>
  <c r="H92" i="53" s="1"/>
  <c r="H94" i="53" s="1"/>
  <c r="H97" i="53"/>
  <c r="Q90" i="54"/>
  <c r="Q92" i="54" s="1"/>
  <c r="Q94" i="54" s="1"/>
  <c r="Q97" i="54"/>
  <c r="AK95" i="37"/>
  <c r="AK96" i="37"/>
  <c r="Q95" i="37"/>
  <c r="Q96" i="37"/>
  <c r="AI90" i="54"/>
  <c r="AI92" i="54" s="1"/>
  <c r="AI94" i="54" s="1"/>
  <c r="AI97" i="54"/>
  <c r="Y95" i="53"/>
  <c r="Y96" i="53"/>
  <c r="F97" i="37"/>
  <c r="CC81" i="37"/>
  <c r="CJ88" i="54"/>
  <c r="BI86" i="54"/>
  <c r="BL97" i="37"/>
  <c r="R73" i="36"/>
  <c r="BE88" i="36"/>
  <c r="N90" i="37"/>
  <c r="N92" i="37" s="1"/>
  <c r="Y95" i="37"/>
  <c r="Y96" i="37"/>
  <c r="BM90" i="37"/>
  <c r="BM92" i="37" s="1"/>
  <c r="BM94" i="37" s="1"/>
  <c r="BM97" i="37"/>
  <c r="BW88" i="36"/>
  <c r="BU96" i="53"/>
  <c r="BU95" i="53"/>
  <c r="X73" i="37"/>
  <c r="X90" i="37" s="1"/>
  <c r="X92" i="37" s="1"/>
  <c r="X94" i="37" s="1"/>
  <c r="X69" i="36"/>
  <c r="X73" i="36" s="1"/>
  <c r="S73" i="37"/>
  <c r="S69" i="36"/>
  <c r="S73" i="36" s="1"/>
  <c r="K69" i="53"/>
  <c r="CO69" i="53"/>
  <c r="CO73" i="53" s="1"/>
  <c r="C73" i="53"/>
  <c r="CE69" i="53"/>
  <c r="CE73" i="53" s="1"/>
  <c r="BG69" i="36"/>
  <c r="BG73" i="36" s="1"/>
  <c r="BG73" i="37"/>
  <c r="BG90" i="37" s="1"/>
  <c r="BG92" i="37" s="1"/>
  <c r="BG94" i="37" s="1"/>
  <c r="BL96" i="53"/>
  <c r="BL95" i="53"/>
  <c r="BQ73" i="37"/>
  <c r="BQ90" i="37" s="1"/>
  <c r="BQ92" i="37" s="1"/>
  <c r="BQ94" i="37" s="1"/>
  <c r="BQ69" i="36"/>
  <c r="BQ73" i="36" s="1"/>
  <c r="D73" i="37"/>
  <c r="D69" i="36"/>
  <c r="D73" i="36" s="1"/>
  <c r="CA95" i="54"/>
  <c r="CA96" i="54"/>
  <c r="AG96" i="54"/>
  <c r="AG95" i="54"/>
  <c r="S96" i="53"/>
  <c r="S95" i="53"/>
  <c r="BA90" i="53"/>
  <c r="BA92" i="53" s="1"/>
  <c r="BA94" i="53" s="1"/>
  <c r="BA97" i="53"/>
  <c r="BR90" i="53"/>
  <c r="BR92" i="53" s="1"/>
  <c r="BR94" i="53" s="1"/>
  <c r="BR97" i="53"/>
  <c r="AV90" i="53"/>
  <c r="AV92" i="53" s="1"/>
  <c r="AV94" i="53" s="1"/>
  <c r="AV97" i="53"/>
  <c r="AS96" i="37"/>
  <c r="AS95" i="37"/>
  <c r="CP79" i="36"/>
  <c r="E88" i="36"/>
  <c r="E97" i="36" s="1"/>
  <c r="CF79" i="36"/>
  <c r="BN95" i="37"/>
  <c r="BN96" i="37"/>
  <c r="BP97" i="37"/>
  <c r="AA97" i="37"/>
  <c r="CJ71" i="36"/>
  <c r="T71" i="36"/>
  <c r="BF88" i="36"/>
  <c r="AD97" i="37"/>
  <c r="BM90" i="54"/>
  <c r="BM92" i="54" s="1"/>
  <c r="BM94" i="54" s="1"/>
  <c r="BM97" i="54"/>
  <c r="CL86" i="36"/>
  <c r="BR97" i="37"/>
  <c r="CG79" i="36"/>
  <c r="G88" i="36"/>
  <c r="G97" i="36" s="1"/>
  <c r="CQ79" i="36"/>
  <c r="CK71" i="36"/>
  <c r="J96" i="53"/>
  <c r="J95" i="53"/>
  <c r="CA95" i="53"/>
  <c r="CA96" i="53"/>
  <c r="BG96" i="54"/>
  <c r="BG95" i="54"/>
  <c r="AI73" i="37"/>
  <c r="AI90" i="37" s="1"/>
  <c r="AI92" i="37" s="1"/>
  <c r="AI94" i="37" s="1"/>
  <c r="AI69" i="36"/>
  <c r="AI73" i="36" s="1"/>
  <c r="J69" i="36"/>
  <c r="J73" i="36" s="1"/>
  <c r="J73" i="37"/>
  <c r="J90" i="37" s="1"/>
  <c r="J92" i="37" s="1"/>
  <c r="J94" i="37" s="1"/>
  <c r="BH69" i="53"/>
  <c r="AZ73" i="53"/>
  <c r="AZ90" i="53" s="1"/>
  <c r="AZ92" i="53" s="1"/>
  <c r="BA96" i="53"/>
  <c r="BA95" i="53"/>
  <c r="BS69" i="37"/>
  <c r="BS73" i="37" s="1"/>
  <c r="BK73" i="37"/>
  <c r="BK69" i="36"/>
  <c r="BR96" i="53"/>
  <c r="BR95" i="53"/>
  <c r="BL69" i="36"/>
  <c r="BL73" i="36" s="1"/>
  <c r="BL73" i="37"/>
  <c r="BL90" i="37" s="1"/>
  <c r="BL92" i="37" s="1"/>
  <c r="BL94" i="37" s="1"/>
  <c r="AY69" i="37"/>
  <c r="AY73" i="37" s="1"/>
  <c r="AQ73" i="37"/>
  <c r="AQ90" i="37" s="1"/>
  <c r="AQ92" i="37" s="1"/>
  <c r="AQ69" i="36"/>
  <c r="BP96" i="53"/>
  <c r="BP95" i="53"/>
  <c r="BC73" i="37"/>
  <c r="BC90" i="37" s="1"/>
  <c r="BC92" i="37" s="1"/>
  <c r="BC94" i="37" s="1"/>
  <c r="BC69" i="36"/>
  <c r="BC73" i="36" s="1"/>
  <c r="AY69" i="53"/>
  <c r="AY73" i="53" s="1"/>
  <c r="AQ73" i="53"/>
  <c r="CH69" i="37"/>
  <c r="CH73" i="37" s="1"/>
  <c r="I69" i="36"/>
  <c r="CR69" i="37"/>
  <c r="CR73" i="37" s="1"/>
  <c r="I73" i="37"/>
  <c r="BW96" i="53"/>
  <c r="BW95" i="53"/>
  <c r="BW95" i="54"/>
  <c r="BW96" i="54"/>
  <c r="BO95" i="53"/>
  <c r="BO96" i="53"/>
  <c r="AU96" i="54"/>
  <c r="AU95" i="54"/>
  <c r="AD96" i="54"/>
  <c r="AD95" i="54"/>
  <c r="AM96" i="53"/>
  <c r="AM95" i="53"/>
  <c r="G73" i="37"/>
  <c r="CQ69" i="37"/>
  <c r="CQ73" i="37" s="1"/>
  <c r="G69" i="36"/>
  <c r="CG69" i="37"/>
  <c r="CG73" i="37" s="1"/>
  <c r="F69" i="36"/>
  <c r="F73" i="36" s="1"/>
  <c r="F73" i="37"/>
  <c r="F90" i="37" s="1"/>
  <c r="F92" i="37" s="1"/>
  <c r="F94" i="37" s="1"/>
  <c r="AS95" i="53"/>
  <c r="AS96" i="53"/>
  <c r="CN71" i="53"/>
  <c r="U71" i="53"/>
  <c r="BI79" i="37"/>
  <c r="BH88" i="37"/>
  <c r="BH97" i="37" s="1"/>
  <c r="M97" i="37"/>
  <c r="CI79" i="54"/>
  <c r="K88" i="54"/>
  <c r="AE71" i="36"/>
  <c r="D97" i="37"/>
  <c r="AR97" i="37"/>
  <c r="AE79" i="36"/>
  <c r="W88" i="36"/>
  <c r="AG90" i="53"/>
  <c r="AG92" i="53" s="1"/>
  <c r="AG94" i="53" s="1"/>
  <c r="AG97" i="53"/>
  <c r="CM81" i="36"/>
  <c r="BQ97" i="37"/>
  <c r="AD90" i="53"/>
  <c r="AD92" i="53" s="1"/>
  <c r="AD94" i="53" s="1"/>
  <c r="AD97" i="53"/>
  <c r="CH81" i="36"/>
  <c r="CR81" i="36"/>
  <c r="CA90" i="54"/>
  <c r="CA92" i="54" s="1"/>
  <c r="CA94" i="54" s="1"/>
  <c r="CA97" i="54"/>
  <c r="CN73" i="54"/>
  <c r="P90" i="53"/>
  <c r="P92" i="53" s="1"/>
  <c r="BO90" i="54"/>
  <c r="BO92" i="54" s="1"/>
  <c r="BO94" i="54" s="1"/>
  <c r="BO97" i="54"/>
  <c r="BY96" i="37"/>
  <c r="BY95" i="37"/>
  <c r="BE96" i="53"/>
  <c r="BE95" i="53"/>
  <c r="BY90" i="54"/>
  <c r="BY92" i="54" s="1"/>
  <c r="BY94" i="54" s="1"/>
  <c r="BY97" i="54"/>
  <c r="AT95" i="53"/>
  <c r="AT96" i="53"/>
  <c r="O97" i="37"/>
  <c r="AT90" i="37"/>
  <c r="AT92" i="37" s="1"/>
  <c r="AT94" i="37" s="1"/>
  <c r="AT97" i="37"/>
  <c r="BM96" i="53"/>
  <c r="BM95" i="53"/>
  <c r="BN90" i="53"/>
  <c r="BN92" i="53" s="1"/>
  <c r="BN94" i="53" s="1"/>
  <c r="BN97" i="53"/>
  <c r="F96" i="53"/>
  <c r="F95" i="53"/>
  <c r="AY81" i="36"/>
  <c r="BA97" i="37"/>
  <c r="J88" i="36"/>
  <c r="BD90" i="37"/>
  <c r="BD92" i="37" s="1"/>
  <c r="AU90" i="54"/>
  <c r="AU92" i="54" s="1"/>
  <c r="AU94" i="54" s="1"/>
  <c r="BV90" i="37"/>
  <c r="BV92" i="37" s="1"/>
  <c r="CP88" i="53"/>
  <c r="CB71" i="36"/>
  <c r="CJ88" i="53"/>
  <c r="T81" i="36"/>
  <c r="CJ81" i="36"/>
  <c r="AG88" i="36"/>
  <c r="CE81" i="36"/>
  <c r="K81" i="36"/>
  <c r="CO81" i="36"/>
  <c r="AR90" i="54"/>
  <c r="AR92" i="54" s="1"/>
  <c r="AR94" i="54" s="1"/>
  <c r="CM88" i="54"/>
  <c r="BF73" i="36"/>
  <c r="BQ90" i="53"/>
  <c r="BQ92" i="53" s="1"/>
  <c r="BQ94" i="53" s="1"/>
  <c r="BQ97" i="53"/>
  <c r="CR88" i="37"/>
  <c r="CR97" i="37" s="1"/>
  <c r="P90" i="37"/>
  <c r="P92" i="37" s="1"/>
  <c r="CL81" i="36"/>
  <c r="Q90" i="53"/>
  <c r="Q92" i="53" s="1"/>
  <c r="Q94" i="53" s="1"/>
  <c r="Q97" i="53"/>
  <c r="CK81" i="36"/>
  <c r="CF81" i="36"/>
  <c r="CP81" i="36"/>
  <c r="BM73" i="36"/>
  <c r="AT90" i="54"/>
  <c r="AT92" i="54" s="1"/>
  <c r="AT94" i="54" s="1"/>
  <c r="AT97" i="54"/>
  <c r="Z88" i="36"/>
  <c r="CB86" i="36"/>
  <c r="T88" i="37"/>
  <c r="T97" i="37" s="1"/>
  <c r="CN79" i="37"/>
  <c r="U79" i="37"/>
  <c r="AL88" i="36"/>
  <c r="CM69" i="53"/>
  <c r="CM73" i="53" s="1"/>
  <c r="J90" i="53"/>
  <c r="J92" i="53" s="1"/>
  <c r="J94" i="53" s="1"/>
  <c r="AM97" i="37"/>
  <c r="BY97" i="36"/>
  <c r="CP88" i="54"/>
  <c r="U81" i="54"/>
  <c r="CN81" i="54"/>
  <c r="CC81" i="54"/>
  <c r="BH81" i="36"/>
  <c r="AO71" i="53"/>
  <c r="K88" i="37"/>
  <c r="K97" i="37" s="1"/>
  <c r="CI79" i="37"/>
  <c r="CI86" i="53"/>
  <c r="AY79" i="36"/>
  <c r="AQ88" i="36"/>
  <c r="BU88" i="36"/>
  <c r="CE88" i="53"/>
  <c r="CI86" i="37"/>
  <c r="CI71" i="54"/>
  <c r="AR90" i="53"/>
  <c r="AR92" i="53" s="1"/>
  <c r="AR94" i="53" s="1"/>
  <c r="AR97" i="53"/>
  <c r="R90" i="37"/>
  <c r="R92" i="37" s="1"/>
  <c r="CM88" i="53"/>
  <c r="AX90" i="54"/>
  <c r="AX92" i="54" s="1"/>
  <c r="AX94" i="54" s="1"/>
  <c r="AX97" i="54"/>
  <c r="CH88" i="54"/>
  <c r="CH97" i="54" s="1"/>
  <c r="AM90" i="53"/>
  <c r="AM92" i="53" s="1"/>
  <c r="AM94" i="53" s="1"/>
  <c r="AM97" i="53"/>
  <c r="BX73" i="36"/>
  <c r="BX90" i="36" s="1"/>
  <c r="BX92" i="36" s="1"/>
  <c r="BX94" i="36" s="1"/>
  <c r="AJ90" i="37"/>
  <c r="AJ92" i="37" s="1"/>
  <c r="AV88" i="36"/>
  <c r="BY95" i="54"/>
  <c r="BY96" i="54"/>
  <c r="CG86" i="36"/>
  <c r="CQ86" i="36"/>
  <c r="CG88" i="37"/>
  <c r="CG97" i="37" s="1"/>
  <c r="AK73" i="36"/>
  <c r="AU97" i="37"/>
  <c r="BB90" i="53"/>
  <c r="BB92" i="53" s="1"/>
  <c r="AI97" i="37"/>
  <c r="Y90" i="37"/>
  <c r="Y92" i="37" s="1"/>
  <c r="Y94" i="37" s="1"/>
  <c r="Y97" i="37"/>
  <c r="BN96" i="53"/>
  <c r="BN95" i="53"/>
  <c r="CN86" i="37"/>
  <c r="U86" i="37"/>
  <c r="U81" i="53"/>
  <c r="CN81" i="53"/>
  <c r="T88" i="54"/>
  <c r="T97" i="54" s="1"/>
  <c r="U79" i="54"/>
  <c r="CN79" i="54"/>
  <c r="CC81" i="53"/>
  <c r="AX97" i="37"/>
  <c r="AC97" i="37"/>
  <c r="CG81" i="36"/>
  <c r="CQ81" i="36"/>
  <c r="BE90" i="37"/>
  <c r="BE92" i="37" s="1"/>
  <c r="BE94" i="37" s="1"/>
  <c r="BE97" i="37"/>
  <c r="AB90" i="53"/>
  <c r="AB92" i="53" s="1"/>
  <c r="AB94" i="53" s="1"/>
  <c r="N88" i="36"/>
  <c r="CK79" i="36"/>
  <c r="AH90" i="37"/>
  <c r="AH92" i="37" s="1"/>
  <c r="AT96" i="36"/>
  <c r="AT95" i="36"/>
  <c r="BR73" i="37"/>
  <c r="BR69" i="36"/>
  <c r="BR73" i="36" s="1"/>
  <c r="AR73" i="37"/>
  <c r="AR90" i="37" s="1"/>
  <c r="AR92" i="37" s="1"/>
  <c r="AR94" i="37" s="1"/>
  <c r="AR69" i="36"/>
  <c r="AR73" i="36" s="1"/>
  <c r="AI95" i="54"/>
  <c r="AI96" i="54"/>
  <c r="AZ73" i="54"/>
  <c r="AZ90" i="54" s="1"/>
  <c r="AZ92" i="54" s="1"/>
  <c r="BH69" i="54"/>
  <c r="BT73" i="37"/>
  <c r="BT90" i="37" s="1"/>
  <c r="BT92" i="37" s="1"/>
  <c r="BT69" i="36"/>
  <c r="CB69" i="37"/>
  <c r="AM96" i="54"/>
  <c r="AM95" i="54"/>
  <c r="AB95" i="54"/>
  <c r="AB96" i="54"/>
  <c r="AR96" i="53"/>
  <c r="AR95" i="53"/>
  <c r="BO69" i="36"/>
  <c r="BO73" i="36" s="1"/>
  <c r="BO73" i="37"/>
  <c r="BO90" i="37" s="1"/>
  <c r="BO92" i="37" s="1"/>
  <c r="BO94" i="37" s="1"/>
  <c r="AW69" i="36"/>
  <c r="AW73" i="36" s="1"/>
  <c r="AW73" i="37"/>
  <c r="AW90" i="37" s="1"/>
  <c r="AW92" i="37" s="1"/>
  <c r="AW94" i="37" s="1"/>
  <c r="M90" i="53"/>
  <c r="M92" i="53" s="1"/>
  <c r="M94" i="53" s="1"/>
  <c r="M97" i="53"/>
  <c r="P73" i="36"/>
  <c r="CL69" i="36"/>
  <c r="N73" i="36"/>
  <c r="Z90" i="53"/>
  <c r="Z92" i="53" s="1"/>
  <c r="Z94" i="53" s="1"/>
  <c r="Z97" i="53"/>
  <c r="S90" i="53"/>
  <c r="S92" i="53" s="1"/>
  <c r="S94" i="53" s="1"/>
  <c r="BC97" i="37"/>
  <c r="CB88" i="54"/>
  <c r="CB97" i="54" s="1"/>
  <c r="CC79" i="54"/>
  <c r="CB79" i="36"/>
  <c r="BT88" i="36"/>
  <c r="AX90" i="53"/>
  <c r="AX92" i="53" s="1"/>
  <c r="AX94" i="53" s="1"/>
  <c r="AX97" i="53"/>
  <c r="CH86" i="36"/>
  <c r="CR86" i="36"/>
  <c r="CP71" i="36"/>
  <c r="CF71" i="36"/>
  <c r="AN79" i="36"/>
  <c r="AF88" i="36"/>
  <c r="CO79" i="36"/>
  <c r="K79" i="36"/>
  <c r="C88" i="36"/>
  <c r="C97" i="36" s="1"/>
  <c r="CE79" i="36"/>
  <c r="H97" i="37"/>
  <c r="BE95" i="36"/>
  <c r="BE96" i="36"/>
  <c r="CB81" i="36"/>
  <c r="BW97" i="37"/>
  <c r="BU96" i="54"/>
  <c r="BU95" i="54"/>
  <c r="CR69" i="53"/>
  <c r="CR73" i="53" s="1"/>
  <c r="I73" i="53"/>
  <c r="CH69" i="53"/>
  <c r="CH73" i="53" s="1"/>
  <c r="CH90" i="53" s="1"/>
  <c r="CH92" i="53" s="1"/>
  <c r="CH94" i="53" s="1"/>
  <c r="BS69" i="54"/>
  <c r="BS73" i="54" s="1"/>
  <c r="BK73" i="54"/>
  <c r="AC95" i="53"/>
  <c r="AC96" i="53"/>
  <c r="L73" i="53"/>
  <c r="L90" i="53" s="1"/>
  <c r="L92" i="53" s="1"/>
  <c r="T69" i="53"/>
  <c r="CJ69" i="53"/>
  <c r="CJ73" i="53" s="1"/>
  <c r="E73" i="54"/>
  <c r="CP69" i="54"/>
  <c r="CP73" i="54" s="1"/>
  <c r="CF69" i="54"/>
  <c r="CF73" i="54" s="1"/>
  <c r="AB69" i="36"/>
  <c r="AB73" i="36" s="1"/>
  <c r="AB73" i="37"/>
  <c r="AB90" i="37" s="1"/>
  <c r="AB92" i="37" s="1"/>
  <c r="AB94" i="37" s="1"/>
  <c r="BP69" i="36"/>
  <c r="BP73" i="36" s="1"/>
  <c r="BP73" i="37"/>
  <c r="BP90" i="37" s="1"/>
  <c r="BP92" i="37" s="1"/>
  <c r="BP94" i="37" s="1"/>
  <c r="AD73" i="37"/>
  <c r="AD69" i="36"/>
  <c r="AD73" i="36" s="1"/>
  <c r="BR95" i="54"/>
  <c r="BR96" i="54"/>
  <c r="CF69" i="53"/>
  <c r="CF73" i="53" s="1"/>
  <c r="E73" i="53"/>
  <c r="CP69" i="53"/>
  <c r="CP73" i="53" s="1"/>
  <c r="BL96" i="54"/>
  <c r="BL95" i="54"/>
  <c r="AE69" i="54"/>
  <c r="AE73" i="54" s="1"/>
  <c r="W73" i="54"/>
  <c r="H96" i="54"/>
  <c r="H95" i="54"/>
  <c r="BO96" i="54"/>
  <c r="BO95" i="54"/>
  <c r="BC95" i="54"/>
  <c r="BC96" i="54"/>
  <c r="AN69" i="37"/>
  <c r="AF69" i="36"/>
  <c r="AF73" i="37"/>
  <c r="AF90" i="37" s="1"/>
  <c r="AF92" i="37" s="1"/>
  <c r="AD96" i="53"/>
  <c r="AD95" i="53"/>
  <c r="CG69" i="54"/>
  <c r="CG73" i="54" s="1"/>
  <c r="CQ69" i="54"/>
  <c r="CQ73" i="54" s="1"/>
  <c r="G73" i="54"/>
  <c r="AG96" i="53"/>
  <c r="AG95" i="53"/>
  <c r="AW95" i="53"/>
  <c r="AW96" i="53"/>
  <c r="I73" i="54"/>
  <c r="CR69" i="54"/>
  <c r="CR73" i="54" s="1"/>
  <c r="CH69" i="54"/>
  <c r="CH73" i="54" s="1"/>
  <c r="W69" i="36"/>
  <c r="W73" i="37"/>
  <c r="AE69" i="37"/>
  <c r="AE73" i="37" s="1"/>
  <c r="D95" i="53"/>
  <c r="D96" i="53"/>
  <c r="AZ69" i="36"/>
  <c r="AZ73" i="37"/>
  <c r="AZ90" i="37" s="1"/>
  <c r="AZ92" i="37" s="1"/>
  <c r="BH69" i="37"/>
  <c r="AM73" i="37"/>
  <c r="AM90" i="37" s="1"/>
  <c r="AM92" i="37" s="1"/>
  <c r="AM94" i="37" s="1"/>
  <c r="AM69" i="36"/>
  <c r="AM73" i="36" s="1"/>
  <c r="CQ69" i="53"/>
  <c r="CQ73" i="53" s="1"/>
  <c r="G73" i="53"/>
  <c r="CG69" i="53"/>
  <c r="CG73" i="53" s="1"/>
  <c r="BP96" i="54"/>
  <c r="BP95" i="54"/>
  <c r="AG69" i="36"/>
  <c r="AG73" i="36" s="1"/>
  <c r="AG73" i="37"/>
  <c r="AG90" i="37" s="1"/>
  <c r="AG92" i="37" s="1"/>
  <c r="AG94" i="37" s="1"/>
  <c r="AX96" i="54"/>
  <c r="AX95" i="54"/>
  <c r="CO69" i="37"/>
  <c r="CO73" i="37" s="1"/>
  <c r="K69" i="37"/>
  <c r="C69" i="36"/>
  <c r="CE69" i="37"/>
  <c r="CE73" i="37" s="1"/>
  <c r="C73" i="37"/>
  <c r="BK73" i="53"/>
  <c r="BS69" i="53"/>
  <c r="BS73" i="53" s="1"/>
  <c r="AA95" i="54"/>
  <c r="AA96" i="54"/>
  <c r="O95" i="53"/>
  <c r="O96" i="53"/>
  <c r="CB69" i="54"/>
  <c r="BT73" i="54"/>
  <c r="BT90" i="54" s="1"/>
  <c r="BT92" i="54" s="1"/>
  <c r="L73" i="37"/>
  <c r="L90" i="37" s="1"/>
  <c r="L92" i="37" s="1"/>
  <c r="CJ69" i="37"/>
  <c r="CJ73" i="37" s="1"/>
  <c r="L69" i="36"/>
  <c r="T69" i="37"/>
  <c r="X96" i="53"/>
  <c r="X95" i="53"/>
  <c r="AV95" i="54"/>
  <c r="AV96" i="54"/>
  <c r="AU69" i="36"/>
  <c r="AU73" i="36" s="1"/>
  <c r="AU73" i="37"/>
  <c r="AC95" i="54"/>
  <c r="AC96" i="54"/>
  <c r="AW95" i="54"/>
  <c r="AW96" i="54"/>
  <c r="D96" i="54"/>
  <c r="D95" i="54"/>
  <c r="AO81" i="37"/>
  <c r="AN86" i="36"/>
  <c r="BH79" i="36"/>
  <c r="AZ88" i="36"/>
  <c r="BL90" i="53"/>
  <c r="BL92" i="53" s="1"/>
  <c r="BL94" i="53" s="1"/>
  <c r="BL97" i="53"/>
  <c r="CE88" i="54"/>
  <c r="CO71" i="36"/>
  <c r="K71" i="36"/>
  <c r="CE71" i="36"/>
  <c r="BS79" i="36"/>
  <c r="BK88" i="36"/>
  <c r="BK97" i="36" s="1"/>
  <c r="AE86" i="36"/>
  <c r="CM69" i="54"/>
  <c r="CM73" i="54" s="1"/>
  <c r="AC90" i="54"/>
  <c r="AC92" i="54" s="1"/>
  <c r="AC94" i="54" s="1"/>
  <c r="AC97" i="54"/>
  <c r="CA90" i="53"/>
  <c r="CA92" i="53" s="1"/>
  <c r="CA94" i="53" s="1"/>
  <c r="CA97" i="53"/>
  <c r="CA97" i="37"/>
  <c r="J90" i="54"/>
  <c r="J92" i="54" s="1"/>
  <c r="J94" i="54" s="1"/>
  <c r="J97" i="54"/>
  <c r="CL95" i="37"/>
  <c r="CL73" i="54"/>
  <c r="CL88" i="53"/>
  <c r="BY73" i="36"/>
  <c r="AV90" i="54"/>
  <c r="AV92" i="54" s="1"/>
  <c r="AV94" i="54" s="1"/>
  <c r="AV97" i="54"/>
  <c r="CQ88" i="53"/>
  <c r="CQ97" i="53" s="1"/>
  <c r="CK69" i="37"/>
  <c r="CK73" i="37" s="1"/>
  <c r="BV73" i="36"/>
  <c r="AS69" i="36"/>
  <c r="AS73" i="36" s="1"/>
  <c r="AS90" i="54"/>
  <c r="AS92" i="54" s="1"/>
  <c r="AS94" i="54" s="1"/>
  <c r="AS97" i="54"/>
  <c r="BC90" i="54"/>
  <c r="BC92" i="54" s="1"/>
  <c r="BC94" i="54" s="1"/>
  <c r="BC97" i="54"/>
  <c r="CF88" i="37"/>
  <c r="AS88" i="36"/>
  <c r="AS90" i="53"/>
  <c r="AS92" i="53" s="1"/>
  <c r="AS94" i="53" s="1"/>
  <c r="AS97" i="53"/>
  <c r="AI90" i="53"/>
  <c r="AI92" i="53" s="1"/>
  <c r="AI94" i="53" s="1"/>
  <c r="AI97" i="53"/>
  <c r="Y96" i="54"/>
  <c r="Y95" i="54"/>
  <c r="F90" i="53"/>
  <c r="F92" i="53" s="1"/>
  <c r="F94" i="53" s="1"/>
  <c r="F97" i="53"/>
  <c r="BA88" i="36"/>
  <c r="AK90" i="37"/>
  <c r="AK92" i="37" s="1"/>
  <c r="AK94" i="37" s="1"/>
  <c r="AK97" i="37"/>
  <c r="BP88" i="36"/>
  <c r="BV88" i="36"/>
  <c r="CK88" i="53"/>
  <c r="BW90" i="53"/>
  <c r="BW92" i="53" s="1"/>
  <c r="BW94" i="53" s="1"/>
  <c r="BW97" i="53"/>
  <c r="AO81" i="53"/>
  <c r="CC71" i="37"/>
  <c r="BH86" i="36"/>
  <c r="BU90" i="54"/>
  <c r="BU92" i="54" s="1"/>
  <c r="BU94" i="54" s="1"/>
  <c r="BU97" i="54"/>
  <c r="CI81" i="37"/>
  <c r="CM86" i="36"/>
  <c r="R90" i="54"/>
  <c r="R92" i="54" s="1"/>
  <c r="CH88" i="37"/>
  <c r="CH97" i="37" s="1"/>
  <c r="S90" i="54"/>
  <c r="S92" i="54" s="1"/>
  <c r="S94" i="54" s="1"/>
  <c r="AC90" i="53"/>
  <c r="AC92" i="53" s="1"/>
  <c r="AC94" i="53" s="1"/>
  <c r="AC97" i="53"/>
  <c r="P90" i="54"/>
  <c r="P92" i="54" s="1"/>
  <c r="P88" i="36"/>
  <c r="CL79" i="36"/>
  <c r="BY95" i="53"/>
  <c r="BY96" i="53"/>
  <c r="CG71" i="36"/>
  <c r="CQ71" i="36"/>
  <c r="AK96" i="54"/>
  <c r="AK95" i="54"/>
  <c r="BM90" i="53"/>
  <c r="BM92" i="53" s="1"/>
  <c r="BM94" i="53" s="1"/>
  <c r="BM97" i="53"/>
  <c r="Z90" i="54"/>
  <c r="Z92" i="54" s="1"/>
  <c r="Z94" i="54" s="1"/>
  <c r="Z97" i="54"/>
  <c r="Z90" i="37"/>
  <c r="Z92" i="37" s="1"/>
  <c r="Z94" i="37" s="1"/>
  <c r="Z97" i="37"/>
  <c r="AN88" i="54"/>
  <c r="AN97" i="54" s="1"/>
  <c r="AO79" i="54"/>
  <c r="CC71" i="53"/>
  <c r="AL90" i="37"/>
  <c r="AL92" i="37" s="1"/>
  <c r="S88" i="36"/>
  <c r="AN71" i="36"/>
  <c r="CC79" i="53"/>
  <c r="CB88" i="53"/>
  <c r="CB97" i="53" s="1"/>
  <c r="BI71" i="54"/>
  <c r="AN88" i="37"/>
  <c r="AN97" i="37" s="1"/>
  <c r="AO79" i="37"/>
  <c r="U86" i="53"/>
  <c r="CN86" i="53"/>
  <c r="AQ97" i="37"/>
  <c r="K88" i="53"/>
  <c r="CI79" i="53"/>
  <c r="BU90" i="53"/>
  <c r="BU92" i="53" s="1"/>
  <c r="BU94" i="53" s="1"/>
  <c r="BU97" i="53"/>
  <c r="AY88" i="53"/>
  <c r="AY97" i="53" s="1"/>
  <c r="AY88" i="54"/>
  <c r="AY97" i="54" s="1"/>
  <c r="X90" i="54"/>
  <c r="X92" i="54" s="1"/>
  <c r="X94" i="54" s="1"/>
  <c r="CM88" i="37"/>
  <c r="R90" i="53"/>
  <c r="R92" i="53" s="1"/>
  <c r="CR88" i="53"/>
  <c r="CR97" i="53" s="1"/>
  <c r="AM90" i="54"/>
  <c r="AM92" i="54" s="1"/>
  <c r="AM94" i="54" s="1"/>
  <c r="AM97" i="54"/>
  <c r="CL71" i="36"/>
  <c r="AJ88" i="36"/>
  <c r="AJ90" i="36" s="1"/>
  <c r="AJ92" i="36" s="1"/>
  <c r="AJ94" i="36" s="1"/>
  <c r="AV97" i="37"/>
  <c r="AU90" i="53"/>
  <c r="AU92" i="53" s="1"/>
  <c r="AU94" i="53" s="1"/>
  <c r="AU97" i="53"/>
  <c r="BE95" i="37"/>
  <c r="BE96" i="37"/>
  <c r="AA90" i="54"/>
  <c r="AA92" i="54" s="1"/>
  <c r="AA94" i="54" s="1"/>
  <c r="AA97" i="54"/>
  <c r="CQ88" i="37"/>
  <c r="CG88" i="54"/>
  <c r="BP90" i="53"/>
  <c r="BP92" i="53" s="1"/>
  <c r="BP94" i="53" s="1"/>
  <c r="CK86" i="36"/>
  <c r="AI88" i="36"/>
  <c r="Y88" i="36"/>
  <c r="AT95" i="54"/>
  <c r="AT96" i="54"/>
  <c r="T86" i="36"/>
  <c r="CJ86" i="36"/>
  <c r="AN88" i="53"/>
  <c r="AN97" i="53" s="1"/>
  <c r="AO79" i="53"/>
  <c r="CM69" i="37"/>
  <c r="CM73" i="37" s="1"/>
  <c r="AX88" i="36"/>
  <c r="AC88" i="36"/>
  <c r="BO97" i="37"/>
  <c r="CK88" i="37"/>
  <c r="AH88" i="36"/>
  <c r="AH90" i="36" s="1"/>
  <c r="AH92" i="36" s="1"/>
  <c r="AH94" i="36" s="1"/>
  <c r="AT96" i="37"/>
  <c r="AT95" i="37"/>
  <c r="O90" i="53"/>
  <c r="O92" i="53" s="1"/>
  <c r="O94" i="53" s="1"/>
  <c r="CS71" i="37" l="1"/>
  <c r="BY90" i="36"/>
  <c r="BY92" i="36" s="1"/>
  <c r="BY94" i="36" s="1"/>
  <c r="AD90" i="36"/>
  <c r="AD92" i="36" s="1"/>
  <c r="AD94" i="36" s="1"/>
  <c r="AA90" i="36"/>
  <c r="AA92" i="36" s="1"/>
  <c r="AA94" i="36" s="1"/>
  <c r="CL90" i="54"/>
  <c r="CL92" i="54" s="1"/>
  <c r="CL94" i="54" s="1"/>
  <c r="Z96" i="36"/>
  <c r="CO90" i="53"/>
  <c r="CO92" i="53" s="1"/>
  <c r="CO94" i="53" s="1"/>
  <c r="CC71" i="36"/>
  <c r="CL88" i="36"/>
  <c r="CL97" i="36" s="1"/>
  <c r="BI88" i="53"/>
  <c r="BI97" i="53" s="1"/>
  <c r="CF90" i="54"/>
  <c r="CF92" i="54" s="1"/>
  <c r="CF94" i="54" s="1"/>
  <c r="BQ90" i="36"/>
  <c r="BQ92" i="36" s="1"/>
  <c r="BQ94" i="36" s="1"/>
  <c r="BZ90" i="36"/>
  <c r="BZ92" i="36" s="1"/>
  <c r="BZ94" i="36" s="1"/>
  <c r="AU90" i="36"/>
  <c r="AU92" i="36" s="1"/>
  <c r="AU94" i="36" s="1"/>
  <c r="AL90" i="36"/>
  <c r="AL92" i="36" s="1"/>
  <c r="AL94" i="36" s="1"/>
  <c r="BV90" i="36"/>
  <c r="BV92" i="36" s="1"/>
  <c r="BV94" i="36" s="1"/>
  <c r="Y95" i="36"/>
  <c r="Q95" i="36"/>
  <c r="CL97" i="37"/>
  <c r="BL90" i="36"/>
  <c r="BL92" i="36" s="1"/>
  <c r="BL94" i="36" s="1"/>
  <c r="CK69" i="36"/>
  <c r="CK73" i="36" s="1"/>
  <c r="CK95" i="36" s="1"/>
  <c r="BN95" i="36"/>
  <c r="AO88" i="37"/>
  <c r="AO97" i="37" s="1"/>
  <c r="P90" i="36"/>
  <c r="P92" i="36" s="1"/>
  <c r="P94" i="36" s="1"/>
  <c r="CC81" i="36"/>
  <c r="CE88" i="36"/>
  <c r="CE97" i="36" s="1"/>
  <c r="CI88" i="54"/>
  <c r="CI97" i="54" s="1"/>
  <c r="CF97" i="54"/>
  <c r="BN90" i="36"/>
  <c r="BN92" i="36" s="1"/>
  <c r="BN94" i="36" s="1"/>
  <c r="CK90" i="54"/>
  <c r="CK92" i="54" s="1"/>
  <c r="CK94" i="54" s="1"/>
  <c r="AW90" i="36"/>
  <c r="AW92" i="36" s="1"/>
  <c r="AW94" i="36" s="1"/>
  <c r="AO81" i="36"/>
  <c r="R90" i="36"/>
  <c r="R92" i="36" s="1"/>
  <c r="R94" i="36" s="1"/>
  <c r="BI71" i="36"/>
  <c r="BO90" i="36"/>
  <c r="BO92" i="36" s="1"/>
  <c r="BO94" i="36" s="1"/>
  <c r="AK90" i="36"/>
  <c r="AK92" i="36" s="1"/>
  <c r="AK94" i="36" s="1"/>
  <c r="BI81" i="36"/>
  <c r="AE90" i="37"/>
  <c r="CS86" i="37"/>
  <c r="BO97" i="36"/>
  <c r="CK97" i="54"/>
  <c r="AO88" i="53"/>
  <c r="AO97" i="53" s="1"/>
  <c r="CN88" i="54"/>
  <c r="CN90" i="54" s="1"/>
  <c r="CN92" i="54" s="1"/>
  <c r="CS81" i="53"/>
  <c r="CC86" i="36"/>
  <c r="AN92" i="54"/>
  <c r="AN94" i="54" s="1"/>
  <c r="U88" i="37"/>
  <c r="U97" i="37" s="1"/>
  <c r="BC90" i="36"/>
  <c r="BC92" i="36" s="1"/>
  <c r="BC94" i="36" s="1"/>
  <c r="Q90" i="36"/>
  <c r="Q92" i="36" s="1"/>
  <c r="Q94" i="36" s="1"/>
  <c r="CS86" i="53"/>
  <c r="AE97" i="37"/>
  <c r="AO88" i="54"/>
  <c r="AO97" i="54" s="1"/>
  <c r="BS88" i="36"/>
  <c r="BS97" i="36" s="1"/>
  <c r="CB92" i="54"/>
  <c r="CB94" i="54" s="1"/>
  <c r="AN92" i="37"/>
  <c r="AN94" i="37" s="1"/>
  <c r="CN88" i="37"/>
  <c r="CN90" i="37" s="1"/>
  <c r="CN92" i="37" s="1"/>
  <c r="CQ88" i="36"/>
  <c r="BI88" i="54"/>
  <c r="BI97" i="54" s="1"/>
  <c r="CS86" i="54"/>
  <c r="AQ94" i="37"/>
  <c r="CC88" i="53"/>
  <c r="CS79" i="53"/>
  <c r="CL90" i="53"/>
  <c r="CL92" i="53" s="1"/>
  <c r="CL94" i="53" s="1"/>
  <c r="CL97" i="53"/>
  <c r="CM96" i="54"/>
  <c r="CM95" i="54"/>
  <c r="CN69" i="37"/>
  <c r="T73" i="37"/>
  <c r="U69" i="37"/>
  <c r="U73" i="37" s="1"/>
  <c r="CO96" i="37"/>
  <c r="CO95" i="37"/>
  <c r="G90" i="53"/>
  <c r="G92" i="53" s="1"/>
  <c r="G94" i="53" s="1"/>
  <c r="G96" i="53"/>
  <c r="G95" i="53"/>
  <c r="CP90" i="54"/>
  <c r="CP92" i="54" s="1"/>
  <c r="CP94" i="54" s="1"/>
  <c r="CP97" i="54"/>
  <c r="G90" i="37"/>
  <c r="G92" i="37" s="1"/>
  <c r="G94" i="37" s="1"/>
  <c r="G96" i="37"/>
  <c r="G95" i="37"/>
  <c r="BI69" i="53"/>
  <c r="BI73" i="53" s="1"/>
  <c r="BH73" i="53"/>
  <c r="AI96" i="37"/>
  <c r="AI95" i="37"/>
  <c r="D95" i="36"/>
  <c r="D96" i="36"/>
  <c r="CE95" i="53"/>
  <c r="CE96" i="53"/>
  <c r="BE90" i="36"/>
  <c r="BE92" i="36" s="1"/>
  <c r="BE94" i="36" s="1"/>
  <c r="BE97" i="36"/>
  <c r="BS90" i="53"/>
  <c r="BS97" i="53"/>
  <c r="CG90" i="53"/>
  <c r="CG92" i="53" s="1"/>
  <c r="CG94" i="53" s="1"/>
  <c r="CG97" i="53"/>
  <c r="M95" i="37"/>
  <c r="M96" i="37"/>
  <c r="BA96" i="37"/>
  <c r="BA95" i="37"/>
  <c r="CH88" i="36"/>
  <c r="AN73" i="53"/>
  <c r="AO69" i="53"/>
  <c r="AO73" i="53" s="1"/>
  <c r="AC90" i="36"/>
  <c r="AC92" i="36" s="1"/>
  <c r="AC94" i="36" s="1"/>
  <c r="AC97" i="36"/>
  <c r="CK90" i="53"/>
  <c r="CK92" i="53" s="1"/>
  <c r="CK94" i="53" s="1"/>
  <c r="CK97" i="53"/>
  <c r="AS95" i="36"/>
  <c r="AS96" i="36"/>
  <c r="CJ69" i="36"/>
  <c r="CJ73" i="36" s="1"/>
  <c r="T69" i="36"/>
  <c r="L73" i="36"/>
  <c r="L90" i="36" s="1"/>
  <c r="L92" i="36" s="1"/>
  <c r="CC69" i="54"/>
  <c r="CB73" i="54"/>
  <c r="CQ90" i="53"/>
  <c r="CQ92" i="53" s="1"/>
  <c r="CQ94" i="53" s="1"/>
  <c r="CQ96" i="53"/>
  <c r="CQ95" i="53"/>
  <c r="CR95" i="54"/>
  <c r="CR96" i="54"/>
  <c r="AN69" i="36"/>
  <c r="AF73" i="36"/>
  <c r="AF90" i="36" s="1"/>
  <c r="AF92" i="36" s="1"/>
  <c r="BP95" i="37"/>
  <c r="BP96" i="37"/>
  <c r="CN69" i="53"/>
  <c r="U69" i="53"/>
  <c r="U73" i="53" s="1"/>
  <c r="T73" i="53"/>
  <c r="BK90" i="54"/>
  <c r="BK92" i="54" s="1"/>
  <c r="BK96" i="54"/>
  <c r="BK95" i="54"/>
  <c r="CI79" i="36"/>
  <c r="K88" i="36"/>
  <c r="K97" i="36" s="1"/>
  <c r="AW96" i="36"/>
  <c r="AW95" i="36"/>
  <c r="BI69" i="54"/>
  <c r="BI73" i="54" s="1"/>
  <c r="BH73" i="54"/>
  <c r="N90" i="36"/>
  <c r="N92" i="36" s="1"/>
  <c r="N94" i="36" s="1"/>
  <c r="U88" i="54"/>
  <c r="BU90" i="36"/>
  <c r="BU92" i="36" s="1"/>
  <c r="BU94" i="36" s="1"/>
  <c r="BU97" i="36"/>
  <c r="J90" i="36"/>
  <c r="J92" i="36" s="1"/>
  <c r="J94" i="36" s="1"/>
  <c r="J97" i="36"/>
  <c r="K97" i="54"/>
  <c r="CG90" i="37"/>
  <c r="CG92" i="37" s="1"/>
  <c r="CG94" i="37" s="1"/>
  <c r="CG96" i="37"/>
  <c r="CG95" i="37"/>
  <c r="AQ90" i="53"/>
  <c r="AQ92" i="53" s="1"/>
  <c r="AQ96" i="53"/>
  <c r="AQ95" i="53"/>
  <c r="D96" i="37"/>
  <c r="D95" i="37"/>
  <c r="C90" i="53"/>
  <c r="C92" i="53" s="1"/>
  <c r="C96" i="53"/>
  <c r="C95" i="53"/>
  <c r="CM69" i="36"/>
  <c r="CM73" i="36" s="1"/>
  <c r="CJ88" i="36"/>
  <c r="AT90" i="36"/>
  <c r="AT92" i="36" s="1"/>
  <c r="AT94" i="36" s="1"/>
  <c r="AT97" i="36"/>
  <c r="O90" i="36"/>
  <c r="O92" i="36" s="1"/>
  <c r="O94" i="36" s="1"/>
  <c r="O97" i="36"/>
  <c r="M95" i="36"/>
  <c r="M96" i="36"/>
  <c r="AO69" i="54"/>
  <c r="AO73" i="54" s="1"/>
  <c r="AN73" i="54"/>
  <c r="K73" i="54"/>
  <c r="CI69" i="54"/>
  <c r="CA96" i="37"/>
  <c r="CA95" i="37"/>
  <c r="CJ96" i="54"/>
  <c r="CJ95" i="54"/>
  <c r="CK90" i="37"/>
  <c r="CK92" i="37" s="1"/>
  <c r="CK94" i="37" s="1"/>
  <c r="CK97" i="37"/>
  <c r="AX90" i="36"/>
  <c r="AX92" i="36" s="1"/>
  <c r="AX94" i="36" s="1"/>
  <c r="AX97" i="36"/>
  <c r="Y90" i="36"/>
  <c r="Y92" i="36" s="1"/>
  <c r="Y94" i="36" s="1"/>
  <c r="Y97" i="36"/>
  <c r="CI88" i="53"/>
  <c r="CI97" i="53" s="1"/>
  <c r="S90" i="36"/>
  <c r="S92" i="36" s="1"/>
  <c r="S94" i="36" s="1"/>
  <c r="S97" i="36"/>
  <c r="BA90" i="36"/>
  <c r="BA92" i="36" s="1"/>
  <c r="BA94" i="36" s="1"/>
  <c r="BA97" i="36"/>
  <c r="AO86" i="36"/>
  <c r="AU95" i="37"/>
  <c r="AU96" i="37"/>
  <c r="CJ96" i="37"/>
  <c r="CJ95" i="37"/>
  <c r="BS96" i="53"/>
  <c r="BS95" i="53"/>
  <c r="CE69" i="36"/>
  <c r="CE73" i="36" s="1"/>
  <c r="CO69" i="36"/>
  <c r="CO73" i="36" s="1"/>
  <c r="K69" i="36"/>
  <c r="C73" i="36"/>
  <c r="AM95" i="36"/>
  <c r="AM96" i="36"/>
  <c r="AZ73" i="36"/>
  <c r="AZ90" i="36" s="1"/>
  <c r="AZ92" i="36" s="1"/>
  <c r="BH69" i="36"/>
  <c r="W90" i="37"/>
  <c r="W92" i="37" s="1"/>
  <c r="W96" i="37"/>
  <c r="W95" i="37"/>
  <c r="I90" i="54"/>
  <c r="I92" i="54" s="1"/>
  <c r="I94" i="54" s="1"/>
  <c r="I95" i="54"/>
  <c r="I96" i="54"/>
  <c r="AO69" i="37"/>
  <c r="AO73" i="37" s="1"/>
  <c r="AN73" i="37"/>
  <c r="W90" i="54"/>
  <c r="W92" i="54" s="1"/>
  <c r="W96" i="54"/>
  <c r="W95" i="54"/>
  <c r="CP95" i="53"/>
  <c r="CP96" i="53"/>
  <c r="BP96" i="36"/>
  <c r="BP95" i="36"/>
  <c r="CP96" i="54"/>
  <c r="CP95" i="54"/>
  <c r="BS90" i="54"/>
  <c r="BS96" i="54"/>
  <c r="BS95" i="54"/>
  <c r="CR90" i="54"/>
  <c r="CR92" i="54" s="1"/>
  <c r="CR94" i="54" s="1"/>
  <c r="CO88" i="36"/>
  <c r="CJ90" i="37"/>
  <c r="CJ92" i="37" s="1"/>
  <c r="CJ94" i="37" s="1"/>
  <c r="CL73" i="36"/>
  <c r="BO95" i="37"/>
  <c r="BO96" i="37"/>
  <c r="CC69" i="37"/>
  <c r="CB73" i="37"/>
  <c r="BH92" i="54"/>
  <c r="BH94" i="54" s="1"/>
  <c r="AR96" i="37"/>
  <c r="AR95" i="37"/>
  <c r="AV90" i="36"/>
  <c r="AV92" i="36" s="1"/>
  <c r="AV94" i="36" s="1"/>
  <c r="AV97" i="36"/>
  <c r="CM90" i="53"/>
  <c r="CM92" i="53" s="1"/>
  <c r="CM94" i="53" s="1"/>
  <c r="CM97" i="53"/>
  <c r="AQ97" i="36"/>
  <c r="CM95" i="53"/>
  <c r="CM96" i="53"/>
  <c r="Z90" i="36"/>
  <c r="Z92" i="36" s="1"/>
  <c r="Z94" i="36" s="1"/>
  <c r="Z97" i="36"/>
  <c r="CI81" i="36"/>
  <c r="CN81" i="36"/>
  <c r="U81" i="36"/>
  <c r="W97" i="36"/>
  <c r="BI88" i="37"/>
  <c r="BI97" i="37" s="1"/>
  <c r="G73" i="36"/>
  <c r="CG69" i="36"/>
  <c r="CG73" i="36" s="1"/>
  <c r="CQ69" i="36"/>
  <c r="CQ73" i="36" s="1"/>
  <c r="CR90" i="37"/>
  <c r="CR92" i="37" s="1"/>
  <c r="CR94" i="37" s="1"/>
  <c r="CR96" i="37"/>
  <c r="CR95" i="37"/>
  <c r="AY90" i="53"/>
  <c r="AY95" i="53"/>
  <c r="AY96" i="53"/>
  <c r="BL96" i="37"/>
  <c r="BL95" i="37"/>
  <c r="BS69" i="36"/>
  <c r="BS73" i="36" s="1"/>
  <c r="BS90" i="36" s="1"/>
  <c r="BK73" i="36"/>
  <c r="J96" i="36"/>
  <c r="J95" i="36"/>
  <c r="CG88" i="36"/>
  <c r="CG97" i="36" s="1"/>
  <c r="BF90" i="36"/>
  <c r="BF92" i="36" s="1"/>
  <c r="BF94" i="36" s="1"/>
  <c r="BQ95" i="36"/>
  <c r="BQ96" i="36"/>
  <c r="BG96" i="37"/>
  <c r="BG95" i="37"/>
  <c r="CO96" i="53"/>
  <c r="CO95" i="53"/>
  <c r="X95" i="36"/>
  <c r="X96" i="36"/>
  <c r="BW90" i="36"/>
  <c r="BW92" i="36" s="1"/>
  <c r="BW94" i="36" s="1"/>
  <c r="BW97" i="36"/>
  <c r="CJ90" i="54"/>
  <c r="CJ92" i="54" s="1"/>
  <c r="CJ94" i="54" s="1"/>
  <c r="CJ97" i="54"/>
  <c r="H90" i="36"/>
  <c r="H92" i="36" s="1"/>
  <c r="H94" i="36" s="1"/>
  <c r="H97" i="36"/>
  <c r="BR90" i="36"/>
  <c r="BR92" i="36" s="1"/>
  <c r="BR94" i="36" s="1"/>
  <c r="BR97" i="36"/>
  <c r="CE90" i="37"/>
  <c r="CE92" i="37" s="1"/>
  <c r="CE94" i="37" s="1"/>
  <c r="CE97" i="37"/>
  <c r="AM90" i="36"/>
  <c r="AM92" i="36" s="1"/>
  <c r="AM94" i="36" s="1"/>
  <c r="CN79" i="36"/>
  <c r="T88" i="36"/>
  <c r="T97" i="36" s="1"/>
  <c r="U79" i="36"/>
  <c r="CL95" i="53"/>
  <c r="CL96" i="53"/>
  <c r="CS79" i="37"/>
  <c r="CC88" i="37"/>
  <c r="CN88" i="53"/>
  <c r="CN90" i="53" s="1"/>
  <c r="CN92" i="53" s="1"/>
  <c r="O95" i="36"/>
  <c r="O96" i="36"/>
  <c r="AX96" i="37"/>
  <c r="AX95" i="37"/>
  <c r="CB92" i="53"/>
  <c r="CB94" i="53" s="1"/>
  <c r="CP96" i="37"/>
  <c r="CP95" i="37"/>
  <c r="BW95" i="36"/>
  <c r="BW96" i="36"/>
  <c r="AC95" i="36"/>
  <c r="AC96" i="36"/>
  <c r="CE95" i="54"/>
  <c r="CE96" i="54"/>
  <c r="AQ90" i="54"/>
  <c r="AQ92" i="54" s="1"/>
  <c r="AQ96" i="54"/>
  <c r="AQ95" i="54"/>
  <c r="F90" i="36"/>
  <c r="F92" i="36" s="1"/>
  <c r="F94" i="36" s="1"/>
  <c r="F97" i="36"/>
  <c r="CR88" i="36"/>
  <c r="X90" i="36"/>
  <c r="X92" i="36" s="1"/>
  <c r="X94" i="36" s="1"/>
  <c r="W90" i="53"/>
  <c r="W92" i="53" s="1"/>
  <c r="W95" i="53"/>
  <c r="W96" i="53"/>
  <c r="AA96" i="37"/>
  <c r="AA95" i="37"/>
  <c r="CG90" i="54"/>
  <c r="CG92" i="54" s="1"/>
  <c r="CG94" i="54" s="1"/>
  <c r="CG97" i="54"/>
  <c r="CM90" i="37"/>
  <c r="CM92" i="37" s="1"/>
  <c r="CM94" i="37" s="1"/>
  <c r="CM97" i="37"/>
  <c r="CF90" i="37"/>
  <c r="CF92" i="37" s="1"/>
  <c r="CF94" i="37" s="1"/>
  <c r="CF97" i="37"/>
  <c r="C90" i="37"/>
  <c r="C92" i="37" s="1"/>
  <c r="C96" i="37"/>
  <c r="C95" i="37"/>
  <c r="AG95" i="36"/>
  <c r="AG96" i="36"/>
  <c r="BH73" i="37"/>
  <c r="BI69" i="37"/>
  <c r="BI73" i="37" s="1"/>
  <c r="CH90" i="54"/>
  <c r="CH92" i="54" s="1"/>
  <c r="CH94" i="54" s="1"/>
  <c r="CH95" i="54"/>
  <c r="CH96" i="54"/>
  <c r="CQ90" i="54"/>
  <c r="CQ92" i="54" s="1"/>
  <c r="CQ94" i="54" s="1"/>
  <c r="CQ95" i="54"/>
  <c r="CQ96" i="54"/>
  <c r="CF96" i="53"/>
  <c r="CF95" i="53"/>
  <c r="AD95" i="37"/>
  <c r="AD96" i="37"/>
  <c r="AB96" i="36"/>
  <c r="AB95" i="36"/>
  <c r="CJ95" i="53"/>
  <c r="CJ96" i="53"/>
  <c r="I90" i="53"/>
  <c r="I92" i="53" s="1"/>
  <c r="I94" i="53" s="1"/>
  <c r="I95" i="53"/>
  <c r="I96" i="53"/>
  <c r="AN88" i="36"/>
  <c r="AN97" i="36" s="1"/>
  <c r="AO79" i="36"/>
  <c r="CB88" i="36"/>
  <c r="CB97" i="36" s="1"/>
  <c r="CC79" i="36"/>
  <c r="AW95" i="37"/>
  <c r="AW96" i="37"/>
  <c r="BR95" i="37"/>
  <c r="BR96" i="37"/>
  <c r="CK88" i="36"/>
  <c r="AK96" i="36"/>
  <c r="AK95" i="36"/>
  <c r="CE90" i="53"/>
  <c r="CE92" i="53" s="1"/>
  <c r="CE94" i="53" s="1"/>
  <c r="CE97" i="53"/>
  <c r="AG90" i="36"/>
  <c r="AG92" i="36" s="1"/>
  <c r="AG94" i="36" s="1"/>
  <c r="AG97" i="36"/>
  <c r="F95" i="36"/>
  <c r="F96" i="36"/>
  <c r="CH90" i="37"/>
  <c r="CH92" i="37" s="1"/>
  <c r="CH94" i="37" s="1"/>
  <c r="CH95" i="37"/>
  <c r="CH96" i="37"/>
  <c r="BC95" i="37"/>
  <c r="BC96" i="37"/>
  <c r="AQ96" i="37"/>
  <c r="AQ95" i="37"/>
  <c r="BS96" i="37"/>
  <c r="BS95" i="37"/>
  <c r="CQ97" i="36"/>
  <c r="D40" i="6"/>
  <c r="BR90" i="37"/>
  <c r="BR92" i="37" s="1"/>
  <c r="BR94" i="37" s="1"/>
  <c r="S96" i="36"/>
  <c r="S95" i="36"/>
  <c r="U88" i="53"/>
  <c r="CP90" i="37"/>
  <c r="CP92" i="37" s="1"/>
  <c r="CP94" i="37" s="1"/>
  <c r="CP97" i="37"/>
  <c r="H95" i="36"/>
  <c r="H96" i="36"/>
  <c r="CF69" i="36"/>
  <c r="CF73" i="36" s="1"/>
  <c r="E73" i="36"/>
  <c r="CP69" i="36"/>
  <c r="CP73" i="36" s="1"/>
  <c r="CO96" i="54"/>
  <c r="CO95" i="54"/>
  <c r="CA95" i="36"/>
  <c r="CA96" i="36"/>
  <c r="CF90" i="53"/>
  <c r="CF92" i="53" s="1"/>
  <c r="CF94" i="53" s="1"/>
  <c r="AB90" i="36"/>
  <c r="AB92" i="36" s="1"/>
  <c r="AB94" i="36" s="1"/>
  <c r="BU95" i="36"/>
  <c r="BU96" i="36"/>
  <c r="AV96" i="37"/>
  <c r="AV95" i="37"/>
  <c r="CQ90" i="37"/>
  <c r="CQ92" i="37" s="1"/>
  <c r="CQ94" i="37" s="1"/>
  <c r="CQ97" i="37"/>
  <c r="AV90" i="37"/>
  <c r="AV92" i="37" s="1"/>
  <c r="AV94" i="37" s="1"/>
  <c r="AO71" i="36"/>
  <c r="BP90" i="36"/>
  <c r="BP92" i="36" s="1"/>
  <c r="BP94" i="36" s="1"/>
  <c r="BP97" i="36"/>
  <c r="CL96" i="54"/>
  <c r="CL95" i="54"/>
  <c r="CI71" i="36"/>
  <c r="BI79" i="36"/>
  <c r="BH88" i="36"/>
  <c r="BH97" i="36" s="1"/>
  <c r="CE96" i="37"/>
  <c r="CE95" i="37"/>
  <c r="AE95" i="37"/>
  <c r="AE96" i="37"/>
  <c r="CG95" i="54"/>
  <c r="CG96" i="54"/>
  <c r="CF96" i="54"/>
  <c r="CF95" i="54"/>
  <c r="CR90" i="53"/>
  <c r="CR92" i="53" s="1"/>
  <c r="CR94" i="53" s="1"/>
  <c r="CR95" i="53"/>
  <c r="CR96" i="53"/>
  <c r="CS79" i="54"/>
  <c r="CC88" i="54"/>
  <c r="AR96" i="36"/>
  <c r="AR95" i="36"/>
  <c r="CI88" i="37"/>
  <c r="CI97" i="37" s="1"/>
  <c r="BM96" i="36"/>
  <c r="BM95" i="36"/>
  <c r="CP90" i="53"/>
  <c r="CP92" i="53" s="1"/>
  <c r="CP94" i="53" s="1"/>
  <c r="CP97" i="53"/>
  <c r="I90" i="37"/>
  <c r="I92" i="37" s="1"/>
  <c r="I94" i="37" s="1"/>
  <c r="I96" i="37"/>
  <c r="I95" i="37"/>
  <c r="AY90" i="37"/>
  <c r="AY96" i="37"/>
  <c r="AY95" i="37"/>
  <c r="J96" i="37"/>
  <c r="J95" i="37"/>
  <c r="AD90" i="37"/>
  <c r="AD92" i="37" s="1"/>
  <c r="AD94" i="37" s="1"/>
  <c r="CF88" i="36"/>
  <c r="CA90" i="36"/>
  <c r="CA92" i="36" s="1"/>
  <c r="CA94" i="36" s="1"/>
  <c r="S96" i="37"/>
  <c r="S95" i="37"/>
  <c r="D90" i="36"/>
  <c r="D92" i="36" s="1"/>
  <c r="D94" i="36" s="1"/>
  <c r="H96" i="37"/>
  <c r="H95" i="37"/>
  <c r="CF95" i="37"/>
  <c r="CF96" i="37"/>
  <c r="BA96" i="36"/>
  <c r="BA95" i="36"/>
  <c r="S90" i="37"/>
  <c r="S92" i="37" s="1"/>
  <c r="S94" i="37" s="1"/>
  <c r="AE90" i="53"/>
  <c r="AE96" i="53"/>
  <c r="AE95" i="53"/>
  <c r="AA95" i="36"/>
  <c r="AA96" i="36"/>
  <c r="CM96" i="37"/>
  <c r="CM95" i="37"/>
  <c r="CN86" i="36"/>
  <c r="U86" i="36"/>
  <c r="AI90" i="36"/>
  <c r="AI92" i="36" s="1"/>
  <c r="AI94" i="36" s="1"/>
  <c r="AI97" i="36"/>
  <c r="K97" i="53"/>
  <c r="AS90" i="36"/>
  <c r="AS92" i="36" s="1"/>
  <c r="AS94" i="36" s="1"/>
  <c r="AS97" i="36"/>
  <c r="CK95" i="37"/>
  <c r="CK96" i="37"/>
  <c r="BY95" i="36"/>
  <c r="BY96" i="36"/>
  <c r="CA90" i="37"/>
  <c r="CA92" i="37" s="1"/>
  <c r="CA94" i="37" s="1"/>
  <c r="CE90" i="54"/>
  <c r="CE92" i="54" s="1"/>
  <c r="CE94" i="54" s="1"/>
  <c r="CE97" i="54"/>
  <c r="M90" i="36"/>
  <c r="M92" i="36" s="1"/>
  <c r="M94" i="36" s="1"/>
  <c r="AU96" i="36"/>
  <c r="AU95" i="36"/>
  <c r="BK90" i="53"/>
  <c r="BK92" i="53" s="1"/>
  <c r="BK96" i="53"/>
  <c r="BK95" i="53"/>
  <c r="CI69" i="37"/>
  <c r="K73" i="37"/>
  <c r="CI73" i="37" s="1"/>
  <c r="AG96" i="37"/>
  <c r="AG95" i="37"/>
  <c r="CG95" i="53"/>
  <c r="CG96" i="53"/>
  <c r="AM96" i="37"/>
  <c r="AM95" i="37"/>
  <c r="AE69" i="36"/>
  <c r="AE73" i="36" s="1"/>
  <c r="W73" i="36"/>
  <c r="W90" i="36" s="1"/>
  <c r="W92" i="36" s="1"/>
  <c r="G90" i="54"/>
  <c r="G92" i="54" s="1"/>
  <c r="G94" i="54" s="1"/>
  <c r="G96" i="54"/>
  <c r="G95" i="54"/>
  <c r="AE90" i="54"/>
  <c r="AE96" i="54"/>
  <c r="AE95" i="54"/>
  <c r="E90" i="53"/>
  <c r="E92" i="53" s="1"/>
  <c r="E94" i="53" s="1"/>
  <c r="E96" i="53"/>
  <c r="E95" i="53"/>
  <c r="AD95" i="36"/>
  <c r="AD96" i="36"/>
  <c r="AB96" i="37"/>
  <c r="AB95" i="37"/>
  <c r="E90" i="54"/>
  <c r="E92" i="54" s="1"/>
  <c r="E94" i="54" s="1"/>
  <c r="E96" i="54"/>
  <c r="E95" i="54"/>
  <c r="CH96" i="53"/>
  <c r="CH95" i="53"/>
  <c r="CN73" i="36"/>
  <c r="CO90" i="54"/>
  <c r="CO92" i="54" s="1"/>
  <c r="CO94" i="54" s="1"/>
  <c r="BO96" i="36"/>
  <c r="BO95" i="36"/>
  <c r="CB69" i="36"/>
  <c r="BT73" i="36"/>
  <c r="BT90" i="36" s="1"/>
  <c r="BT92" i="36" s="1"/>
  <c r="BR96" i="36"/>
  <c r="BR95" i="36"/>
  <c r="AU90" i="37"/>
  <c r="AU92" i="37" s="1"/>
  <c r="AU94" i="37" s="1"/>
  <c r="AY88" i="36"/>
  <c r="AY97" i="36" s="1"/>
  <c r="CS81" i="54"/>
  <c r="CM90" i="54"/>
  <c r="CM92" i="54" s="1"/>
  <c r="CM94" i="54" s="1"/>
  <c r="CM97" i="54"/>
  <c r="CJ90" i="53"/>
  <c r="CJ92" i="53" s="1"/>
  <c r="CJ94" i="53" s="1"/>
  <c r="CJ97" i="53"/>
  <c r="BA90" i="37"/>
  <c r="BA92" i="37" s="1"/>
  <c r="BA94" i="37" s="1"/>
  <c r="AE88" i="36"/>
  <c r="D90" i="37"/>
  <c r="D92" i="37" s="1"/>
  <c r="D94" i="37" s="1"/>
  <c r="CS71" i="53"/>
  <c r="F95" i="37"/>
  <c r="F96" i="37"/>
  <c r="CQ95" i="37"/>
  <c r="CQ96" i="37"/>
  <c r="CH69" i="36"/>
  <c r="CH73" i="36" s="1"/>
  <c r="I73" i="36"/>
  <c r="CR69" i="36"/>
  <c r="CR73" i="36" s="1"/>
  <c r="BC95" i="36"/>
  <c r="BC96" i="36"/>
  <c r="AY69" i="36"/>
  <c r="AY73" i="36" s="1"/>
  <c r="AQ73" i="36"/>
  <c r="BL96" i="36"/>
  <c r="BL95" i="36"/>
  <c r="BK90" i="37"/>
  <c r="BK92" i="37" s="1"/>
  <c r="BK95" i="37"/>
  <c r="BK96" i="37"/>
  <c r="BH92" i="53"/>
  <c r="BH94" i="53" s="1"/>
  <c r="AI96" i="36"/>
  <c r="AI95" i="36"/>
  <c r="CN71" i="36"/>
  <c r="U71" i="36"/>
  <c r="CP88" i="36"/>
  <c r="BS90" i="37"/>
  <c r="BQ96" i="37"/>
  <c r="BQ95" i="37"/>
  <c r="BG90" i="36"/>
  <c r="BG92" i="36" s="1"/>
  <c r="BG94" i="36" s="1"/>
  <c r="BG95" i="36"/>
  <c r="BG96" i="36"/>
  <c r="K73" i="53"/>
  <c r="CI69" i="53"/>
  <c r="X96" i="37"/>
  <c r="X95" i="37"/>
  <c r="CS81" i="37"/>
  <c r="CM88" i="36"/>
  <c r="CI86" i="36"/>
  <c r="CO90" i="37"/>
  <c r="CO92" i="37" s="1"/>
  <c r="CO94" i="37" s="1"/>
  <c r="CO97" i="37"/>
  <c r="CK96" i="54"/>
  <c r="CK95" i="54"/>
  <c r="AR90" i="36"/>
  <c r="AR92" i="36" s="1"/>
  <c r="AR94" i="36" s="1"/>
  <c r="CS71" i="54"/>
  <c r="O96" i="37"/>
  <c r="O95" i="37"/>
  <c r="AX95" i="36"/>
  <c r="AX96" i="36"/>
  <c r="CC69" i="53"/>
  <c r="CB73" i="53"/>
  <c r="E90" i="37"/>
  <c r="E92" i="37" s="1"/>
  <c r="E94" i="37" s="1"/>
  <c r="E96" i="37"/>
  <c r="E95" i="37"/>
  <c r="BW95" i="37"/>
  <c r="BW96" i="37"/>
  <c r="AC96" i="37"/>
  <c r="AC95" i="37"/>
  <c r="C90" i="54"/>
  <c r="C92" i="54" s="1"/>
  <c r="C95" i="54"/>
  <c r="C96" i="54"/>
  <c r="AY90" i="54"/>
  <c r="AY96" i="54"/>
  <c r="AY95" i="54"/>
  <c r="BM90" i="36"/>
  <c r="BM92" i="36" s="1"/>
  <c r="BM94" i="36" s="1"/>
  <c r="CK95" i="53"/>
  <c r="CK96" i="53"/>
  <c r="BI86" i="36"/>
  <c r="BU95" i="37"/>
  <c r="BU96" i="37"/>
  <c r="AN92" i="53"/>
  <c r="AN94" i="53" s="1"/>
  <c r="AV95" i="36"/>
  <c r="AV96" i="36"/>
  <c r="T73" i="54"/>
  <c r="CN69" i="54"/>
  <c r="U69" i="54"/>
  <c r="U73" i="54" s="1"/>
  <c r="CK96" i="36" l="1"/>
  <c r="CE90" i="36"/>
  <c r="CE92" i="36" s="1"/>
  <c r="CE94" i="36" s="1"/>
  <c r="CS81" i="36"/>
  <c r="AO90" i="37"/>
  <c r="AO92" i="37" s="1"/>
  <c r="AO94" i="37" s="1"/>
  <c r="U88" i="36"/>
  <c r="U97" i="36" s="1"/>
  <c r="CS86" i="36"/>
  <c r="CS88" i="53"/>
  <c r="CS97" i="53" s="1"/>
  <c r="CS88" i="37"/>
  <c r="CS97" i="37" s="1"/>
  <c r="CB92" i="36"/>
  <c r="CB94" i="36" s="1"/>
  <c r="CN88" i="36"/>
  <c r="CN90" i="36" s="1"/>
  <c r="CN92" i="36" s="1"/>
  <c r="AN92" i="36"/>
  <c r="AN94" i="36" s="1"/>
  <c r="C94" i="54"/>
  <c r="K92" i="54"/>
  <c r="K94" i="54" s="1"/>
  <c r="AQ95" i="36"/>
  <c r="AQ96" i="36"/>
  <c r="CC97" i="54"/>
  <c r="CI90" i="37"/>
  <c r="CI92" i="37" s="1"/>
  <c r="CI94" i="37" s="1"/>
  <c r="CI95" i="37"/>
  <c r="CI96" i="37"/>
  <c r="CK90" i="36"/>
  <c r="CK92" i="36" s="1"/>
  <c r="CK94" i="36" s="1"/>
  <c r="CK97" i="36"/>
  <c r="CS79" i="36"/>
  <c r="CS88" i="36" s="1"/>
  <c r="CC88" i="36"/>
  <c r="CR97" i="36"/>
  <c r="E40" i="6"/>
  <c r="CC97" i="37"/>
  <c r="CO95" i="36"/>
  <c r="CO96" i="36"/>
  <c r="B38" i="6"/>
  <c r="CS69" i="54"/>
  <c r="CC73" i="54"/>
  <c r="CM90" i="36"/>
  <c r="CM92" i="36" s="1"/>
  <c r="CM94" i="36" s="1"/>
  <c r="CM97" i="36"/>
  <c r="BS92" i="37"/>
  <c r="BS94" i="37" s="1"/>
  <c r="BK94" i="37"/>
  <c r="CS88" i="54"/>
  <c r="CS97" i="54" s="1"/>
  <c r="AE92" i="36"/>
  <c r="AE94" i="36" s="1"/>
  <c r="W94" i="36"/>
  <c r="AE92" i="37"/>
  <c r="AE94" i="37" s="1"/>
  <c r="W94" i="37"/>
  <c r="CE96" i="36"/>
  <c r="CE95" i="36"/>
  <c r="CJ90" i="36"/>
  <c r="CJ92" i="36" s="1"/>
  <c r="CJ94" i="36" s="1"/>
  <c r="CJ97" i="36"/>
  <c r="T92" i="36"/>
  <c r="T94" i="36" s="1"/>
  <c r="U90" i="37"/>
  <c r="U92" i="37" s="1"/>
  <c r="U94" i="37" s="1"/>
  <c r="U96" i="37"/>
  <c r="U95" i="37"/>
  <c r="CI73" i="53"/>
  <c r="K95" i="53"/>
  <c r="K96" i="53"/>
  <c r="CS71" i="36"/>
  <c r="CC69" i="36"/>
  <c r="CB73" i="36"/>
  <c r="AO88" i="36"/>
  <c r="AO97" i="36" s="1"/>
  <c r="AE92" i="53"/>
  <c r="AE94" i="53" s="1"/>
  <c r="W94" i="53"/>
  <c r="BK90" i="36"/>
  <c r="BK92" i="36" s="1"/>
  <c r="BK96" i="36"/>
  <c r="BK95" i="36"/>
  <c r="G90" i="36"/>
  <c r="G92" i="36" s="1"/>
  <c r="G94" i="36" s="1"/>
  <c r="G96" i="36"/>
  <c r="G95" i="36"/>
  <c r="AQ90" i="36"/>
  <c r="AQ92" i="36" s="1"/>
  <c r="CB90" i="37"/>
  <c r="CB95" i="37"/>
  <c r="CB96" i="37"/>
  <c r="CL96" i="36"/>
  <c r="CL95" i="36"/>
  <c r="AN90" i="37"/>
  <c r="AN95" i="37"/>
  <c r="AN96" i="37"/>
  <c r="BI69" i="36"/>
  <c r="BI73" i="36" s="1"/>
  <c r="BH73" i="36"/>
  <c r="C90" i="36"/>
  <c r="C92" i="36" s="1"/>
  <c r="C95" i="36"/>
  <c r="C96" i="36"/>
  <c r="AO90" i="54"/>
  <c r="AO92" i="54" s="1"/>
  <c r="AO94" i="54" s="1"/>
  <c r="AO96" i="54"/>
  <c r="AO95" i="54"/>
  <c r="CM95" i="36"/>
  <c r="CM96" i="36"/>
  <c r="AY92" i="53"/>
  <c r="AY94" i="53" s="1"/>
  <c r="AQ94" i="53"/>
  <c r="BH90" i="54"/>
  <c r="BH95" i="54"/>
  <c r="BH96" i="54"/>
  <c r="BS92" i="54"/>
  <c r="BS94" i="54" s="1"/>
  <c r="BK94" i="54"/>
  <c r="U69" i="36"/>
  <c r="U73" i="36" s="1"/>
  <c r="CN69" i="36"/>
  <c r="T73" i="36"/>
  <c r="AO90" i="53"/>
  <c r="AO92" i="53" s="1"/>
  <c r="AO94" i="53" s="1"/>
  <c r="AO95" i="53"/>
  <c r="AO96" i="53"/>
  <c r="BI90" i="53"/>
  <c r="BI92" i="53" s="1"/>
  <c r="BI94" i="53" s="1"/>
  <c r="BI95" i="53"/>
  <c r="BI96" i="53"/>
  <c r="T90" i="37"/>
  <c r="T92" i="37" s="1"/>
  <c r="T94" i="37" s="1"/>
  <c r="T95" i="37"/>
  <c r="T96" i="37"/>
  <c r="CB90" i="53"/>
  <c r="CB95" i="53"/>
  <c r="CB96" i="53"/>
  <c r="CR90" i="36"/>
  <c r="CR92" i="36" s="1"/>
  <c r="CR95" i="36"/>
  <c r="CR96" i="36"/>
  <c r="E38" i="6"/>
  <c r="AE95" i="36"/>
  <c r="AE96" i="36"/>
  <c r="CP95" i="36"/>
  <c r="CP96" i="36"/>
  <c r="C38" i="6"/>
  <c r="CQ96" i="36"/>
  <c r="CQ95" i="36"/>
  <c r="D38" i="6"/>
  <c r="CO90" i="36"/>
  <c r="CO97" i="36"/>
  <c r="B40" i="6"/>
  <c r="CI73" i="54"/>
  <c r="K95" i="54"/>
  <c r="K96" i="54"/>
  <c r="U90" i="54"/>
  <c r="U92" i="54" s="1"/>
  <c r="U94" i="54" s="1"/>
  <c r="U97" i="54"/>
  <c r="U95" i="53"/>
  <c r="U96" i="53"/>
  <c r="CH90" i="36"/>
  <c r="CH92" i="36" s="1"/>
  <c r="CH94" i="36" s="1"/>
  <c r="CH97" i="36"/>
  <c r="T90" i="54"/>
  <c r="T92" i="54" s="1"/>
  <c r="T94" i="54" s="1"/>
  <c r="T95" i="54"/>
  <c r="T96" i="54"/>
  <c r="CS69" i="53"/>
  <c r="CC73" i="53"/>
  <c r="CC90" i="53" s="1"/>
  <c r="CC92" i="53" s="1"/>
  <c r="CC94" i="53" s="1"/>
  <c r="CP90" i="36"/>
  <c r="CP92" i="36" s="1"/>
  <c r="C40" i="6"/>
  <c r="CP97" i="36"/>
  <c r="AY90" i="36"/>
  <c r="AY95" i="36"/>
  <c r="AY96" i="36"/>
  <c r="I90" i="36"/>
  <c r="I92" i="36" s="1"/>
  <c r="I94" i="36" s="1"/>
  <c r="I95" i="36"/>
  <c r="I96" i="36"/>
  <c r="AE90" i="36"/>
  <c r="AE97" i="36"/>
  <c r="E90" i="36"/>
  <c r="E92" i="36" s="1"/>
  <c r="E94" i="36" s="1"/>
  <c r="E96" i="36"/>
  <c r="E95" i="36"/>
  <c r="CQ90" i="36"/>
  <c r="CQ92" i="36" s="1"/>
  <c r="BI90" i="37"/>
  <c r="BI92" i="37" s="1"/>
  <c r="BI94" i="37" s="1"/>
  <c r="BI95" i="37"/>
  <c r="BI96" i="37"/>
  <c r="AY92" i="54"/>
  <c r="AY94" i="54" s="1"/>
  <c r="AQ94" i="54"/>
  <c r="CG90" i="36"/>
  <c r="CG92" i="36" s="1"/>
  <c r="CG94" i="36" s="1"/>
  <c r="CG95" i="36"/>
  <c r="CG96" i="36"/>
  <c r="AE92" i="54"/>
  <c r="AE94" i="54" s="1"/>
  <c r="W94" i="54"/>
  <c r="AN90" i="54"/>
  <c r="AN96" i="54"/>
  <c r="AN95" i="54"/>
  <c r="K92" i="53"/>
  <c r="K94" i="53" s="1"/>
  <c r="C94" i="53"/>
  <c r="AN73" i="36"/>
  <c r="AO69" i="36"/>
  <c r="AO73" i="36" s="1"/>
  <c r="BH90" i="53"/>
  <c r="BH96" i="53"/>
  <c r="BH95" i="53"/>
  <c r="CC97" i="53"/>
  <c r="CH95" i="36"/>
  <c r="CH96" i="36"/>
  <c r="CF95" i="36"/>
  <c r="CF96" i="36"/>
  <c r="BH90" i="37"/>
  <c r="BH95" i="37"/>
  <c r="BH96" i="37"/>
  <c r="U95" i="54"/>
  <c r="U96" i="54"/>
  <c r="W95" i="36"/>
  <c r="W96" i="36"/>
  <c r="K90" i="37"/>
  <c r="K96" i="37"/>
  <c r="K95" i="37"/>
  <c r="BS92" i="53"/>
  <c r="BS94" i="53" s="1"/>
  <c r="BK94" i="53"/>
  <c r="K90" i="53"/>
  <c r="CF90" i="36"/>
  <c r="CF92" i="36" s="1"/>
  <c r="CF94" i="36" s="1"/>
  <c r="CF97" i="36"/>
  <c r="BH92" i="37"/>
  <c r="BH94" i="37" s="1"/>
  <c r="BI88" i="36"/>
  <c r="BI97" i="36" s="1"/>
  <c r="U90" i="53"/>
  <c r="U92" i="53" s="1"/>
  <c r="U94" i="53" s="1"/>
  <c r="U97" i="53"/>
  <c r="CB92" i="37"/>
  <c r="CB94" i="37" s="1"/>
  <c r="K92" i="37"/>
  <c r="K94" i="37" s="1"/>
  <c r="C94" i="37"/>
  <c r="CL90" i="36"/>
  <c r="CL92" i="36" s="1"/>
  <c r="CL94" i="36" s="1"/>
  <c r="BS96" i="36"/>
  <c r="BS95" i="36"/>
  <c r="CC73" i="37"/>
  <c r="CC90" i="37" s="1"/>
  <c r="CC92" i="37" s="1"/>
  <c r="CC94" i="37" s="1"/>
  <c r="CS69" i="37"/>
  <c r="AO96" i="37"/>
  <c r="AO95" i="37"/>
  <c r="BH92" i="36"/>
  <c r="BH94" i="36" s="1"/>
  <c r="K73" i="36"/>
  <c r="CI69" i="36"/>
  <c r="K90" i="54"/>
  <c r="BI90" i="54"/>
  <c r="BI92" i="54" s="1"/>
  <c r="BI94" i="54" s="1"/>
  <c r="BI95" i="54"/>
  <c r="BI96" i="54"/>
  <c r="CI88" i="36"/>
  <c r="CI97" i="36" s="1"/>
  <c r="T90" i="53"/>
  <c r="T92" i="53" s="1"/>
  <c r="T94" i="53" s="1"/>
  <c r="T96" i="53"/>
  <c r="T95" i="53"/>
  <c r="CB90" i="54"/>
  <c r="CB96" i="54"/>
  <c r="CB95" i="54"/>
  <c r="CJ95" i="36"/>
  <c r="CJ96" i="36"/>
  <c r="AN90" i="53"/>
  <c r="AN95" i="53"/>
  <c r="AN96" i="53"/>
  <c r="AY92" i="37"/>
  <c r="AY94" i="37" s="1"/>
  <c r="CO92" i="36" l="1"/>
  <c r="B15" i="6" s="1"/>
  <c r="D10" i="13"/>
  <c r="D13" i="13" s="1"/>
  <c r="D27" i="13" s="1"/>
  <c r="D36" i="13" s="1"/>
  <c r="D13" i="6"/>
  <c r="D15" i="6"/>
  <c r="D14" i="6"/>
  <c r="D35" i="6"/>
  <c r="CQ94" i="36"/>
  <c r="CI90" i="54"/>
  <c r="CI92" i="54" s="1"/>
  <c r="CI94" i="54" s="1"/>
  <c r="CI95" i="54"/>
  <c r="CI96" i="54"/>
  <c r="T90" i="36"/>
  <c r="T96" i="36"/>
  <c r="T95" i="36"/>
  <c r="CS69" i="36"/>
  <c r="CC73" i="36"/>
  <c r="CC90" i="36" s="1"/>
  <c r="CC92" i="36" s="1"/>
  <c r="CC94" i="36" s="1"/>
  <c r="CS97" i="36"/>
  <c r="C94" i="36"/>
  <c r="K92" i="36"/>
  <c r="K94" i="36" s="1"/>
  <c r="K90" i="36"/>
  <c r="K96" i="36"/>
  <c r="K95" i="36"/>
  <c r="CI73" i="36"/>
  <c r="C14" i="6"/>
  <c r="C10" i="13"/>
  <c r="C13" i="13" s="1"/>
  <c r="C27" i="13" s="1"/>
  <c r="C36" i="13" s="1"/>
  <c r="C13" i="6"/>
  <c r="C15" i="6"/>
  <c r="C35" i="6"/>
  <c r="CP94" i="36"/>
  <c r="U90" i="36"/>
  <c r="U92" i="36" s="1"/>
  <c r="U94" i="36" s="1"/>
  <c r="U95" i="36"/>
  <c r="U96" i="36"/>
  <c r="BH90" i="36"/>
  <c r="BH96" i="36"/>
  <c r="BH95" i="36"/>
  <c r="BS92" i="36"/>
  <c r="BS94" i="36" s="1"/>
  <c r="BK94" i="36"/>
  <c r="CS73" i="54"/>
  <c r="CC96" i="54"/>
  <c r="CC95" i="54"/>
  <c r="AN90" i="36"/>
  <c r="AN96" i="36"/>
  <c r="AN95" i="36"/>
  <c r="AY92" i="36"/>
  <c r="AY94" i="36" s="1"/>
  <c r="AQ94" i="36"/>
  <c r="CI90" i="53"/>
  <c r="CI92" i="53" s="1"/>
  <c r="CI94" i="53" s="1"/>
  <c r="CI96" i="53"/>
  <c r="CI95" i="53"/>
  <c r="CS73" i="37"/>
  <c r="CC96" i="37"/>
  <c r="CC95" i="37"/>
  <c r="AO90" i="36"/>
  <c r="AO92" i="36" s="1"/>
  <c r="AO94" i="36" s="1"/>
  <c r="AO95" i="36"/>
  <c r="AO96" i="36"/>
  <c r="CS73" i="53"/>
  <c r="CC95" i="53"/>
  <c r="CC96" i="53"/>
  <c r="CO94" i="36"/>
  <c r="B14" i="6"/>
  <c r="E15" i="6"/>
  <c r="E10" i="13"/>
  <c r="E13" i="13" s="1"/>
  <c r="E27" i="13" s="1"/>
  <c r="E36" i="13" s="1"/>
  <c r="E13" i="6"/>
  <c r="CR94" i="36"/>
  <c r="E35" i="6"/>
  <c r="E14" i="6"/>
  <c r="BI90" i="36"/>
  <c r="BI92" i="36" s="1"/>
  <c r="BI94" i="36" s="1"/>
  <c r="BI95" i="36"/>
  <c r="BI96" i="36"/>
  <c r="CB90" i="36"/>
  <c r="CB96" i="36"/>
  <c r="CB95" i="36"/>
  <c r="CC97" i="36"/>
  <c r="CC90" i="54"/>
  <c r="CC92" i="54" s="1"/>
  <c r="CC94" i="54" s="1"/>
  <c r="B10" i="13" l="1"/>
  <c r="B13" i="13" s="1"/>
  <c r="B27" i="13" s="1"/>
  <c r="B36" i="13" s="1"/>
  <c r="B40" i="13" s="1"/>
  <c r="B35" i="6"/>
  <c r="B13" i="6"/>
  <c r="CS90" i="37"/>
  <c r="CS92" i="37" s="1"/>
  <c r="CS94" i="37" s="1"/>
  <c r="CS96" i="37"/>
  <c r="CS95" i="37"/>
  <c r="CS90" i="53"/>
  <c r="CS92" i="53" s="1"/>
  <c r="CS94" i="53" s="1"/>
  <c r="CS96" i="53"/>
  <c r="CS95" i="53"/>
  <c r="CI90" i="36"/>
  <c r="CI92" i="36" s="1"/>
  <c r="CI94" i="36" s="1"/>
  <c r="CI95" i="36"/>
  <c r="CI96" i="36"/>
  <c r="CS73" i="36"/>
  <c r="CC95" i="36"/>
  <c r="CC96" i="36"/>
  <c r="CS90" i="54"/>
  <c r="CS92" i="54" s="1"/>
  <c r="CS94" i="54" s="1"/>
  <c r="CS95" i="54"/>
  <c r="CS96" i="54"/>
  <c r="C39" i="13" l="1"/>
  <c r="C40" i="13" s="1"/>
  <c r="CS96" i="36"/>
  <c r="CS95" i="36"/>
  <c r="CS90" i="36"/>
  <c r="CS92" i="36" s="1"/>
  <c r="D39" i="13"/>
  <c r="D40" i="13" s="1"/>
  <c r="CS94" i="36" l="1"/>
  <c r="E39" i="13"/>
  <c r="E40"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Janet Lau</author>
  </authors>
  <commentList>
    <comment ref="D18" authorId="0" shapeId="0" xr:uid="{EF7C692E-BCCA-40A7-B0CE-F38373D09BB7}">
      <text>
        <r>
          <rPr>
            <b/>
            <sz val="9"/>
            <color indexed="81"/>
            <rFont val="Tahoma"/>
            <family val="2"/>
          </rPr>
          <t>Janet Lau:</t>
        </r>
        <r>
          <rPr>
            <sz val="9"/>
            <color indexed="81"/>
            <rFont val="Tahoma"/>
            <family val="2"/>
          </rPr>
          <t xml:space="preserve">
</t>
        </r>
      </text>
    </comment>
  </commentList>
</comments>
</file>

<file path=xl/sharedStrings.xml><?xml version="1.0" encoding="utf-8"?>
<sst xmlns="http://schemas.openxmlformats.org/spreadsheetml/2006/main" count="5891" uniqueCount="1573">
  <si>
    <t>Purpose</t>
  </si>
  <si>
    <t>The objective of this Financial Reporting Template is to ensure uniformity, accuracy and completeness in financial reporting for the Massachusetts Senior Care Options (SCO) program. In addition, the provision of this Financial Reporting Template to the SCOs will help to eliminate inconsistencies, as reports can vary in the presentation of items such as allocation of expenses, accrual of incurred-but-not-reported (IBNR) claims and other items. All reports shall be submitted as outlined in the general instructions. The financial data submitted from this Financial Reporting Template will be used to monitor SCO performance, encounter submissions and will be used in rate setting.</t>
  </si>
  <si>
    <t>Appendix D: Reporting Requirements</t>
  </si>
  <si>
    <t>The Contractor shall report the following data related to the specific entity which will directly operate the Senior Care Options Program (i.e., not the parent organization and/or affiliate): Financial data related to cost for the Massachusetts SCO covered population. The report shall be submitted in a form and format specified by EOHHS including, but not limited to, the following:
a. Member Enrollment and Disenrollment
b. Balance Sheet containing the SCO product line net worth and working capital as set forth in Section 2.11: Financial Requirements
c. Income Statement
d. Cash Flow
e. Financial Indicators
f. Utilization
g. Solvency Requirements as set forth in Section 2.11.B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</si>
  <si>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</si>
  <si>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</si>
  <si>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</si>
  <si>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</si>
  <si>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</si>
  <si>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</si>
  <si>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</si>
  <si>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</si>
  <si>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</si>
  <si>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orange are to be completed by the SCO. Cells highlighted in yellow are formula driven and do not require data input. All information requested is for Massachusetts SCO enrollment only. If there is an issue with the formula within the template please correct and notify the program.</t>
  </si>
  <si>
    <t>SCO PROGRAM</t>
  </si>
  <si>
    <t>Submission Dates for Financial Reports For Calendar Year 2024</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</si>
  <si>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</si>
  <si>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</si>
  <si>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</si>
  <si>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</si>
  <si>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</si>
  <si>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</si>
  <si>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</si>
  <si>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</si>
  <si>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</si>
  <si>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</si>
  <si>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</si>
  <si>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</si>
  <si>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</si>
  <si>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</si>
  <si>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</si>
  <si>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</si>
  <si>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</si>
  <si>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</si>
  <si>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9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</si>
  <si>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</si>
  <si>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</si>
  <si>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</si>
  <si>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</si>
  <si>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</si>
  <si>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SCO member months for the reporting period.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</si>
  <si>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 D,F,H,J</t>
  </si>
  <si>
    <t>Medicaid Only Enrollments</t>
  </si>
  <si>
    <t>Medicaid Only Member Months during the reporting period, by rating category. A member month is equivalent to one person for whom your plan has recognized a MassHealth SCO capitation payment for a month during the reporting period.</t>
  </si>
  <si>
    <t>Column E,G,I,K</t>
  </si>
  <si>
    <t>Dual Enrollments</t>
  </si>
  <si>
    <t>Dual Eligible Member Months during the reporting period, by rating category. A member month is equivalent to one person for whom your plan has recognized a MassHealth SCO capitation payment for a month during the reporting period.</t>
  </si>
  <si>
    <t>Column L</t>
  </si>
  <si>
    <t>Total Member Months for Period</t>
  </si>
  <si>
    <t>Total member months relevant to region categories (Boston/Non Boston). A member month is equivalent to one person for whom the plan has recognized a MassHealth SCO capitation payment for a month during the reporting period (the sum of Column D through Column K).</t>
  </si>
  <si>
    <t>Boston</t>
  </si>
  <si>
    <t>Provide quarterly Member Months for the Massachusetts SCO population by rating category and dual status for Boston membership.</t>
  </si>
  <si>
    <t>Non-Boston</t>
  </si>
  <si>
    <t>Provide quarterly Member Months for the Massachusetts SCO population by rating category and dual status for non-Boston membership.</t>
  </si>
  <si>
    <t>Total</t>
  </si>
  <si>
    <t>Provide quarterly Member Months for the Massachusetts SCO population by rating category and dual status for all region membership.</t>
  </si>
  <si>
    <t>Schedule 2: Balance Sheet (Reported Basis)</t>
  </si>
  <si>
    <t>Provide quarterly data related to assets, liabilities and net worth for the Massachusetts SCO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</si>
  <si>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</si>
  <si>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</si>
  <si>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</si>
  <si>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</si>
  <si>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</si>
  <si>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</si>
  <si>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</si>
  <si>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</si>
  <si>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</si>
  <si>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</si>
  <si>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</si>
  <si>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</si>
  <si>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</si>
  <si>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</si>
  <si>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</si>
  <si>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</si>
  <si>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</si>
  <si>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</si>
  <si>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</si>
  <si>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</si>
  <si>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</si>
  <si>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</si>
  <si>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</si>
  <si>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</si>
  <si>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</si>
  <si>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</si>
  <si>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</si>
  <si>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</si>
  <si>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</si>
  <si>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</si>
  <si>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</si>
  <si>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</si>
  <si>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</si>
  <si>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</si>
  <si>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</si>
  <si>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</si>
  <si>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</si>
  <si>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</si>
  <si>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</si>
  <si>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</si>
  <si>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</si>
  <si>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</si>
  <si>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</si>
  <si>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</si>
  <si>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</si>
  <si>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</si>
  <si>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</si>
  <si>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</si>
  <si>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</si>
  <si>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</si>
  <si>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</si>
  <si>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</si>
  <si>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</si>
  <si>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</si>
  <si>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</si>
  <si>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</si>
  <si>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</si>
  <si>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</si>
  <si>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</si>
  <si>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</si>
  <si>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</si>
  <si>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</si>
  <si>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</si>
  <si>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</si>
  <si>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</si>
  <si>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</si>
  <si>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</si>
  <si>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</si>
  <si>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</si>
  <si>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</si>
  <si>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</si>
  <si>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</si>
  <si>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</si>
  <si>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</si>
  <si>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</si>
  <si>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</si>
  <si>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</si>
  <si>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</si>
  <si>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</si>
  <si>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</si>
  <si>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</si>
  <si>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</si>
  <si>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</si>
  <si>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</si>
  <si>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</si>
  <si>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</si>
  <si>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</si>
  <si>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</si>
  <si>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</si>
  <si>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SCO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</si>
  <si>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</si>
  <si>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</si>
  <si>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</si>
  <si>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</si>
  <si>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</si>
  <si>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</si>
  <si>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</si>
  <si>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</si>
  <si>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</si>
  <si>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</si>
  <si>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</si>
  <si>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</si>
  <si>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including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</si>
  <si>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</si>
  <si>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</si>
  <si>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</si>
  <si>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</si>
  <si>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</si>
  <si>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</si>
  <si>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3A_Income Statement, Schedule 3B_Income_Boston (CINBN); Schedule 3C: Income_Non_Boston (COTBN or Other)
(Restated Basis)</t>
  </si>
  <si>
    <t>Provide quarterly data related to cost for the Massachusetts SCO population by rating category, region, and dual status split between Medicaid and Medicare.</t>
  </si>
  <si>
    <t>Revenue</t>
  </si>
  <si>
    <t xml:space="preserve">Line items should exclude patient contribution to care except for line 0006. </t>
  </si>
  <si>
    <t>Total Medicaid Premiums</t>
  </si>
  <si>
    <t>Medicaid only and Medicaid dual revenue received from (EOHHS) to cover community and institutional services for SCO enrollees.</t>
  </si>
  <si>
    <t>Total Medicare Premiums</t>
  </si>
  <si>
    <t>Revenue from the Medicare (CMS) program to cover Medicare Part A, Part B and Part D services for SCO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</si>
  <si>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</si>
  <si>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SCO in addition to capitation for covered services that is not included in Line 0001.</t>
  </si>
  <si>
    <t>Other Revenue - Medicare</t>
  </si>
  <si>
    <t>Other Medicare revenue paid by CMS to the SCO in addition to capitation for covered services that is not included in Line 0002.</t>
  </si>
  <si>
    <t>Total Premium Revenue</t>
  </si>
  <si>
    <t>All premium revenue paid to the SCO reported on lines 0001, 0002, 0003 and 0004.</t>
  </si>
  <si>
    <t>Patient Contribution to Care</t>
  </si>
  <si>
    <t>Revenue recognized during the reporting period for Patient Contributions to Care received from the SCO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</si>
  <si>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</si>
  <si>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</si>
  <si>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</si>
  <si>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</si>
  <si>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</si>
  <si>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</si>
  <si>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t>
  </si>
  <si>
    <t>Revenue from sources not covered in the previous revenue accounts.</t>
  </si>
  <si>
    <t>Total Other Revenue</t>
  </si>
  <si>
    <t>All other revenue reported in lines 0006, 0007, 0008, 0009 and 0010.</t>
  </si>
  <si>
    <t>Total Revenue</t>
  </si>
  <si>
    <t>Total revenue (the sum of lines 0005 and 0011).</t>
  </si>
  <si>
    <t>Medical Expenses (inclusive of IBNR)</t>
  </si>
  <si>
    <t xml:space="preserve">Line items should exclude patient contribution to care except for line 0038. </t>
  </si>
  <si>
    <t>Hospital Inpatient</t>
  </si>
  <si>
    <t>Refer to Medical Services Definitions Tab.</t>
  </si>
  <si>
    <t>Behavioral Health (BH) Hospital Inpatient</t>
  </si>
  <si>
    <t>Hospital Outpatient</t>
  </si>
  <si>
    <t>Behavioral Health (BH) Hospital Outpatient</t>
  </si>
  <si>
    <t>Professional</t>
  </si>
  <si>
    <t>Vision</t>
  </si>
  <si>
    <t>Dental</t>
  </si>
  <si>
    <t>Therapy</t>
  </si>
  <si>
    <t>Pharmacy/Drugs (LICS \ Reinsurance)</t>
  </si>
  <si>
    <t>Pharmacy/Drugs (Part D) GROSS</t>
  </si>
  <si>
    <t xml:space="preserve">Refer to Medical Services Definitions Tab. Do not deduct pharmacy rebates. </t>
  </si>
  <si>
    <t>Pharmacy/Drugs (Part D) NET</t>
  </si>
  <si>
    <t>Refer to Medical Services Definitions Tab. Deduct pharmacy rebates.</t>
  </si>
  <si>
    <t>Pharmacy/Drugs (non-Part D) GROSS</t>
  </si>
  <si>
    <t>Pharmacy/Drugs (non-Part D) NET</t>
  </si>
  <si>
    <t>Laboratory, Radiology, Testing</t>
  </si>
  <si>
    <t>Institutional Long Term Care</t>
  </si>
  <si>
    <t>Personal Care Attendant (PCA)</t>
  </si>
  <si>
    <t>Home Health</t>
  </si>
  <si>
    <t>Adult Foster Care (Including GAFC)</t>
  </si>
  <si>
    <t>Adult Day Health</t>
  </si>
  <si>
    <t>Day Habilitation</t>
  </si>
  <si>
    <t>Frail Elder Waiver (FEW) Services</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</si>
  <si>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</si>
  <si>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</si>
  <si>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</si>
  <si>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</si>
  <si>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</si>
  <si>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</si>
  <si>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</si>
  <si>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</si>
  <si>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</si>
  <si>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</si>
  <si>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</si>
  <si>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SCO enrollees.</t>
  </si>
  <si>
    <t>Total Medical Expenses</t>
  </si>
  <si>
    <t>Total Medical Expenses (the sum of lines 0013 through 0042, excluding line 0022 and 0024).</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</si>
  <si>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</si>
  <si>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</si>
  <si>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</si>
  <si>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</si>
  <si>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0040) or fraud reduction expenses (line 0055),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</si>
  <si>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</si>
  <si>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</si>
  <si>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0044 through 0046).</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</si>
  <si>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</si>
  <si>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</si>
  <si>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</si>
  <si>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</si>
  <si>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</si>
  <si>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</si>
  <si>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</si>
  <si>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</si>
  <si>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SCO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</si>
  <si>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</si>
  <si>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</si>
  <si>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</si>
  <si>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</si>
  <si>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</si>
  <si>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line Total Expenses (line 0060),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</si>
  <si>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</si>
  <si>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</si>
  <si>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</si>
  <si>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</si>
  <si>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</si>
  <si>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</si>
  <si>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</si>
  <si>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0048 to 0057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</si>
  <si>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</si>
  <si>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0048 through 0058).</t>
  </si>
  <si>
    <t>Total Expenses</t>
  </si>
  <si>
    <t>The sum of Total Medical Expenses (line 0043), Total Administration Expenses (line 0059) and Total MLR Calculation Allowable Expenses (line 0047) less the Lesser of Fraud Reduction Recoveries or Expense (line 0045).</t>
  </si>
  <si>
    <t>Net Income</t>
  </si>
  <si>
    <t>Total Revenue minus Total Expenses (line 0012 minus line 0060).</t>
  </si>
  <si>
    <t>Profit Margin</t>
  </si>
  <si>
    <t>Net Income divided by Total Revenue excluding Investment Income (Line 0061 divided by (Line 0012 minus line 0009)).</t>
  </si>
  <si>
    <t>Medical Loss Ratio</t>
  </si>
  <si>
    <t>Ratio of Total Medical Expenses and Total MLR Calculation Allowable Expenses to Total Revenue excluding Patient Contribution to Care and Investment Income, net of premium taxes ((Line 0043 minus line 0042 plus Line 0047) divided by (Line 0012 minus lines 0006 and 0009)).</t>
  </si>
  <si>
    <t>MLR Allowable Expense Ratio</t>
  </si>
  <si>
    <t>Ratio of Total MLR Calculation Allowable Expenses to Total Revenue excluding Investment Income ((Line 0047 divided by (Line 0012 minus line 0009)).</t>
  </si>
  <si>
    <t>Administrative Expense Ratio</t>
  </si>
  <si>
    <t>Ratio of Total Administrative Expenses to Total Revenues excluding Investment Income (Line 0059 divided by (Line 0012 minus line 0009)).</t>
  </si>
  <si>
    <t>Schedule 4: Footnotes</t>
  </si>
  <si>
    <t>For the original submission of the SCO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</si>
  <si>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</si>
  <si>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</si>
  <si>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SCO.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</si>
  <si>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</si>
  <si>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</si>
  <si>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</si>
  <si>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</si>
  <si>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</si>
  <si>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0039.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</si>
  <si>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</si>
  <si>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</si>
  <si>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</si>
  <si>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</si>
  <si>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</si>
  <si>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SCO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</si>
  <si>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</si>
  <si>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</si>
  <si>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</si>
  <si>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</si>
  <si>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</si>
  <si>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</si>
  <si>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</si>
  <si>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</si>
  <si>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</si>
  <si>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</si>
  <si>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</si>
  <si>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</si>
  <si>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</si>
  <si>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</si>
  <si>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</si>
  <si>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</si>
  <si>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</si>
  <si>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</si>
  <si>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</si>
  <si>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</si>
  <si>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</si>
  <si>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</si>
  <si>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</si>
  <si>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</si>
  <si>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</si>
  <si>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</si>
  <si>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SCOs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</si>
  <si>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</si>
  <si>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</si>
  <si>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</si>
  <si>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</si>
  <si>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</si>
  <si>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0042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</si>
  <si>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</si>
  <si>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</si>
  <si>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</si>
  <si>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</si>
  <si>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</si>
  <si>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</si>
  <si>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</si>
  <si>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</si>
  <si>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</si>
  <si>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</si>
  <si>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</si>
  <si>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</si>
  <si>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</si>
  <si>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</si>
  <si>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</si>
  <si>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</si>
  <si>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</si>
  <si>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</si>
  <si>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</si>
  <si>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</si>
  <si>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</si>
  <si>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</si>
  <si>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</si>
  <si>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</si>
  <si>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</si>
  <si>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</si>
  <si>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</si>
  <si>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</si>
  <si>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SCO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</si>
  <si>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</si>
  <si>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</si>
  <si>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</si>
  <si>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</si>
  <si>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</si>
  <si>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SCO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</si>
  <si>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</si>
  <si>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</si>
  <si>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</si>
  <si>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0010a</t>
  </si>
  <si>
    <t>0010b</t>
  </si>
  <si>
    <t>0011a</t>
  </si>
  <si>
    <t>0011b</t>
  </si>
  <si>
    <t>ASAPs</t>
  </si>
  <si>
    <t>Total Medical Expenses (the sum of lines 0001 through 0025, excluding lines 0010b and 0011b).</t>
  </si>
  <si>
    <t>Claims with Claim Category code 3 = Dental.</t>
  </si>
  <si>
    <t>Inpatient</t>
  </si>
  <si>
    <t>Claims with Claim Category code 1 = (Facility except LTC) and Type of Bill values 11x and 41x are defined as "Inpatient" (Claim Type I).</t>
  </si>
  <si>
    <t>Long Term</t>
  </si>
  <si>
    <t>Claims with Claim Category code 6 = LTC (Nursing Home, Chronic Care and Rehab).</t>
  </si>
  <si>
    <t>Medical</t>
  </si>
  <si>
    <t>Claims with Claim Category code 2 = Professional &amp; 4 = Vision. Also includes transportation claims.</t>
  </si>
  <si>
    <t>Outpatient</t>
  </si>
  <si>
    <t>All other claims with Claim Category code 1 are defined as “Outpatient” (Claim Type O).</t>
  </si>
  <si>
    <t>Pharmacy</t>
  </si>
  <si>
    <t xml:space="preserve">Claims with Claim Category code 5 = Prescription Drug. Do not deduct pharmacy rebates. </t>
  </si>
  <si>
    <t>Schedule 7: Utilization (Restated Basis)</t>
  </si>
  <si>
    <t>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</si>
  <si>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 (Reported Basis)</t>
  </si>
  <si>
    <t>SCO product line financial indicators are calculated in this schedule as defined in Appendix D of the SCO Contract.</t>
  </si>
  <si>
    <t>Schedule 9: Financial Solvency Requirements (Reported Basis)</t>
  </si>
  <si>
    <t>SCO product line financial requirements are calculated in this schedule as defined in Appendix D of the SCO Contract.</t>
  </si>
  <si>
    <t>Schedule 10: APMs (Restated Basis)</t>
  </si>
  <si>
    <t>This report tracks the details of Alternative Payment Methodology (APM) expenses by the MCP. In the appropriate columns, enter the provider name, choose the applicable region from the drop down menus, and enter the applicable expense line item number and the amount of alternative payment by rate cell.</t>
  </si>
  <si>
    <t>Schedule 11A: Lag Report - Physician, Schedule 11B: Lag Report - Inpatient, Schedule 11C: Lag Report - Outpatient, Schedule 11D: Lag Report - Pharmacy, Schedule 11E: Lag Report - Other 
(These Statements are on Both a Reported and Restated Basis)</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</si>
  <si>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</si>
  <si>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</si>
  <si>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</si>
  <si>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</si>
  <si>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</si>
  <si>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</si>
  <si>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</si>
  <si>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</si>
  <si>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Dual Status</t>
  </si>
  <si>
    <t>Description</t>
  </si>
  <si>
    <t>Community Other</t>
  </si>
  <si>
    <t>TBD</t>
  </si>
  <si>
    <t>Dual Eligible</t>
  </si>
  <si>
    <t>All enrollees residing in the community who do not meet nursing home certifiable (NHC) criteria and do not have a diagnosis of Behvioral Health/Substance Use Disorder (BH/SUD).</t>
  </si>
  <si>
    <t>Medicaid Only</t>
  </si>
  <si>
    <t>Community BH</t>
  </si>
  <si>
    <t xml:space="preserve">All enrollees residing in the community who do not meet NHC criteria and have a diagnosis of BH/SUD. The identification of BH/SUD diagnoses are based on observed International Classification of Diseases, Tenth Revision diagnosis codes from all Medicaid and Medicare Medicaid crossover claim types. </t>
  </si>
  <si>
    <t>Community NHC</t>
  </si>
  <si>
    <t>CND</t>
  </si>
  <si>
    <t>All enrollees residing in the community who are limited in two or more activities of daily living (ADLs) and have a skilled nursing need three or more times per week, as recorded through the minimum data set/home care (MDS/HC) form and approved by EOHHS.</t>
  </si>
  <si>
    <t>TND</t>
  </si>
  <si>
    <t>CNM</t>
  </si>
  <si>
    <t>This RC also includes individuals who are in the first three months of a nursing facility (NF), skilled nursing facility and/or institutionalized hospice setting.</t>
  </si>
  <si>
    <t>TNM</t>
  </si>
  <si>
    <t>Institutional — Tier 1</t>
  </si>
  <si>
    <t>I1D</t>
  </si>
  <si>
    <t>All enrollees with more than a three month consecutive stay in an institutional long-term care (LTC) setting who continue to reside in a NF and are classified into Management Minute Categories (MMC) level H, J, or K.</t>
  </si>
  <si>
    <t>TCD</t>
  </si>
  <si>
    <t>I1M</t>
  </si>
  <si>
    <t>This RC also includes individuals who are in their first three months in a community setting following a discharge from a NF after a stay lasting more than three months.</t>
  </si>
  <si>
    <t>TCM</t>
  </si>
  <si>
    <t>Institutional — Tier 2</t>
  </si>
  <si>
    <t>I2D</t>
  </si>
  <si>
    <t>All enrollees with more than a three month consecutive stay in an institutional LTC setting who continue to reside in a NF and are classified into MMC level L, M, N, P, R, or S.</t>
  </si>
  <si>
    <t>I2M</t>
  </si>
  <si>
    <t>This RC also includes individuals who have resided in a NF for more than three months and who have elected hospice.</t>
  </si>
  <si>
    <t>Institutional — Tier 3</t>
  </si>
  <si>
    <t>I3D</t>
  </si>
  <si>
    <t>All enrollees with more than a three month consecutive stay in an institutional LTC setting who continue to reside in a NF and are classified into MMC level T.</t>
  </si>
  <si>
    <t>I3M</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</si>
  <si>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</si>
  <si>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</si>
  <si>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</si>
  <si>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</si>
  <si>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</si>
  <si>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</si>
  <si>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</si>
  <si>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</si>
  <si>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</si>
  <si>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</si>
  <si>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</si>
  <si>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</si>
  <si>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</si>
  <si>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</si>
  <si>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</si>
  <si>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</si>
  <si>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</si>
  <si>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</si>
  <si>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</si>
  <si>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</si>
  <si>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</si>
  <si>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</si>
  <si>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</si>
  <si>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</si>
  <si>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(SCO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</si>
  <si>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</si>
  <si>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</si>
  <si>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</si>
  <si>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</si>
  <si>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</si>
  <si>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</si>
  <si>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</si>
  <si>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SCO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</si>
  <si>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</si>
  <si>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</si>
  <si>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</si>
  <si>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</si>
  <si>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</si>
  <si>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</si>
  <si>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</si>
  <si>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</si>
  <si>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</si>
  <si>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3A-3C,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</si>
  <si>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</si>
  <si>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</si>
  <si>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</si>
  <si>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</si>
  <si>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</si>
  <si>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</si>
  <si>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</si>
  <si>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</si>
  <si>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</si>
  <si>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</si>
  <si>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</si>
  <si>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</si>
  <si>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</si>
  <si>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</si>
  <si>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</si>
  <si>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</si>
  <si>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</si>
  <si>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</si>
  <si>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</si>
  <si>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</si>
  <si>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</si>
  <si>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</si>
  <si>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</si>
  <si>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</si>
  <si>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</si>
  <si>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</si>
  <si>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</si>
  <si>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</si>
  <si>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</si>
  <si>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</si>
  <si>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</si>
  <si>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</si>
  <si>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</si>
  <si>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</si>
  <si>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</si>
  <si>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</si>
  <si>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</si>
  <si>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</si>
  <si>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</si>
  <si>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</si>
  <si>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</si>
  <si>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</si>
  <si>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</si>
  <si>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</si>
  <si>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</si>
  <si>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</si>
  <si>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</si>
  <si>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</si>
  <si>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</si>
  <si>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</si>
  <si>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</si>
  <si>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</si>
  <si>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</si>
  <si>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</si>
  <si>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</si>
  <si>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</si>
  <si>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</si>
  <si>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</si>
  <si>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</si>
  <si>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</si>
  <si>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</si>
  <si>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</si>
  <si>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</si>
  <si>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</si>
  <si>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</si>
  <si>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</si>
  <si>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</si>
  <si>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</si>
  <si>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</si>
  <si>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</si>
  <si>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</si>
  <si>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</si>
  <si>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</si>
  <si>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</si>
  <si>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</si>
  <si>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</si>
  <si>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</si>
  <si>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</si>
  <si>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</si>
  <si>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</si>
  <si>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</si>
  <si>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</si>
  <si>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</si>
  <si>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</si>
  <si>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</si>
  <si>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</si>
  <si>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</si>
  <si>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</si>
  <si>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</si>
  <si>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</si>
  <si>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</si>
  <si>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</si>
  <si>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</si>
  <si>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</si>
  <si>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</si>
  <si>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</si>
  <si>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</si>
  <si>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</si>
  <si>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</si>
  <si>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</si>
  <si>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</si>
  <si>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</si>
  <si>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</si>
  <si>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SCO FEW waiver services</t>
  </si>
  <si>
    <t>Add: E0700, G0156, G0300, H0038, H0045, H2021, S0250, S5102, S5160, T2029, T5999
Remove: T1021</t>
  </si>
  <si>
    <r>
      <t xml:space="preserve">S5111, S5120, S5135, S5165, S5121, T2028 I / S5161 M, S5170, A9901, </t>
    </r>
    <r>
      <rPr>
        <strike/>
        <sz val="10"/>
        <color rgb="FFFF0000"/>
        <rFont val="Arial"/>
        <family val="2"/>
      </rPr>
      <t>T1021</t>
    </r>
    <r>
      <rPr>
        <sz val="10"/>
        <rFont val="Arial"/>
        <family val="2"/>
      </rPr>
      <t xml:space="preserve">, S5130, S5175, </t>
    </r>
    <r>
      <rPr>
        <strike/>
        <sz val="10"/>
        <rFont val="Arial"/>
        <family val="2"/>
      </rPr>
      <t>/</t>
    </r>
    <r>
      <rPr>
        <sz val="10"/>
        <rFont val="Arial"/>
        <family val="2"/>
      </rPr>
      <t xml:space="preserve"> A9279 M, S9129, T1019, T2025, G0299, S5101, S5125, T2038, T2003 OT / A0425 PM, </t>
    </r>
    <r>
      <rPr>
        <sz val="10"/>
        <color rgb="FF7030A0"/>
        <rFont val="Arial"/>
        <family val="2"/>
      </rPr>
      <t>E0700, G0156, G0300, H0038, H0045, H2021, S0250, S5102, S5160, T2029, T5999</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</si>
  <si>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</si>
  <si>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</si>
  <si>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</si>
  <si>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</si>
  <si>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</si>
  <si>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</si>
  <si>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</si>
  <si>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</si>
  <si>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</si>
  <si>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</si>
  <si>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</si>
  <si>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</si>
  <si>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</si>
  <si>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</si>
  <si>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</si>
  <si>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</si>
  <si>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</si>
  <si>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</si>
  <si>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</si>
  <si>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</si>
  <si>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</si>
  <si>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</si>
  <si>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</si>
  <si>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</si>
  <si>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</si>
  <si>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</si>
  <si>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</si>
  <si>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</si>
  <si>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</si>
  <si>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</si>
  <si>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</si>
  <si>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</si>
  <si>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</si>
  <si>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</si>
  <si>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</si>
  <si>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</si>
  <si>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</si>
  <si>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</si>
  <si>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</si>
  <si>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</si>
  <si>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</si>
  <si>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</si>
  <si>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</si>
  <si>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</si>
  <si>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</si>
  <si>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</si>
  <si>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</si>
  <si>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</si>
  <si>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</si>
  <si>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</si>
  <si>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</si>
  <si>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</si>
  <si>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</si>
  <si>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</si>
  <si>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</si>
  <si>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</si>
  <si>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</si>
  <si>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</si>
  <si>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</si>
  <si>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</si>
  <si>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</si>
  <si>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</si>
  <si>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</si>
  <si>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</si>
  <si>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</si>
  <si>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</si>
  <si>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</si>
  <si>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</si>
  <si>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</si>
  <si>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</si>
  <si>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</si>
  <si>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</si>
  <si>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</si>
  <si>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</si>
  <si>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</si>
  <si>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</si>
  <si>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</si>
  <si>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</si>
  <si>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</si>
  <si>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</si>
  <si>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</si>
  <si>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</si>
  <si>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</si>
  <si>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</si>
  <si>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</si>
  <si>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</si>
  <si>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</si>
  <si>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</si>
  <si>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</si>
  <si>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</si>
  <si>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</si>
  <si>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</si>
  <si>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</si>
  <si>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</si>
  <si>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</si>
  <si>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</si>
  <si>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</si>
  <si>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</si>
  <si>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</si>
  <si>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</si>
  <si>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</si>
  <si>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</si>
  <si>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</si>
  <si>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</si>
  <si>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</si>
  <si>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</si>
  <si>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</si>
  <si>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</si>
  <si>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</si>
  <si>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</si>
  <si>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</si>
  <si>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</si>
  <si>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</si>
  <si>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TERM_DT</t>
  </si>
  <si>
    <t>Needle-free injection device, each</t>
  </si>
  <si>
    <t>A4210</t>
  </si>
  <si>
    <t>M</t>
  </si>
  <si>
    <t>Syringe with needle for external insulin pump, sterile, 3cc</t>
  </si>
  <si>
    <t>A4232</t>
  </si>
  <si>
    <t>I</t>
  </si>
  <si>
    <t>Urine test or reagent strips or tablets (100 tablets or strips)</t>
  </si>
  <si>
    <t>A4250</t>
  </si>
  <si>
    <t>Blood ketone test or reagent strip, each</t>
  </si>
  <si>
    <t>A4252</t>
  </si>
  <si>
    <t>S</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</si>
  <si>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</si>
  <si>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</si>
  <si>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</si>
  <si>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</si>
  <si>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</si>
  <si>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</si>
  <si>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</si>
  <si>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</si>
  <si>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</si>
  <si>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</si>
  <si>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</si>
  <si>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</si>
  <si>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</si>
  <si>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</si>
  <si>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</si>
  <si>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</si>
  <si>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</si>
  <si>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</si>
  <si>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</si>
  <si>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</si>
  <si>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</si>
  <si>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</si>
  <si>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</si>
  <si>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</si>
  <si>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</si>
  <si>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</si>
  <si>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</si>
  <si>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</si>
  <si>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</si>
  <si>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</si>
  <si>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</si>
  <si>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</si>
  <si>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</si>
  <si>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</si>
  <si>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</si>
  <si>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</si>
  <si>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</si>
  <si>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</si>
  <si>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</si>
  <si>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</si>
  <si>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</si>
  <si>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</si>
  <si>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</si>
  <si>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</si>
  <si>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</si>
  <si>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</si>
  <si>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</si>
  <si>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</si>
  <si>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</si>
  <si>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</si>
  <si>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</si>
  <si>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</si>
  <si>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</si>
  <si>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</si>
  <si>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</si>
  <si>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</si>
  <si>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</si>
  <si>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</si>
  <si>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</si>
  <si>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</si>
  <si>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</si>
  <si>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</si>
  <si>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</si>
  <si>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</si>
  <si>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</si>
  <si>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</si>
  <si>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</si>
  <si>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</si>
  <si>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</si>
  <si>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</si>
  <si>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</si>
  <si>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</si>
  <si>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</si>
  <si>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</si>
  <si>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</si>
  <si>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</si>
  <si>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</si>
  <si>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</si>
  <si>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</si>
  <si>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</si>
  <si>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</si>
  <si>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</si>
  <si>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</si>
  <si>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</si>
  <si>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</si>
  <si>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</si>
  <si>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</si>
  <si>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</si>
  <si>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</si>
  <si>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</si>
  <si>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</si>
  <si>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</si>
  <si>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</si>
  <si>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</si>
  <si>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</si>
  <si>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</si>
  <si>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</si>
  <si>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</si>
  <si>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</si>
  <si>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</si>
  <si>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</si>
  <si>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</si>
  <si>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</si>
  <si>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</si>
  <si>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</si>
  <si>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</si>
  <si>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</si>
  <si>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</si>
  <si>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</si>
  <si>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</si>
  <si>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</si>
  <si>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</si>
  <si>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</si>
  <si>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</si>
  <si>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</si>
  <si>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</si>
  <si>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</si>
  <si>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</si>
  <si>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</si>
  <si>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</si>
  <si>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</si>
  <si>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</si>
  <si>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</si>
  <si>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</si>
  <si>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</si>
  <si>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</si>
  <si>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</si>
  <si>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</si>
  <si>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</si>
  <si>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</si>
  <si>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</si>
  <si>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</si>
  <si>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</si>
  <si>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</si>
  <si>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</si>
  <si>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</si>
  <si>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</si>
  <si>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</si>
  <si>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</si>
  <si>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</si>
  <si>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</si>
  <si>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</si>
  <si>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</si>
  <si>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</si>
  <si>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</si>
  <si>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</si>
  <si>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</si>
  <si>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</si>
  <si>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</si>
  <si>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</si>
  <si>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</si>
  <si>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</si>
  <si>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</si>
  <si>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</si>
  <si>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</si>
  <si>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</si>
  <si>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</si>
  <si>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</si>
  <si>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</si>
  <si>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</si>
  <si>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</si>
  <si>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</si>
  <si>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</si>
  <si>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</si>
  <si>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</si>
  <si>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</si>
  <si>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</si>
  <si>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</si>
  <si>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</si>
  <si>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</si>
  <si>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</si>
  <si>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</si>
  <si>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</si>
  <si>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</si>
  <si>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</si>
  <si>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</si>
  <si>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</si>
  <si>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</si>
  <si>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</si>
  <si>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</si>
  <si>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</si>
  <si>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</si>
  <si>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</si>
  <si>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</si>
  <si>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</si>
  <si>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</si>
  <si>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</si>
  <si>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</si>
  <si>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</si>
  <si>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</si>
  <si>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</si>
  <si>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</si>
  <si>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</si>
  <si>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</si>
  <si>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</si>
  <si>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</si>
  <si>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</si>
  <si>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</si>
  <si>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</si>
  <si>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</si>
  <si>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</si>
  <si>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</si>
  <si>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</si>
  <si>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</si>
  <si>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</si>
  <si>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</si>
  <si>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</si>
  <si>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</si>
  <si>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</si>
  <si>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</si>
  <si>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</si>
  <si>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</si>
  <si>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</si>
  <si>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</si>
  <si>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</si>
  <si>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</si>
  <si>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</si>
  <si>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</si>
  <si>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</si>
  <si>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</si>
  <si>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</si>
  <si>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</si>
  <si>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</si>
  <si>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</si>
  <si>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</si>
  <si>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</si>
  <si>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</si>
  <si>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</si>
  <si>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</si>
  <si>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</si>
  <si>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</si>
  <si>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</si>
  <si>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</si>
  <si>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</si>
  <si>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</si>
  <si>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</si>
  <si>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</si>
  <si>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</si>
  <si>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</si>
  <si>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</si>
  <si>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</si>
  <si>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</si>
  <si>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</si>
  <si>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</si>
  <si>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</si>
  <si>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</si>
  <si>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</si>
  <si>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</si>
  <si>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</si>
  <si>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</si>
  <si>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</si>
  <si>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</si>
  <si>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</si>
  <si>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</si>
  <si>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</si>
  <si>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</si>
  <si>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</si>
  <si>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</si>
  <si>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</si>
  <si>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</si>
  <si>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</si>
  <si>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</si>
  <si>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</si>
  <si>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</si>
  <si>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</si>
  <si>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</si>
  <si>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</si>
  <si>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</si>
  <si>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</si>
  <si>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</si>
  <si>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</si>
  <si>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</si>
  <si>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</si>
  <si>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</si>
  <si>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</si>
  <si>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</si>
  <si>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</si>
  <si>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</si>
  <si>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</si>
  <si>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</si>
  <si>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</si>
  <si>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</si>
  <si>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</si>
  <si>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</si>
  <si>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</si>
  <si>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</si>
  <si>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</si>
  <si>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</si>
  <si>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</si>
  <si>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</si>
  <si>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</si>
  <si>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</si>
  <si>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</si>
  <si>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</si>
  <si>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</si>
  <si>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</si>
  <si>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</si>
  <si>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</si>
  <si>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</si>
  <si>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</si>
  <si>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</si>
  <si>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</si>
  <si>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</si>
  <si>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</si>
  <si>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</si>
  <si>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</si>
  <si>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</si>
  <si>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</si>
  <si>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</si>
  <si>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</si>
  <si>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</si>
  <si>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</si>
  <si>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</si>
  <si>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</si>
  <si>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</si>
  <si>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</si>
  <si>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</si>
  <si>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</si>
  <si>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</si>
  <si>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</si>
  <si>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</si>
  <si>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</si>
  <si>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</si>
  <si>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</si>
  <si>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</si>
  <si>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</si>
  <si>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</si>
  <si>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</si>
  <si>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</si>
  <si>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</si>
  <si>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</si>
  <si>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</si>
  <si>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</si>
  <si>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</si>
  <si>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</si>
  <si>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</si>
  <si>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</si>
  <si>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</si>
  <si>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</si>
  <si>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</si>
  <si>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</si>
  <si>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</si>
  <si>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</si>
  <si>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</si>
  <si>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</si>
  <si>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</si>
  <si>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</si>
  <si>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</si>
  <si>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</si>
  <si>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</si>
  <si>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</si>
  <si>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</si>
  <si>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</si>
  <si>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</si>
  <si>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</si>
  <si>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</si>
  <si>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</si>
  <si>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</si>
  <si>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</si>
  <si>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</si>
  <si>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</si>
  <si>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</si>
  <si>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</si>
  <si>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</si>
  <si>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</si>
  <si>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</si>
  <si>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</si>
  <si>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</si>
  <si>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</si>
  <si>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</si>
  <si>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</si>
  <si>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</si>
  <si>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</si>
  <si>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</si>
  <si>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</si>
  <si>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</si>
  <si>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</si>
  <si>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</si>
  <si>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</si>
  <si>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</si>
  <si>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</si>
  <si>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</si>
  <si>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</si>
  <si>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</si>
  <si>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</si>
  <si>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</si>
  <si>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</si>
  <si>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</si>
  <si>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</si>
  <si>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</si>
  <si>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</si>
  <si>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</si>
  <si>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</si>
  <si>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</si>
  <si>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</si>
  <si>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</si>
  <si>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</si>
  <si>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</si>
  <si>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</si>
  <si>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</si>
  <si>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</si>
  <si>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</si>
  <si>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</si>
  <si>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</si>
  <si>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</si>
  <si>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</si>
  <si>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</si>
  <si>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</si>
  <si>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</si>
  <si>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</si>
  <si>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</si>
  <si>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</si>
  <si>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</si>
  <si>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</si>
  <si>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</si>
  <si>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</si>
  <si>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</si>
  <si>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</si>
  <si>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</si>
  <si>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</si>
  <si>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</si>
  <si>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</si>
  <si>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</si>
  <si>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</si>
  <si>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</si>
  <si>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</si>
  <si>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</si>
  <si>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</si>
  <si>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</si>
  <si>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</si>
  <si>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</si>
  <si>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</si>
  <si>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</si>
  <si>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</si>
  <si>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</si>
  <si>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</si>
  <si>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</si>
  <si>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</si>
  <si>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</si>
  <si>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</si>
  <si>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</si>
  <si>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</si>
  <si>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</si>
  <si>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</si>
  <si>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</si>
  <si>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</si>
  <si>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</si>
  <si>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</si>
  <si>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</si>
  <si>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</si>
  <si>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</si>
  <si>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</si>
  <si>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</si>
  <si>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</si>
  <si>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</si>
  <si>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</si>
  <si>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</si>
  <si>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</si>
  <si>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</si>
  <si>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</si>
  <si>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</si>
  <si>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</si>
  <si>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</si>
  <si>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r>
      <t>·</t>
    </r>
    <r>
      <rPr>
        <sz val="7"/>
        <color rgb="FF000000"/>
        <rFont val="Times New Roman"/>
        <family val="1"/>
      </rPr>
      <t xml:space="preserve">         </t>
    </r>
    <r>
      <rPr>
        <sz val="10"/>
        <color rgb="FF000000"/>
        <rFont val="Arial"/>
        <family val="2"/>
      </rPr>
      <t>ACUTE INPATIENT HOSPITAL (70)</t>
    </r>
  </si>
  <si>
    <t>IP-BH (11*)</t>
  </si>
  <si>
    <t>ICD 9: 290–31999</t>
  </si>
  <si>
    <t xml:space="preserve">Behavioral Health (BH) Hospital Inpatient </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</si>
  <si>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</si>
  <si>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</si>
  <si>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</si>
  <si>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</si>
  <si>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</si>
  <si>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</si>
  <si>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</si>
  <si>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</si>
  <si>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</si>
  <si>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</si>
  <si>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</si>
  <si>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</si>
  <si>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</si>
  <si>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</si>
  <si>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</si>
  <si>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</si>
  <si>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</si>
  <si>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</si>
  <si>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</si>
  <si>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</si>
  <si>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</si>
  <si>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</si>
  <si>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</si>
  <si>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</si>
  <si>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</si>
  <si>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</si>
  <si>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</si>
  <si>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</si>
  <si>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</si>
  <si>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</si>
  <si>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</si>
  <si>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</si>
  <si>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</si>
  <si>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</si>
  <si>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</si>
  <si>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</si>
  <si>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</si>
  <si>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</si>
  <si>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</si>
  <si>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</si>
  <si>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</si>
  <si>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</si>
  <si>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</si>
  <si>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</si>
  <si>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</si>
  <si>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</si>
  <si>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</si>
  <si>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</si>
  <si>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</si>
  <si>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</si>
  <si>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</si>
  <si>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</si>
  <si>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</si>
  <si>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</si>
  <si>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</si>
  <si>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</si>
  <si>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</si>
  <si>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</si>
  <si>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</si>
  <si>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</si>
  <si>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</si>
  <si>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21-25</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</si>
  <si>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</si>
  <si>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</si>
  <si>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</si>
  <si>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</si>
  <si>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</si>
  <si>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</si>
  <si>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</si>
  <si>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</si>
  <si>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</si>
  <si>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</si>
  <si>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</si>
  <si>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</si>
  <si>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</si>
  <si>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</si>
  <si>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</si>
  <si>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</si>
  <si>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</si>
  <si>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</si>
  <si>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</si>
  <si>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</si>
  <si>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</si>
  <si>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</si>
  <si>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</si>
  <si>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</si>
  <si>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</si>
  <si>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</si>
  <si>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</si>
  <si>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</si>
  <si>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</si>
  <si>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</si>
  <si>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</si>
  <si>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</si>
  <si>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</si>
  <si>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</si>
  <si>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Frail Elder Waiver (FEW) Services</t>
  </si>
  <si>
    <t>14-19</t>
  </si>
  <si>
    <t>28-33</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</si>
  <si>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</si>
  <si>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</si>
  <si>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</si>
  <si>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</si>
  <si>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</si>
  <si>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</si>
  <si>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</si>
  <si>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</si>
  <si>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</si>
  <si>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</si>
  <si>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</si>
  <si>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</si>
  <si>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</si>
  <si>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</si>
  <si>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</si>
  <si>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</si>
  <si>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</si>
  <si>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</si>
  <si>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Institutional (All Tiers)</t>
  </si>
  <si>
    <t>Enrollment</t>
  </si>
  <si>
    <t>Eastern</t>
  </si>
  <si>
    <t>Western</t>
  </si>
  <si>
    <t>The Cape</t>
  </si>
  <si>
    <t xml:space="preserve">Total </t>
  </si>
  <si>
    <t>Q2</t>
  </si>
  <si>
    <t>Q3</t>
  </si>
  <si>
    <t>Q4</t>
  </si>
  <si>
    <t>YTD</t>
  </si>
  <si>
    <t>Schedule 2: Balance Sheet</t>
  </si>
  <si>
    <t>Provider Name:</t>
  </si>
  <si>
    <t>Tufts Associated Health Plans, Inc. (TAHMO)</t>
  </si>
  <si>
    <t>01/01/2024 - 12/31/2024</t>
  </si>
  <si>
    <t>Statement As Of:</t>
  </si>
  <si>
    <t>Prepared By:</t>
  </si>
  <si>
    <t>Roshni Parikh</t>
  </si>
  <si>
    <t>This Report is on a Reported Basis</t>
  </si>
  <si>
    <t>Current Assets</t>
  </si>
  <si>
    <t>Rebates Receivable</t>
  </si>
  <si>
    <t>Cash from TAHMO</t>
  </si>
  <si>
    <t>Gov't Settlements (Risk Corridor)</t>
  </si>
  <si>
    <t>Other Misc Receivables</t>
  </si>
  <si>
    <t>-</t>
  </si>
  <si>
    <t>Other Assets</t>
  </si>
  <si>
    <r>
      <t>Aggregate Write-Ins for Other Assets</t>
    </r>
    <r>
      <rPr>
        <sz val="10"/>
        <rFont val="Arial"/>
        <family val="2"/>
      </rPr>
      <t xml:space="preserve"> </t>
    </r>
  </si>
  <si>
    <t xml:space="preserve">            -</t>
  </si>
  <si>
    <t>Property and Equipment</t>
  </si>
  <si>
    <t>=</t>
  </si>
  <si>
    <t>Current Liabilities</t>
  </si>
  <si>
    <t>Aggregate Write-ins for Current Liabilities</t>
  </si>
  <si>
    <t>Other Liabilities</t>
  </si>
  <si>
    <t>Aggregate Write-Ins For Other Net Worth items</t>
  </si>
  <si>
    <t>Schedule 3: Income Statement</t>
  </si>
  <si>
    <t>Line #</t>
  </si>
  <si>
    <t>Institutional (All: Tier 1, Tier 2 and Tier 3)</t>
  </si>
  <si>
    <t>Grand Total $'s</t>
  </si>
  <si>
    <t>Payor</t>
  </si>
  <si>
    <t>Medicaid</t>
  </si>
  <si>
    <t>Medicare</t>
  </si>
  <si>
    <t>TOTAL $ YTD</t>
  </si>
  <si>
    <t>Combined</t>
  </si>
  <si>
    <t>Reporting Period</t>
  </si>
  <si>
    <t>Medicaid YTD Total</t>
  </si>
  <si>
    <t>Medicare YTD Total</t>
  </si>
  <si>
    <t>Medicare Part A (Hospital)/Part B (Medical)</t>
  </si>
  <si>
    <t>Medicare Part D (Prescription Drug)</t>
  </si>
  <si>
    <t>Medicare Part D (LICS &amp; Reinsurance)</t>
  </si>
  <si>
    <t>Other Revenue</t>
  </si>
  <si>
    <t/>
  </si>
  <si>
    <t>Care Management (Internal/Administrative)</t>
  </si>
  <si>
    <t>Quarterly financial footnote disclosures</t>
  </si>
  <si>
    <t>Mark as N/A if no changes have occurred</t>
  </si>
  <si>
    <t>Footnote disclosures</t>
  </si>
  <si>
    <t>The SCO contract is written on Tufts Associated Health Maintenance Organization, Inc. (TAHMO).  TAHMO is a not-for-profit Massachusetts corporation established for the purpose of arranging for the delivery of comprehensive health care services, on a prepaid basis, to subscribing individuals and groups. TAHMO is contracted by the Massachusetts Executive Office of Health and Human Services (EOHHS) and the Centers for Medicare and Medicaid Services (CMS) to provide health care coverage for the state’s Medicare, Medicaid and State Children’s Health Insurance Programs (CHIP) populations, as well as, the Commonwealth Health Insurance Connector Authority (the Massachusetts state run exchange) for the Qualified Health Care, Commonwealth Care and Medical Security Program populations.
The Company’s Commercial and Medicaid contracts with state agencies generally are multi-year contracts subject to annual renewal provisions, while the Company’s Medicare contracts with CMS renew annually.
The headquater of the company is located at 1 Wellness Way, Canton, MA 02021</t>
  </si>
  <si>
    <r>
      <t>* Cash, cash equivalents, and short-term investments represent cash balances and investments with initial maturities of one year or less.</t>
    </r>
    <r>
      <rPr>
        <b/>
        <sz val="10"/>
        <rFont val="Arial"/>
        <family val="2"/>
      </rPr>
      <t xml:space="preserve"> </t>
    </r>
    <r>
      <rPr>
        <sz val="10"/>
        <rFont val="Arial"/>
        <family val="2"/>
      </rPr>
      <t xml:space="preserve">
* TAHMO uses estimates for determining its claims incurred but not yet reported, which are based on historical claim payment patterns, healthcare trends and membership and includes a provision for adverse changes in claim frequency and severity. Amounts incurred related to prior years vary from previously estimated liabilities as the claims are ultimately settled. Liabilities at any year end are continually reviewed and re-estimated as information regarding actual claims payments become known. This information is compared to the originally established year end liability. 
* Revenue is recorded upon receipt.  Patient liabiilty amounts are accrued to revenue and recorded as receivables.
* Medical and adminstrative expenses are recorded as paid amounts and estimated reserves and accruals.
* Premiums receivable are reported net of an allowance for uncollectible accounts based on historical collection trends and management’s judgment on the collectability of these accounts.
These collection trends, as well as prevailing and anticipated economic conditions, are routinely monitored by management, and any adjustments required are reflected in current operations.
The Company’s provider agreements include pharmacy rebates as a component of the risk incentive arrangements, which are included in the balance sheets in pharmaceutical rebates receivable. Rebates are included in the provider settlements on a cash basis through the settlement date. Health care receivables admitted related to rebates include an estimated amount for the most recent quarter and amounts billed and expected to be collected within 60 days of year end. All other amounts are considered to be nonadmitted assets and charged to unassigned surplus.
</t>
    </r>
  </si>
  <si>
    <t>TAHMO has written 2 promissory notes totaling $1.4 million in connection with its contract to provide services for MassHealth SCO program.
TAHMO promises to pay MA EOHHS $1.4 million in the event of impending or actual insolvency of TAHMO to guarantee covered services.</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</si>
  <si>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</si>
  <si>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 xml:space="preserve">There was not a significant change to Medical Claims Payable </t>
  </si>
  <si>
    <t>* SCO business is written on TAHMO. All Admistrative costs are incurred on TAHMO and allocated to SCO products.
* There was not a significant change to the Due to/from Affliates amount.</t>
  </si>
  <si>
    <t>Tufts Associated Health Plans, Inc. (TAHP) provides management services to TAHMO and its subsidiaries for many of their administrative needs. The management fee is determined primarily as TAHP’s cost plus markup percentage, which is negotiated annually. The total management fee for the SCO product was $33,868,841 as of December 31, 2024.</t>
  </si>
  <si>
    <t>There were no significant fluctuations in Lag Reports.</t>
  </si>
  <si>
    <t xml:space="preserve">Most of Revenue and Medical Expenses is actual data based on members and rate cells.                                                                                                                          Line 0004 (Other Revenue-Medicare) consists of Rebate Buy-Down, LIS $s recv'd from CMS, CMS fees and our estimate of the Part D Risk Settlement. These items are allocated based on Part A/B &amp; D Revenue from CMS.
 Line 006 (Patient Contribution to Care) is allocated based on Medicaid revenue for Institutional members.
Line 0010 (All Other Revenue) consists of an accrual for the RiskScore Adjustment by CMS (to be received in July 2023) and Medicare MLR estimate if any.  These $s are allocated based on CMS Part A/B &amp; D Revenue.
Lines 0038 - 0053 (with the exception of Line 0040) are all allocated based on Medicaid &amp; Medicare revenue.
Line 0040 (ASAPs) is allocated based on Medicaid revenue.
</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</si>
  <si>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</si>
  <si>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</si>
  <si>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</si>
  <si>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</si>
  <si>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</si>
  <si>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</si>
  <si>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</si>
  <si>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</si>
  <si>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</si>
  <si>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</si>
  <si>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</si>
  <si>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</si>
  <si>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</si>
  <si>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</si>
  <si>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</si>
  <si>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</si>
  <si>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</si>
  <si>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</si>
  <si>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</si>
  <si>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</si>
  <si>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</si>
  <si>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</si>
  <si>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</si>
  <si>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</si>
  <si>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</si>
  <si>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</si>
  <si>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</si>
  <si>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</si>
  <si>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</si>
  <si>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</si>
  <si>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Exclude</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</si>
  <si>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</si>
  <si>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</si>
  <si>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</si>
  <si>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SCO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</si>
  <si>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</si>
  <si>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</si>
  <si>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</si>
  <si>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</si>
  <si>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</si>
  <si>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</si>
  <si>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</si>
  <si>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</si>
  <si>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</si>
  <si>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</si>
  <si>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</si>
  <si>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</si>
  <si>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</si>
  <si>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</si>
  <si>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</si>
  <si>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</si>
  <si>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</si>
  <si>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</si>
  <si>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</si>
  <si>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Schedule 8: Financial Indicators</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</si>
  <si>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</si>
  <si>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</si>
  <si>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</si>
  <si>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</si>
  <si>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</si>
  <si>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</si>
  <si>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</si>
  <si>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</si>
  <si>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</si>
  <si>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</si>
  <si>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</si>
  <si>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</si>
  <si>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</si>
  <si>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</si>
  <si>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</si>
  <si>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</si>
  <si>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</si>
  <si>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</si>
  <si>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</si>
  <si>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</si>
  <si>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</si>
  <si>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</si>
  <si>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</si>
  <si>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</si>
  <si>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</si>
  <si>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</si>
  <si>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</si>
  <si>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</si>
  <si>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</si>
  <si>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</si>
  <si>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Schedule 9: Financial Solvency Requirements</t>
  </si>
  <si>
    <t xml:space="preserve">2.11 (A)(1) Minimum Net Worth </t>
  </si>
  <si>
    <t>Actual Balance Sheet</t>
  </si>
  <si>
    <t>Balance Sheet (projected)</t>
  </si>
  <si>
    <t>Cash</t>
  </si>
  <si>
    <t>Total Allowed Assets *</t>
  </si>
  <si>
    <t>Requirement Amount</t>
  </si>
  <si>
    <t>Difference</t>
  </si>
  <si>
    <t>Meets contractual requirement?</t>
  </si>
  <si>
    <t>Cash Requirement Met?</t>
  </si>
  <si>
    <t>*If at least $800,000 of the minimum net worth requirement is met by cash, then the GAAP value of intangible assets up 20% of the minimum net worth will be allowed, if less than $1,200,000 of the minimum net worth requirement is met by cash, then the GAAP value of intangible assets up to 10% of the minimum net worth required will be allowed.</t>
  </si>
  <si>
    <t xml:space="preserve">2.11 (A)(2) Working Capital  </t>
  </si>
  <si>
    <t>Actual Financial Ratios</t>
  </si>
  <si>
    <t>Financial Ratios (Projected)</t>
  </si>
  <si>
    <t>Quick Ratio</t>
  </si>
  <si>
    <t>Working Capital</t>
  </si>
  <si>
    <t>greater than zero</t>
  </si>
  <si>
    <t xml:space="preserve">2.11(B)(2) Insolvency Reserve </t>
  </si>
  <si>
    <t>a.  Calculation of the Requirement</t>
  </si>
  <si>
    <t>b.  Satisfaction of the Requirement</t>
  </si>
  <si>
    <t>Quarterly Medical Expenses</t>
  </si>
  <si>
    <r>
      <t>Insolvency Reserve Requirement</t>
    </r>
    <r>
      <rPr>
        <sz val="10"/>
        <rFont val="Arial"/>
        <family val="2"/>
      </rPr>
      <t xml:space="preserve"> (Based on 45 Days of Medical Expenses)</t>
    </r>
  </si>
  <si>
    <t>2.11(B)(3) Additional Security  (Promissory Note or Performance Bond)</t>
  </si>
  <si>
    <t>2.11(B)(3)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</si>
  <si>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</si>
  <si>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</si>
  <si>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</si>
  <si>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</si>
  <si>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Calendar Year - Quarter 1 </t>
  </si>
  <si>
    <t>Y</t>
  </si>
  <si>
    <t>Calendar Year - Quarter 2</t>
  </si>
  <si>
    <t>Calendar Year - Quarter 3</t>
  </si>
  <si>
    <t>Calendar Year - Quarter 4</t>
  </si>
  <si>
    <t>Method Used to Meet Insolvency Reserve Requirement</t>
  </si>
  <si>
    <t>[Yes or No?]</t>
  </si>
  <si>
    <t>Amount Used</t>
  </si>
  <si>
    <t>Calendar Year Key</t>
  </si>
  <si>
    <t>January - March</t>
  </si>
  <si>
    <t>Covered Services Performance Bond</t>
  </si>
  <si>
    <t>April - June</t>
  </si>
  <si>
    <t xml:space="preserve">Insolvency Reserve Restricted Cash </t>
  </si>
  <si>
    <t>July - September</t>
  </si>
  <si>
    <r>
      <t xml:space="preserve">Total </t>
    </r>
    <r>
      <rPr>
        <sz val="10"/>
        <rFont val="Arial"/>
        <family val="2"/>
      </rPr>
      <t>(Meets Requirement)</t>
    </r>
  </si>
  <si>
    <t>October - December</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</si>
  <si>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</si>
  <si>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</si>
  <si>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</si>
  <si>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</si>
  <si>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</si>
  <si>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Region</t>
  </si>
  <si>
    <t>Expense Category</t>
  </si>
  <si>
    <t>Community AD/CMI</t>
  </si>
  <si>
    <t>Grand Total</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</si>
  <si>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</si>
  <si>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</si>
  <si>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</si>
  <si>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</si>
  <si>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</si>
  <si>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</si>
  <si>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</si>
  <si>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</si>
  <si>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</si>
  <si>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</si>
  <si>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</si>
  <si>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</si>
  <si>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</si>
  <si>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</si>
  <si>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</si>
  <si>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</si>
  <si>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</si>
  <si>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</si>
  <si>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Massachusetts SCO Program</t>
  </si>
  <si>
    <t>Certification (to be Completed by Health Plan CFO)</t>
  </si>
  <si>
    <t>Plan Name</t>
  </si>
  <si>
    <t xml:space="preserve">For the reporting period </t>
  </si>
  <si>
    <t>I hereby attest and certify the accuracy and completeness of the information submitted herein and all services reported herein were rendered by the Massachusetts SCO Program  Tufts Associated Health Plans, Inc.</t>
  </si>
  <si>
    <t>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non-acceptance of the attached reports.</t>
  </si>
  <si>
    <t>By: CFO</t>
  </si>
  <si>
    <t>Mark Porter, Senior Vice President, CAO &amp; Treasurer</t>
  </si>
  <si>
    <t>Print name</t>
  </si>
  <si>
    <t>Date</t>
  </si>
  <si>
    <t>/s/  Mark Porter</t>
  </si>
  <si>
    <t>860-519-8133</t>
  </si>
  <si>
    <t>Signature &amp; Title</t>
  </si>
  <si>
    <t>Phone number</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</si>
  <si>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</si>
  <si>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</si>
  <si>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</si>
  <si>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</si>
  <si>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</si>
  <si>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</si>
  <si>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The balance sheet was a established to show rolling (life to date) balance when the SeniorCare Options(SCO) product began per the initial Reporting Template.  The subsequent templates now require the income statement to show data for "current year" only and on a restated basis as IBNR runs off.  To facilitate this "product" sub balance sheet of the full reporting entity (TAHMO) balancing adjustments are made to the cash balance, which essentially contemplates the SCO share of Cash, MM and Short Term investments of TAHMO.  This methodology results in a non-GAAP, non-Statutory, quasi-cash balance sheet for the product.  Donations, if any reflect the conceptual reallocation of the enitities networth and cash attributable to SCO.
For this reporting period a donation of $3,000,000 is reflected in the SCO balance sheet representing, a higher allocation of cash and net worth to maintain adequate solvency requirements.</t>
  </si>
  <si>
    <t>Schedule 3</t>
  </si>
  <si>
    <t>1. Row 19 shows LICS &amp; Reinsurance Rx Claims. Pharmacy Claims in Line 0022 are shown gross of Rx Rebates and net of LICS &amp; Reinsurance   Pharmacy Claims in Line 0023 are shown net of Rebates and net of LICS &amp; Reinsurance.  Pharmacy Claims in Line 0025 is shown as Net of Rebates.</t>
  </si>
  <si>
    <t>Schedule 4</t>
  </si>
  <si>
    <t>Schedule 5</t>
  </si>
  <si>
    <t>Schedule 6</t>
  </si>
  <si>
    <t>The calculation of Total Pharmacy in line 32 is incorrect due to the wrong Pharmacy lines being excluded in the top section.  Lines 10a &amp; 11a should be "Exclude"  not 10b &amp; 11b.</t>
  </si>
  <si>
    <t>Schedule 7</t>
  </si>
  <si>
    <t>Schedule 8</t>
  </si>
  <si>
    <t>Schedule 9</t>
  </si>
  <si>
    <t>Schedule 10</t>
  </si>
  <si>
    <t>Schedule 11</t>
  </si>
  <si>
    <t>Template Change Log</t>
  </si>
  <si>
    <t xml:space="preserve">Release Version </t>
  </si>
  <si>
    <t>Release Date</t>
  </si>
  <si>
    <t>Schedule</t>
  </si>
  <si>
    <t>Changes</t>
  </si>
  <si>
    <t>General</t>
  </si>
  <si>
    <t>Updated submission dates for SFY22.
Updated instructions, definitions, and line references to align with other updates.</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</si>
  <si>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</si>
  <si>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Community LTC has been split into PCA, HH, AFC, ADH, and Day Hab.
Home and Community Based Waiver has been renamed to FEW Services.
Medicaid and Medicare quarterly subtotals have been added.
A member months line has been included; this populates automatically off of Schedule 1.</t>
  </si>
  <si>
    <t>Line item changes mirror those made in Schedule 3.
A YTD table has been added.
Service rollups have been added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</si>
  <si>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</si>
  <si>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</si>
  <si>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131; Line # 0064).
Updated Rating Categories for SFY23 "Community Other" and "Community BH".
Updated Medical Services Definitions (Therapy to Professional category).
Updated coding changes for Frail Elder Waiver (FEW) Services.</t>
  </si>
  <si>
    <t>Updated Rate Cells to reflect Eastern, Western, The Cape</t>
  </si>
  <si>
    <t>Added additional tab and renamed Schedule 3B_Income_Eastern; 3C_Income_Western; 3D_Income_The Cape.
Incorportated Line #0064 MLR Allowable Expense Ratio.
Updated formulas on 3A_Income_Statement to incorporate Eastern, Western, The Cape tabs.</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</si>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</sst>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d/yyyy;@"/>
    <numFmt numFmtId="202" formatCode="[$-409]mmmm\ d\,\ yyyy;@"/>
  </numFmts>
  <fonts count="127">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z val="9"/>
      <color indexed="10"/>
      <name val="Arial"/>
      <family val="2"/>
    </font>
    <font>
      <b/>
      <sz val="20"/>
      <color indexed="10"/>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z val="10"/>
      <color rgb="FF0070C0"/>
      <name val="Times New Roman"/>
      <family val="1"/>
    </font>
    <font>
      <strike/>
      <sz val="10"/>
      <color rgb="FFFF0000"/>
      <name val="Arial"/>
      <family val="2"/>
    </font>
    <font>
      <b/>
      <sz val="10"/>
      <color theme="7" tint="-0.499984740745262"/>
      <name val="Arial"/>
      <family val="2"/>
    </font>
    <font>
      <sz val="10"/>
      <color rgb="FF7030A0"/>
      <name val="Arial"/>
      <family val="2"/>
    </font>
    <font>
      <b/>
      <strike/>
      <sz val="10"/>
      <color rgb="FFFF0000"/>
      <name val="Arial"/>
      <family val="2"/>
    </font>
    <font>
      <b/>
      <sz val="10"/>
      <color rgb="FF7030A0"/>
      <name val="Arial"/>
      <family val="2"/>
    </font>
    <font>
      <sz val="9"/>
      <color indexed="81"/>
      <name val="Tahoma"/>
      <family val="2"/>
    </font>
    <font>
      <b/>
      <sz val="9"/>
      <color indexed="81"/>
      <name val="Tahoma"/>
      <family val="2"/>
    </font>
    <font>
      <sz val="11"/>
      <color rgb="FF004E9A"/>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thin">
        <color auto="1"/>
      </right>
      <top style="medium">
        <color auto="1"/>
      </top>
      <bottom style="medium">
        <color auto="1"/>
      </bottom>
      <diagonal/>
    </border>
    <border>
      <left style="thin">
        <color auto="1"/>
      </left>
      <right style="thin">
        <color indexed="64"/>
      </right>
      <top style="medium">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right style="thin">
        <color auto="1"/>
      </right>
      <top style="medium">
        <color indexed="64"/>
      </top>
      <bottom style="medium">
        <color indexed="64"/>
      </bottom>
      <diagonal/>
    </border>
    <border>
      <left style="medium">
        <color auto="1"/>
      </left>
      <right/>
      <top style="medium">
        <color auto="1"/>
      </top>
      <bottom style="medium">
        <color auto="1"/>
      </bottom>
      <diagonal/>
    </border>
    <border>
      <left/>
      <right style="hair">
        <color auto="1"/>
      </right>
      <top style="medium">
        <color auto="1"/>
      </top>
      <bottom style="medium">
        <color auto="1"/>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auto="1"/>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64"/>
      </top>
      <bottom style="thin">
        <color indexed="64"/>
      </bottom>
      <diagonal/>
    </border>
    <border>
      <left/>
      <right/>
      <top style="medium">
        <color indexed="45"/>
      </top>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auto="1"/>
      </left>
      <right style="medium">
        <color auto="1"/>
      </right>
      <top style="medium">
        <color auto="1"/>
      </top>
      <bottom/>
      <diagonal/>
    </border>
  </borders>
  <cellStyleXfs count="657">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7"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3" fillId="0" borderId="0"/>
    <xf numFmtId="0" fontId="7" fillId="0" borderId="0"/>
    <xf numFmtId="43" fontId="7" fillId="0" borderId="0" applyFont="0" applyFill="0" applyBorder="0" applyAlignment="0" applyProtection="0"/>
    <xf numFmtId="0" fontId="19" fillId="0" borderId="86"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4"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8" fillId="0" borderId="95" applyNumberFormat="0"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9" fillId="46" borderId="1" applyNumberFormat="0" applyAlignment="0" applyProtection="0"/>
    <xf numFmtId="0" fontId="79" fillId="46" borderId="1" applyNumberFormat="0" applyAlignment="0" applyProtection="0"/>
    <xf numFmtId="0" fontId="13" fillId="22" borderId="1" applyNumberFormat="0" applyAlignment="0" applyProtection="0"/>
    <xf numFmtId="0" fontId="14" fillId="23" borderId="2" applyNumberFormat="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81" fillId="0" borderId="0" applyFont="0" applyFill="0" applyBorder="0" applyAlignment="0" applyProtection="0"/>
    <xf numFmtId="188" fontId="7" fillId="0" borderId="0" applyFont="0" applyFill="0" applyBorder="0" applyAlignment="0" applyProtection="0"/>
    <xf numFmtId="170" fontId="81" fillId="0" borderId="0" applyFont="0" applyFill="0" applyBorder="0" applyAlignment="0" applyProtection="0"/>
    <xf numFmtId="188" fontId="7" fillId="0" borderId="0" applyFont="0" applyFill="0" applyBorder="0" applyAlignment="0" applyProtection="0"/>
    <xf numFmtId="170"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3" fillId="0" borderId="0"/>
    <xf numFmtId="0" fontId="83"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4" fillId="32" borderId="0" applyFont="0" applyFill="0" applyBorder="0" applyAlignment="0" applyProtection="0">
      <alignment vertical="center"/>
    </xf>
    <xf numFmtId="190" fontId="84" fillId="32" borderId="0" applyFont="0" applyFill="0" applyBorder="0" applyAlignment="0" applyProtection="0">
      <alignment vertical="center"/>
    </xf>
    <xf numFmtId="39" fontId="84" fillId="38" borderId="0" applyFont="0" applyFill="0" applyBorder="0" applyAlignment="0" applyProtection="0">
      <alignment vertical="center"/>
    </xf>
    <xf numFmtId="0" fontId="15" fillId="0" borderId="0" applyNumberFormat="0" applyFill="0" applyBorder="0" applyAlignment="0" applyProtection="0"/>
    <xf numFmtId="0" fontId="85" fillId="0" borderId="0">
      <protection locked="0"/>
    </xf>
    <xf numFmtId="0" fontId="85" fillId="0" borderId="0">
      <protection locked="0"/>
    </xf>
    <xf numFmtId="0" fontId="86" fillId="0" borderId="0">
      <protection locked="0"/>
    </xf>
    <xf numFmtId="0" fontId="85" fillId="0" borderId="0">
      <protection locked="0"/>
    </xf>
    <xf numFmtId="0" fontId="85" fillId="0" borderId="0">
      <protection locked="0"/>
    </xf>
    <xf numFmtId="0" fontId="85" fillId="0" borderId="0">
      <protection locked="0"/>
    </xf>
    <xf numFmtId="0" fontId="86" fillId="0" borderId="0">
      <protection locked="0"/>
    </xf>
    <xf numFmtId="0" fontId="83" fillId="0" borderId="0"/>
    <xf numFmtId="0" fontId="83" fillId="0" borderId="0"/>
    <xf numFmtId="191" fontId="87" fillId="0" borderId="0"/>
    <xf numFmtId="191" fontId="87" fillId="0" borderId="0"/>
    <xf numFmtId="191" fontId="87" fillId="0" borderId="0"/>
    <xf numFmtId="192" fontId="87" fillId="0" borderId="0"/>
    <xf numFmtId="192" fontId="87" fillId="0" borderId="0"/>
    <xf numFmtId="192" fontId="87" fillId="0" borderId="0"/>
    <xf numFmtId="192" fontId="87" fillId="0" borderId="0"/>
    <xf numFmtId="193" fontId="87" fillId="0" borderId="0"/>
    <xf numFmtId="194" fontId="87" fillId="0" borderId="0"/>
    <xf numFmtId="194" fontId="87" fillId="0" borderId="0"/>
    <xf numFmtId="194" fontId="87" fillId="0" borderId="0"/>
    <xf numFmtId="194" fontId="87" fillId="0" borderId="0"/>
    <xf numFmtId="193" fontId="87" fillId="0" borderId="0"/>
    <xf numFmtId="195" fontId="87" fillId="0" borderId="0"/>
    <xf numFmtId="195" fontId="87" fillId="0" borderId="0"/>
    <xf numFmtId="195" fontId="87" fillId="0" borderId="0"/>
    <xf numFmtId="195" fontId="87" fillId="0" borderId="0"/>
    <xf numFmtId="195" fontId="87"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8" fillId="0" borderId="0" applyNumberFormat="0" applyBorder="0" applyAlignment="0">
      <alignment horizontal="center"/>
    </xf>
    <xf numFmtId="0" fontId="17" fillId="0" borderId="5" applyNumberFormat="0" applyFill="0" applyAlignment="0" applyProtection="0"/>
    <xf numFmtId="0" fontId="89"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90" fillId="0" borderId="106" applyNumberFormat="0" applyFill="0" applyAlignment="0" applyProtection="0"/>
    <xf numFmtId="0" fontId="19" fillId="0" borderId="0" applyNumberFormat="0" applyFill="0" applyBorder="0" applyAlignment="0" applyProtection="0"/>
    <xf numFmtId="0" fontId="90" fillId="0" borderId="0" applyNumberFormat="0" applyFill="0" applyBorder="0" applyAlignment="0" applyProtection="0"/>
    <xf numFmtId="0" fontId="70"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107" applyNumberFormat="0" applyFill="0" applyAlignment="0" applyProtection="0"/>
    <xf numFmtId="0" fontId="22" fillId="26" borderId="0" applyNumberFormat="0" applyBorder="0" applyAlignment="0" applyProtection="0"/>
    <xf numFmtId="0" fontId="91" fillId="26" borderId="0" applyNumberFormat="0" applyBorder="0" applyAlignment="0" applyProtection="0"/>
    <xf numFmtId="0" fontId="78" fillId="0" borderId="0" applyNumberFormat="0" applyFill="0" applyAlignment="0" applyProtection="0"/>
    <xf numFmtId="0" fontId="92"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7" fillId="0" borderId="0"/>
    <xf numFmtId="0" fontId="94" fillId="0" borderId="0"/>
    <xf numFmtId="0" fontId="87" fillId="0" borderId="0"/>
    <xf numFmtId="0" fontId="87" fillId="0" borderId="0"/>
    <xf numFmtId="0" fontId="87" fillId="0" borderId="0"/>
    <xf numFmtId="0" fontId="95" fillId="0" borderId="0" applyAlignment="0"/>
    <xf numFmtId="0" fontId="82" fillId="0" borderId="0"/>
    <xf numFmtId="0" fontId="4" fillId="0" borderId="0"/>
    <xf numFmtId="0" fontId="4" fillId="0" borderId="0"/>
    <xf numFmtId="0" fontId="95"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5"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7" fillId="0" borderId="0"/>
    <xf numFmtId="0" fontId="10" fillId="0" borderId="0"/>
    <xf numFmtId="0" fontId="7" fillId="0" borderId="0"/>
    <xf numFmtId="0" fontId="4" fillId="0" borderId="0"/>
    <xf numFmtId="0" fontId="4" fillId="0" borderId="0"/>
    <xf numFmtId="0" fontId="64"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108"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8"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6" fillId="38" borderId="0">
      <alignment horizontal="right"/>
    </xf>
    <xf numFmtId="0" fontId="97" fillId="0" borderId="109"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110" applyNumberFormat="0" applyAlignment="0" applyProtection="0"/>
    <xf numFmtId="0" fontId="29" fillId="0" borderId="110" applyNumberFormat="0" applyAlignment="0" applyProtection="0"/>
    <xf numFmtId="0" fontId="29" fillId="0" borderId="110" applyNumberFormat="0" applyAlignment="0" applyProtection="0"/>
    <xf numFmtId="0" fontId="29" fillId="0" borderId="110" applyNumberFormat="0" applyAlignment="0" applyProtection="0"/>
    <xf numFmtId="0" fontId="29" fillId="0" borderId="110"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97" fillId="0" borderId="112" applyNumberFormat="0" applyAlignment="0" applyProtection="0"/>
    <xf numFmtId="0" fontId="83"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81"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8" fillId="0" borderId="0" applyNumberFormat="0" applyFont="0" applyFill="0" applyBorder="0" applyAlignment="0" applyProtection="0">
      <alignment horizontal="left"/>
    </xf>
    <xf numFmtId="15" fontId="98" fillId="0" borderId="0" applyFont="0" applyFill="0" applyBorder="0" applyAlignment="0" applyProtection="0"/>
    <xf numFmtId="4" fontId="98" fillId="0" borderId="0" applyFont="0" applyFill="0" applyBorder="0" applyAlignment="0" applyProtection="0"/>
    <xf numFmtId="0" fontId="99" fillId="0" borderId="26">
      <alignment horizontal="center"/>
    </xf>
    <xf numFmtId="3" fontId="98" fillId="0" borderId="0" applyFont="0" applyFill="0" applyBorder="0" applyAlignment="0" applyProtection="0"/>
    <xf numFmtId="0" fontId="98" fillId="51" borderId="0" applyNumberFormat="0" applyFont="0" applyBorder="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87"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7" fillId="0" borderId="0"/>
    <xf numFmtId="0" fontId="87" fillId="0" borderId="0"/>
    <xf numFmtId="0" fontId="100" fillId="15" borderId="0" applyNumberFormat="0" applyBorder="0" applyAlignment="0"/>
    <xf numFmtId="0" fontId="100" fillId="3" borderId="0" applyNumberFormat="0" applyBorder="0" applyAlignment="0"/>
    <xf numFmtId="0" fontId="100" fillId="15" borderId="0" applyNumberFormat="0" applyBorder="0" applyAlignment="0"/>
    <xf numFmtId="0" fontId="101" fillId="0" borderId="0"/>
    <xf numFmtId="0" fontId="61" fillId="0" borderId="0" applyNumberFormat="0" applyBorder="0" applyAlignment="0"/>
    <xf numFmtId="0" fontId="87" fillId="0" borderId="0"/>
    <xf numFmtId="0" fontId="61" fillId="0" borderId="0" applyNumberFormat="0" applyBorder="0" applyAlignment="0"/>
    <xf numFmtId="0" fontId="87" fillId="0" borderId="0"/>
    <xf numFmtId="0" fontId="87" fillId="0" borderId="0"/>
    <xf numFmtId="0" fontId="101" fillId="0" borderId="0"/>
    <xf numFmtId="0" fontId="102" fillId="0" borderId="0"/>
    <xf numFmtId="0" fontId="103" fillId="22" borderId="0" applyNumberFormat="0" applyBorder="0" applyAlignment="0"/>
    <xf numFmtId="0" fontId="102" fillId="0" borderId="0"/>
    <xf numFmtId="0" fontId="101" fillId="0" borderId="0"/>
    <xf numFmtId="0" fontId="103" fillId="22" borderId="0" applyNumberFormat="0" applyBorder="0" applyAlignment="0"/>
    <xf numFmtId="0" fontId="101" fillId="0" borderId="0"/>
    <xf numFmtId="0" fontId="104" fillId="0" borderId="0"/>
    <xf numFmtId="0" fontId="40" fillId="0" borderId="0" applyNumberFormat="0" applyBorder="0" applyAlignment="0"/>
    <xf numFmtId="0" fontId="40" fillId="0" borderId="0" applyNumberFormat="0" applyBorder="0" applyAlignment="0"/>
    <xf numFmtId="0" fontId="104" fillId="0" borderId="0"/>
    <xf numFmtId="0" fontId="105" fillId="0" borderId="0"/>
    <xf numFmtId="0" fontId="100" fillId="6" borderId="0" applyNumberFormat="0" applyBorder="0" applyAlignment="0"/>
    <xf numFmtId="0" fontId="105" fillId="0" borderId="0"/>
    <xf numFmtId="0" fontId="100" fillId="52" borderId="0" applyNumberFormat="0" applyBorder="0" applyAlignment="0"/>
    <xf numFmtId="0" fontId="100" fillId="3" borderId="0" applyNumberFormat="0" applyBorder="0" applyAlignment="0"/>
    <xf numFmtId="0" fontId="100"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6"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113"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20" applyNumberFormat="0" applyAlignment="0" applyProtection="0"/>
    <xf numFmtId="0" fontId="29" fillId="0" borderId="120" applyNumberFormat="0" applyAlignment="0" applyProtection="0"/>
    <xf numFmtId="0" fontId="29" fillId="0" borderId="119" applyNumberFormat="0" applyAlignment="0" applyProtection="0"/>
    <xf numFmtId="0" fontId="7" fillId="0" borderId="0"/>
    <xf numFmtId="0" fontId="31" fillId="0" borderId="117"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19"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108" applyNumberFormat="0" applyFont="0" applyAlignment="0" applyProtection="0"/>
    <xf numFmtId="0" fontId="7" fillId="0" borderId="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17" applyNumberFormat="0" applyAlignment="0" applyProtection="0">
      <alignment horizontal="left" vertical="center"/>
    </xf>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7" fillId="0" borderId="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7" fillId="0" borderId="0"/>
    <xf numFmtId="0" fontId="110"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cellStyleXfs>
  <cellXfs count="974">
    <xf numFmtId="0" fontId="0" fillId="0" borderId="0" xfId="0"/>
    <xf numFmtId="0" fontId="9" fillId="32" borderId="12" xfId="0" applyFont="1" applyFill="1" applyBorder="1"/>
    <xf numFmtId="0" fontId="0" fillId="32" borderId="0" xfId="0" applyFill="1"/>
    <xf numFmtId="168" fontId="7" fillId="0" borderId="0" xfId="90" applyNumberFormat="1" applyFont="1"/>
    <xf numFmtId="0" fontId="9" fillId="32" borderId="0" xfId="0" applyFont="1" applyFill="1"/>
    <xf numFmtId="168" fontId="7" fillId="32" borderId="0" xfId="90"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90" applyNumberFormat="1" applyFont="1" applyBorder="1"/>
    <xf numFmtId="168" fontId="7" fillId="0" borderId="0" xfId="90" applyNumberFormat="1" applyFont="1" applyBorder="1"/>
    <xf numFmtId="168" fontId="29" fillId="0" borderId="0" xfId="0" applyNumberFormat="1" applyFont="1"/>
    <xf numFmtId="0" fontId="29" fillId="32" borderId="0" xfId="0" applyFont="1" applyFill="1"/>
    <xf numFmtId="168" fontId="9" fillId="32" borderId="13" xfId="90" applyNumberFormat="1" applyFont="1" applyFill="1" applyBorder="1"/>
    <xf numFmtId="0" fontId="9" fillId="0" borderId="0" xfId="0" applyFont="1"/>
    <xf numFmtId="0" fontId="31" fillId="0" borderId="0" xfId="83"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90" applyFont="1" applyBorder="1"/>
    <xf numFmtId="9" fontId="7" fillId="0" borderId="16" xfId="90" applyFont="1" applyBorder="1"/>
    <xf numFmtId="9" fontId="7" fillId="0" borderId="17" xfId="90" applyFont="1" applyBorder="1"/>
    <xf numFmtId="9" fontId="7" fillId="0" borderId="0" xfId="90"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51" fillId="0" borderId="0" xfId="0" applyFont="1"/>
    <xf numFmtId="0" fontId="52" fillId="0" borderId="0" xfId="0" applyFont="1"/>
    <xf numFmtId="0" fontId="7" fillId="0" borderId="0" xfId="81"/>
    <xf numFmtId="0" fontId="34" fillId="0" borderId="0" xfId="0" applyFont="1"/>
    <xf numFmtId="0" fontId="0" fillId="0" borderId="0" xfId="0" applyProtection="1">
      <protection locked="0"/>
    </xf>
    <xf numFmtId="0" fontId="53" fillId="0" borderId="0" xfId="0" applyFont="1"/>
    <xf numFmtId="0" fontId="0" fillId="0" borderId="0" xfId="0" applyAlignment="1">
      <alignment horizontal="center"/>
    </xf>
    <xf numFmtId="0" fontId="0" fillId="32" borderId="0" xfId="0" applyFill="1" applyAlignment="1">
      <alignment horizontal="center"/>
    </xf>
    <xf numFmtId="0" fontId="54" fillId="0" borderId="28" xfId="0" applyFont="1" applyBorder="1" applyAlignment="1">
      <alignment vertical="center" wrapText="1"/>
    </xf>
    <xf numFmtId="0" fontId="54" fillId="0" borderId="31" xfId="0" applyFont="1" applyBorder="1" applyAlignment="1">
      <alignment vertical="center" wrapText="1"/>
    </xf>
    <xf numFmtId="0" fontId="36" fillId="0" borderId="0" xfId="0" applyFont="1"/>
    <xf numFmtId="165" fontId="7" fillId="24" borderId="12" xfId="90" applyNumberFormat="1" applyFont="1" applyFill="1" applyBorder="1"/>
    <xf numFmtId="43" fontId="7" fillId="24" borderId="12" xfId="37" applyNumberFormat="1" applyFont="1" applyFill="1" applyBorder="1"/>
    <xf numFmtId="9" fontId="7" fillId="24" borderId="39" xfId="90" applyFont="1" applyFill="1" applyBorder="1"/>
    <xf numFmtId="9" fontId="7" fillId="24" borderId="21" xfId="90" applyFont="1" applyFill="1" applyBorder="1"/>
    <xf numFmtId="9" fontId="7" fillId="24" borderId="40" xfId="90"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90" applyFont="1" applyFill="1" applyBorder="1"/>
    <xf numFmtId="167" fontId="7" fillId="24" borderId="12" xfId="45" applyNumberFormat="1" applyFont="1" applyFill="1" applyBorder="1"/>
    <xf numFmtId="165" fontId="7" fillId="24" borderId="42" xfId="90" applyNumberFormat="1" applyFont="1" applyFill="1" applyBorder="1"/>
    <xf numFmtId="165" fontId="7" fillId="24" borderId="41" xfId="90"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90" applyFont="1" applyFill="1" applyBorder="1"/>
    <xf numFmtId="9" fontId="7" fillId="24" borderId="42" xfId="90"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90" applyFont="1" applyFill="1" applyBorder="1"/>
    <xf numFmtId="9" fontId="7" fillId="24" borderId="44" xfId="90" applyFont="1" applyFill="1" applyBorder="1"/>
    <xf numFmtId="9" fontId="7" fillId="24" borderId="45" xfId="90"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70" xfId="0" applyFont="1" applyFill="1" applyBorder="1" applyAlignment="1">
      <alignment horizontal="center"/>
    </xf>
    <xf numFmtId="0" fontId="31" fillId="34" borderId="72" xfId="0" applyFont="1" applyFill="1" applyBorder="1" applyAlignment="1">
      <alignment horizontal="center"/>
    </xf>
    <xf numFmtId="0" fontId="58" fillId="34" borderId="77" xfId="0" applyFont="1" applyFill="1" applyBorder="1" applyAlignment="1">
      <alignment horizontal="left"/>
    </xf>
    <xf numFmtId="0" fontId="58" fillId="34" borderId="4" xfId="0" applyFont="1" applyFill="1" applyBorder="1" applyAlignment="1">
      <alignment horizontal="center"/>
    </xf>
    <xf numFmtId="0" fontId="58" fillId="34" borderId="79" xfId="0" applyFont="1" applyFill="1" applyBorder="1" applyAlignment="1">
      <alignment horizontal="center"/>
    </xf>
    <xf numFmtId="0" fontId="7" fillId="0" borderId="0" xfId="0" applyFont="1" applyAlignment="1">
      <alignment horizontal="left" indent="2"/>
    </xf>
    <xf numFmtId="0" fontId="57" fillId="0" borderId="0" xfId="0" applyFont="1"/>
    <xf numFmtId="0" fontId="56" fillId="0" borderId="0" xfId="0" applyFont="1"/>
    <xf numFmtId="0" fontId="57" fillId="0" borderId="0" xfId="0" applyFont="1" applyAlignment="1">
      <alignment vertical="center"/>
    </xf>
    <xf numFmtId="0" fontId="60" fillId="0" borderId="80" xfId="0" applyFont="1" applyBorder="1"/>
    <xf numFmtId="0" fontId="60" fillId="0" borderId="81" xfId="0" applyFont="1" applyBorder="1" applyAlignment="1">
      <alignment horizontal="center"/>
    </xf>
    <xf numFmtId="0" fontId="60" fillId="0" borderId="82" xfId="0" applyFont="1" applyBorder="1" applyAlignment="1">
      <alignment horizontal="center"/>
    </xf>
    <xf numFmtId="0" fontId="40" fillId="0" borderId="0" xfId="0" applyFont="1"/>
    <xf numFmtId="0" fontId="7" fillId="0" borderId="12" xfId="115" quotePrefix="1" applyFont="1" applyBorder="1" applyAlignment="1">
      <alignment horizontal="left"/>
    </xf>
    <xf numFmtId="0" fontId="9" fillId="0" borderId="12" xfId="0" applyFont="1" applyBorder="1" applyAlignment="1">
      <alignment horizontal="center"/>
    </xf>
    <xf numFmtId="0" fontId="9" fillId="36" borderId="12" xfId="0" applyFont="1" applyFill="1" applyBorder="1" applyAlignment="1">
      <alignment horizontal="center"/>
    </xf>
    <xf numFmtId="0" fontId="40" fillId="0" borderId="12" xfId="0" applyFont="1" applyBorder="1"/>
    <xf numFmtId="0" fontId="7" fillId="0" borderId="12" xfId="115" applyFont="1" applyBorder="1" applyAlignment="1">
      <alignment horizontal="left"/>
    </xf>
    <xf numFmtId="0" fontId="51" fillId="34" borderId="0" xfId="0" applyFont="1" applyFill="1"/>
    <xf numFmtId="0" fontId="0" fillId="34" borderId="0" xfId="0" applyFill="1"/>
    <xf numFmtId="0" fontId="9" fillId="0" borderId="0" xfId="0" applyFont="1" applyAlignment="1">
      <alignment horizontal="center"/>
    </xf>
    <xf numFmtId="44" fontId="7" fillId="0" borderId="0" xfId="0" applyNumberFormat="1" applyFont="1"/>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69" xfId="78" applyNumberFormat="1" applyFont="1" applyFill="1" applyBorder="1" applyAlignment="1">
      <alignment horizontal="center" vertical="center" wrapText="1"/>
    </xf>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2" fillId="0" borderId="85" xfId="0" applyFont="1" applyBorder="1"/>
    <xf numFmtId="0" fontId="61" fillId="0" borderId="51" xfId="0" applyFont="1" applyBorder="1"/>
    <xf numFmtId="0" fontId="40" fillId="0" borderId="21" xfId="0" applyFont="1" applyBorder="1" applyAlignment="1">
      <alignment horizontal="center"/>
    </xf>
    <xf numFmtId="0" fontId="40" fillId="0" borderId="21" xfId="118" applyFont="1" applyBorder="1" applyAlignment="1">
      <alignment horizontal="left"/>
    </xf>
    <xf numFmtId="0" fontId="40" fillId="0" borderId="12" xfId="0" applyFont="1" applyBorder="1" applyAlignment="1">
      <alignment horizontal="center"/>
    </xf>
    <xf numFmtId="0" fontId="40" fillId="0" borderId="12" xfId="118"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7" applyFont="1" applyFill="1" applyBorder="1" applyAlignment="1">
      <alignment horizontal="center" vertical="center"/>
    </xf>
    <xf numFmtId="0" fontId="61" fillId="34" borderId="16" xfId="0" applyFont="1" applyFill="1" applyBorder="1" applyAlignment="1">
      <alignment vertical="center"/>
    </xf>
    <xf numFmtId="0" fontId="9" fillId="34" borderId="27" xfId="117" applyFont="1" applyFill="1" applyBorder="1" applyAlignment="1">
      <alignment horizontal="center" vertical="center"/>
    </xf>
    <xf numFmtId="0" fontId="61" fillId="34" borderId="21" xfId="0" applyFont="1" applyFill="1" applyBorder="1"/>
    <xf numFmtId="0" fontId="40" fillId="0" borderId="12" xfId="0" applyFont="1" applyBorder="1" applyAlignment="1">
      <alignment wrapText="1"/>
    </xf>
    <xf numFmtId="0" fontId="61" fillId="34" borderId="16" xfId="0" applyFont="1" applyFill="1" applyBorder="1" applyAlignment="1">
      <alignment vertical="center" wrapText="1"/>
    </xf>
    <xf numFmtId="0" fontId="40" fillId="34" borderId="21" xfId="0" applyFont="1" applyFill="1" applyBorder="1" applyAlignment="1">
      <alignment wrapText="1"/>
    </xf>
    <xf numFmtId="0" fontId="58" fillId="37" borderId="41" xfId="0" applyFont="1" applyFill="1" applyBorder="1"/>
    <xf numFmtId="0" fontId="58" fillId="37" borderId="41" xfId="0" applyFont="1" applyFill="1" applyBorder="1" applyAlignment="1">
      <alignment horizontal="left" vertical="center"/>
    </xf>
    <xf numFmtId="0" fontId="58"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3"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2" applyFont="1"/>
    <xf numFmtId="0" fontId="40" fillId="34" borderId="25" xfId="122" applyFont="1" applyFill="1" applyBorder="1"/>
    <xf numFmtId="0" fontId="61" fillId="34" borderId="36" xfId="122" applyFont="1" applyFill="1" applyBorder="1" applyAlignment="1">
      <alignment horizontal="centerContinuous" vertical="center"/>
    </xf>
    <xf numFmtId="0" fontId="61" fillId="34" borderId="48" xfId="122" applyFont="1" applyFill="1" applyBorder="1" applyAlignment="1">
      <alignment horizontal="centerContinuous" vertical="center"/>
    </xf>
    <xf numFmtId="0" fontId="61" fillId="34" borderId="87" xfId="122" applyFont="1" applyFill="1" applyBorder="1" applyAlignment="1">
      <alignment horizontal="centerContinuous" vertical="center"/>
    </xf>
    <xf numFmtId="0" fontId="61" fillId="34" borderId="16" xfId="122" applyFont="1" applyFill="1" applyBorder="1" applyAlignment="1">
      <alignment vertical="center"/>
    </xf>
    <xf numFmtId="0" fontId="61" fillId="34" borderId="24" xfId="122" applyFont="1" applyFill="1" applyBorder="1" applyAlignment="1">
      <alignment horizontal="centerContinuous" vertical="center"/>
    </xf>
    <xf numFmtId="0" fontId="61" fillId="34" borderId="4" xfId="122" applyFont="1" applyFill="1" applyBorder="1" applyAlignment="1">
      <alignment horizontal="centerContinuous" vertical="center"/>
    </xf>
    <xf numFmtId="0" fontId="40" fillId="0" borderId="0" xfId="122" applyFont="1" applyAlignment="1">
      <alignment horizontal="center" vertical="center" wrapText="1"/>
    </xf>
    <xf numFmtId="0" fontId="61" fillId="34" borderId="21" xfId="122" applyFont="1" applyFill="1" applyBorder="1"/>
    <xf numFmtId="0" fontId="40" fillId="0" borderId="0" xfId="122" applyFont="1" applyAlignment="1">
      <alignment wrapText="1"/>
    </xf>
    <xf numFmtId="0" fontId="40" fillId="0" borderId="14" xfId="122" applyFont="1" applyBorder="1" applyAlignment="1">
      <alignment horizontal="center"/>
    </xf>
    <xf numFmtId="0" fontId="62" fillId="0" borderId="85" xfId="122" applyFont="1" applyBorder="1"/>
    <xf numFmtId="0" fontId="40" fillId="38" borderId="14" xfId="122" applyFont="1" applyFill="1" applyBorder="1"/>
    <xf numFmtId="0" fontId="40" fillId="38" borderId="25" xfId="122" applyFont="1" applyFill="1" applyBorder="1"/>
    <xf numFmtId="0" fontId="40" fillId="38" borderId="0" xfId="122" applyFont="1" applyFill="1"/>
    <xf numFmtId="0" fontId="40" fillId="0" borderId="27" xfId="122" applyFont="1" applyBorder="1" applyAlignment="1">
      <alignment horizontal="center"/>
    </xf>
    <xf numFmtId="0" fontId="61" fillId="0" borderId="51" xfId="122" applyFont="1" applyBorder="1"/>
    <xf numFmtId="0" fontId="40" fillId="38" borderId="27" xfId="122" applyFont="1" applyFill="1" applyBorder="1"/>
    <xf numFmtId="0" fontId="40" fillId="38" borderId="21" xfId="122" applyFont="1" applyFill="1" applyBorder="1"/>
    <xf numFmtId="0" fontId="40" fillId="38" borderId="33" xfId="122" applyFont="1" applyFill="1" applyBorder="1"/>
    <xf numFmtId="0" fontId="40" fillId="0" borderId="21" xfId="122" applyFont="1" applyBorder="1" applyAlignment="1">
      <alignment horizontal="center"/>
    </xf>
    <xf numFmtId="0" fontId="40" fillId="0" borderId="12" xfId="122" applyFont="1" applyBorder="1" applyAlignment="1">
      <alignment horizontal="center"/>
    </xf>
    <xf numFmtId="0" fontId="40" fillId="0" borderId="0" xfId="122" applyFont="1" applyAlignment="1">
      <alignment horizontal="center"/>
    </xf>
    <xf numFmtId="0" fontId="62" fillId="0" borderId="0" xfId="122" applyFont="1"/>
    <xf numFmtId="0" fontId="40" fillId="0" borderId="14" xfId="0" applyFont="1" applyBorder="1" applyAlignment="1">
      <alignment horizontal="center"/>
    </xf>
    <xf numFmtId="0" fontId="40" fillId="0" borderId="27" xfId="0" applyFont="1" applyBorder="1" applyAlignment="1">
      <alignment horizontal="center"/>
    </xf>
    <xf numFmtId="0" fontId="60" fillId="34" borderId="84" xfId="0" applyFont="1" applyFill="1" applyBorder="1" applyAlignment="1">
      <alignment horizontal="centerContinuous"/>
    </xf>
    <xf numFmtId="0" fontId="58" fillId="37" borderId="69" xfId="0" applyFont="1" applyFill="1" applyBorder="1" applyAlignment="1">
      <alignment horizontal="center" vertical="center"/>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41" fontId="9" fillId="37" borderId="66" xfId="34" applyNumberFormat="1" applyFont="1" applyFill="1" applyBorder="1" applyAlignment="1">
      <alignment horizontal="centerContinuous"/>
    </xf>
    <xf numFmtId="41" fontId="9" fillId="37" borderId="4" xfId="34" applyNumberFormat="1" applyFont="1" applyFill="1" applyBorder="1" applyAlignment="1">
      <alignment horizontal="centerContinuous"/>
    </xf>
    <xf numFmtId="167" fontId="7" fillId="0" borderId="0" xfId="0" applyNumberFormat="1" applyFont="1"/>
    <xf numFmtId="0" fontId="9" fillId="0" borderId="0" xfId="83" applyFont="1" applyAlignment="1">
      <alignment vertical="center"/>
    </xf>
    <xf numFmtId="0" fontId="9" fillId="0" borderId="0" xfId="83" applyFont="1" applyAlignment="1" applyProtection="1">
      <alignment vertical="center"/>
      <protection locked="0"/>
    </xf>
    <xf numFmtId="0" fontId="9" fillId="0" borderId="0" xfId="83"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40"/>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2" applyFont="1"/>
    <xf numFmtId="167" fontId="7" fillId="0" borderId="0" xfId="45" applyNumberFormat="1" applyFont="1" applyBorder="1"/>
    <xf numFmtId="9" fontId="7" fillId="24" borderId="20" xfId="90" applyFont="1" applyFill="1" applyBorder="1" applyAlignment="1">
      <alignment horizontal="center"/>
    </xf>
    <xf numFmtId="9" fontId="7" fillId="24" borderId="46" xfId="90" applyFont="1" applyFill="1" applyBorder="1" applyAlignment="1">
      <alignment horizontal="center"/>
    </xf>
    <xf numFmtId="9" fontId="7" fillId="0" borderId="22" xfId="90" applyFont="1" applyFill="1" applyBorder="1" applyAlignment="1">
      <alignment horizontal="center"/>
    </xf>
    <xf numFmtId="9" fontId="7" fillId="0" borderId="20" xfId="90" applyFont="1" applyFill="1" applyBorder="1" applyAlignment="1">
      <alignment horizontal="center"/>
    </xf>
    <xf numFmtId="9" fontId="7" fillId="0" borderId="13" xfId="90" applyFont="1" applyFill="1" applyBorder="1" applyAlignment="1">
      <alignment horizontal="center"/>
    </xf>
    <xf numFmtId="0" fontId="9" fillId="36" borderId="24" xfId="0" applyFont="1" applyFill="1" applyBorder="1" applyAlignment="1">
      <alignment horizontal="centerContinuous"/>
    </xf>
    <xf numFmtId="0" fontId="9" fillId="36" borderId="19" xfId="0" applyFont="1" applyFill="1" applyBorder="1" applyAlignment="1">
      <alignment horizontal="centerContinuous"/>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6"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2" applyNumberFormat="1" applyFont="1"/>
    <xf numFmtId="167" fontId="40" fillId="37" borderId="12" xfId="122" applyNumberFormat="1" applyFont="1" applyFill="1" applyBorder="1"/>
    <xf numFmtId="43" fontId="7" fillId="24" borderId="41" xfId="34" applyFont="1" applyFill="1" applyBorder="1"/>
    <xf numFmtId="0" fontId="65" fillId="0" borderId="0" xfId="0" applyFont="1"/>
    <xf numFmtId="0" fontId="9" fillId="34" borderId="36" xfId="117" applyFont="1" applyFill="1" applyBorder="1" applyAlignment="1">
      <alignment horizontal="center" vertical="center"/>
    </xf>
    <xf numFmtId="0" fontId="9" fillId="34" borderId="91" xfId="0" applyFont="1" applyFill="1" applyBorder="1" applyAlignment="1">
      <alignment horizontal="center"/>
    </xf>
    <xf numFmtId="0" fontId="7" fillId="0" borderId="0" xfId="115" quotePrefix="1" applyFont="1" applyAlignment="1">
      <alignment horizontal="left" wrapText="1"/>
    </xf>
    <xf numFmtId="0" fontId="9" fillId="0" borderId="0" xfId="83"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2" applyAlignment="1">
      <alignment vertical="center"/>
    </xf>
    <xf numFmtId="0" fontId="61" fillId="0" borderId="0" xfId="122" applyFont="1" applyAlignment="1">
      <alignment horizontal="left"/>
    </xf>
    <xf numFmtId="0" fontId="61" fillId="0" borderId="0" xfId="122" applyFont="1"/>
    <xf numFmtId="0" fontId="65" fillId="0" borderId="0" xfId="122" applyFont="1"/>
    <xf numFmtId="0" fontId="65" fillId="0" borderId="0" xfId="122" applyFont="1" applyAlignment="1">
      <alignment horizontal="left"/>
    </xf>
    <xf numFmtId="0" fontId="66" fillId="0" borderId="0" xfId="122"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5" quotePrefix="1" applyNumberFormat="1" applyFont="1" applyBorder="1" applyAlignment="1">
      <alignment horizontal="center"/>
    </xf>
    <xf numFmtId="164" fontId="7" fillId="0" borderId="12" xfId="116" quotePrefix="1" applyNumberFormat="1" applyFont="1" applyBorder="1" applyAlignment="1">
      <alignment horizontal="center"/>
    </xf>
    <xf numFmtId="164" fontId="7" fillId="34" borderId="49" xfId="0" applyNumberFormat="1" applyFont="1" applyFill="1" applyBorder="1" applyAlignment="1">
      <alignment horizontal="center"/>
    </xf>
    <xf numFmtId="164" fontId="7" fillId="34" borderId="66" xfId="0" applyNumberFormat="1" applyFont="1" applyFill="1" applyBorder="1" applyAlignment="1">
      <alignment horizontal="center"/>
    </xf>
    <xf numFmtId="0" fontId="74" fillId="35" borderId="75" xfId="0" applyFont="1" applyFill="1" applyBorder="1" applyAlignment="1">
      <alignment horizontal="left" wrapText="1"/>
    </xf>
    <xf numFmtId="0" fontId="74" fillId="35" borderId="68" xfId="0" applyFont="1" applyFill="1" applyBorder="1" applyAlignment="1">
      <alignment wrapText="1"/>
    </xf>
    <xf numFmtId="0" fontId="74" fillId="35" borderId="74" xfId="0" applyFont="1" applyFill="1" applyBorder="1" applyAlignment="1">
      <alignment horizontal="center" wrapText="1"/>
    </xf>
    <xf numFmtId="0" fontId="5" fillId="0" borderId="0" xfId="0" applyFont="1" applyAlignment="1">
      <alignment horizontal="center"/>
    </xf>
    <xf numFmtId="0" fontId="68" fillId="34" borderId="76" xfId="0" applyFont="1" applyFill="1" applyBorder="1" applyAlignment="1">
      <alignment vertical="center"/>
    </xf>
    <xf numFmtId="0" fontId="58" fillId="34" borderId="74" xfId="0" applyFont="1" applyFill="1" applyBorder="1" applyAlignment="1">
      <alignment wrapText="1"/>
    </xf>
    <xf numFmtId="0" fontId="5" fillId="0" borderId="0" xfId="0" applyFont="1"/>
    <xf numFmtId="0" fontId="68" fillId="34" borderId="78" xfId="0" applyFont="1" applyFill="1" applyBorder="1" applyAlignment="1">
      <alignment vertical="center" wrapText="1"/>
    </xf>
    <xf numFmtId="0" fontId="58"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0" fontId="9" fillId="34" borderId="49" xfId="78" applyFont="1" applyFill="1" applyBorder="1" applyAlignment="1">
      <alignment wrapText="1"/>
    </xf>
    <xf numFmtId="0" fontId="62" fillId="38" borderId="98" xfId="78" applyFont="1" applyFill="1" applyBorder="1"/>
    <xf numFmtId="49" fontId="40" fillId="38" borderId="98" xfId="78" applyNumberFormat="1" applyFont="1" applyFill="1" applyBorder="1"/>
    <xf numFmtId="49" fontId="40" fillId="38" borderId="84" xfId="78" applyNumberFormat="1" applyFont="1" applyFill="1" applyBorder="1"/>
    <xf numFmtId="41" fontId="7" fillId="37" borderId="93" xfId="78" applyNumberFormat="1" applyFont="1" applyFill="1" applyBorder="1"/>
    <xf numFmtId="42" fontId="7" fillId="37" borderId="93" xfId="41" applyNumberFormat="1" applyFont="1" applyFill="1" applyBorder="1" applyAlignment="1" applyProtection="1"/>
    <xf numFmtId="41" fontId="40" fillId="37" borderId="93" xfId="78" applyNumberFormat="1" applyFont="1" applyFill="1" applyBorder="1"/>
    <xf numFmtId="41" fontId="40" fillId="37" borderId="93" xfId="35" applyNumberFormat="1" applyFont="1" applyFill="1" applyBorder="1" applyAlignment="1" applyProtection="1"/>
    <xf numFmtId="44" fontId="40" fillId="37" borderId="93" xfId="41" applyFont="1" applyFill="1" applyBorder="1" applyAlignment="1" applyProtection="1"/>
    <xf numFmtId="44" fontId="40" fillId="37" borderId="102" xfId="41" applyFont="1" applyFill="1" applyBorder="1" applyAlignment="1" applyProtection="1"/>
    <xf numFmtId="44" fontId="40" fillId="37" borderId="94" xfId="41" applyFont="1" applyFill="1" applyBorder="1" applyAlignment="1" applyProtection="1"/>
    <xf numFmtId="41" fontId="40" fillId="43" borderId="16" xfId="78" applyNumberFormat="1" applyFont="1" applyFill="1" applyBorder="1"/>
    <xf numFmtId="41" fontId="40" fillId="43" borderId="93" xfId="78" applyNumberFormat="1" applyFont="1" applyFill="1" applyBorder="1"/>
    <xf numFmtId="3" fontId="7" fillId="43" borderId="16" xfId="78" applyNumberFormat="1" applyFont="1" applyFill="1" applyBorder="1"/>
    <xf numFmtId="3" fontId="7" fillId="43" borderId="93" xfId="78" applyNumberFormat="1" applyFont="1" applyFill="1" applyBorder="1"/>
    <xf numFmtId="3" fontId="62" fillId="0" borderId="16" xfId="78" applyNumberFormat="1" applyFont="1" applyBorder="1"/>
    <xf numFmtId="42" fontId="62" fillId="0" borderId="16" xfId="78" applyNumberFormat="1" applyFont="1" applyBorder="1"/>
    <xf numFmtId="4" fontId="62" fillId="0" borderId="16" xfId="78" applyNumberFormat="1" applyFont="1" applyBorder="1"/>
    <xf numFmtId="44" fontId="62" fillId="0" borderId="14" xfId="41" applyFont="1" applyFill="1" applyBorder="1" applyAlignment="1" applyProtection="1"/>
    <xf numFmtId="44" fontId="62" fillId="0" borderId="25" xfId="41" applyFont="1" applyFill="1" applyBorder="1" applyAlignment="1" applyProtection="1"/>
    <xf numFmtId="44" fontId="62" fillId="0" borderId="36" xfId="41" applyFont="1" applyFill="1" applyBorder="1" applyAlignment="1" applyProtection="1"/>
    <xf numFmtId="44" fontId="62" fillId="0" borderId="38" xfId="41" applyFont="1" applyFill="1" applyBorder="1" applyAlignment="1" applyProtection="1"/>
    <xf numFmtId="0" fontId="9" fillId="0" borderId="0" xfId="140" applyFont="1" applyAlignment="1">
      <alignment horizontal="left"/>
    </xf>
    <xf numFmtId="0" fontId="7" fillId="0" borderId="0" xfId="140" applyAlignment="1">
      <alignment horizontal="left" indent="1"/>
    </xf>
    <xf numFmtId="164" fontId="7" fillId="0" borderId="12" xfId="0" applyNumberFormat="1" applyFont="1" applyBorder="1" applyAlignment="1">
      <alignment horizontal="center"/>
    </xf>
    <xf numFmtId="0" fontId="32" fillId="0" borderId="0" xfId="140" applyFont="1" applyAlignment="1">
      <alignment horizontal="left" indent="1"/>
    </xf>
    <xf numFmtId="0" fontId="7" fillId="0" borderId="0" xfId="140" applyAlignment="1">
      <alignment horizontal="left"/>
    </xf>
    <xf numFmtId="173" fontId="7" fillId="0" borderId="12" xfId="0" applyNumberFormat="1" applyFont="1" applyBorder="1" applyAlignment="1">
      <alignment horizontal="fill"/>
    </xf>
    <xf numFmtId="0" fontId="9" fillId="0" borderId="0" xfId="140"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19" xfId="34" applyNumberFormat="1" applyFont="1" applyFill="1" applyBorder="1" applyAlignment="1" applyProtection="1">
      <alignment horizontal="centerContinuous"/>
    </xf>
    <xf numFmtId="41" fontId="9" fillId="37" borderId="66"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7" fillId="0" borderId="0" xfId="140" applyProtection="1">
      <protection locked="0"/>
    </xf>
    <xf numFmtId="0" fontId="7" fillId="0" borderId="0" xfId="140" applyAlignment="1" applyProtection="1">
      <alignment horizontal="left"/>
      <protection locked="0"/>
    </xf>
    <xf numFmtId="171" fontId="7" fillId="0" borderId="0" xfId="140" applyNumberFormat="1" applyProtection="1">
      <protection locked="0"/>
    </xf>
    <xf numFmtId="167" fontId="7" fillId="0" borderId="0" xfId="140" applyNumberFormat="1" applyProtection="1">
      <protection locked="0"/>
    </xf>
    <xf numFmtId="166" fontId="7" fillId="0" borderId="0" xfId="34" applyNumberFormat="1" applyFont="1" applyProtection="1">
      <protection locked="0"/>
    </xf>
    <xf numFmtId="43" fontId="7" fillId="0" borderId="0" xfId="140" applyNumberFormat="1" applyProtection="1">
      <protection locked="0"/>
    </xf>
    <xf numFmtId="0" fontId="7" fillId="0" borderId="0" xfId="0" applyFont="1" applyAlignment="1" applyProtection="1">
      <alignment vertical="center"/>
      <protection locked="0"/>
    </xf>
    <xf numFmtId="0" fontId="7" fillId="0" borderId="0" xfId="122" applyProtection="1">
      <protection locked="0"/>
    </xf>
    <xf numFmtId="0" fontId="40" fillId="0" borderId="0" xfId="122" applyFont="1" applyProtection="1">
      <protection locked="0"/>
    </xf>
    <xf numFmtId="0" fontId="61" fillId="0" borderId="0" xfId="122" applyFont="1" applyProtection="1">
      <protection locked="0"/>
    </xf>
    <xf numFmtId="0" fontId="61" fillId="0" borderId="0" xfId="122" applyFont="1" applyAlignment="1" applyProtection="1">
      <alignment horizontal="left"/>
      <protection locked="0"/>
    </xf>
    <xf numFmtId="0" fontId="40" fillId="0" borderId="0" xfId="122" applyFont="1" applyAlignment="1" applyProtection="1">
      <alignment horizontal="center" vertical="center" wrapText="1"/>
      <protection locked="0"/>
    </xf>
    <xf numFmtId="0" fontId="40" fillId="0" borderId="0" xfId="122"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3"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93"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83" xfId="78" applyFont="1" applyFill="1" applyBorder="1" applyAlignment="1">
      <alignment horizontal="left"/>
    </xf>
    <xf numFmtId="0" fontId="9" fillId="34" borderId="75" xfId="78" applyFont="1" applyFill="1" applyBorder="1" applyAlignment="1">
      <alignment wrapText="1"/>
    </xf>
    <xf numFmtId="3" fontId="9" fillId="34" borderId="76" xfId="78" applyNumberFormat="1" applyFont="1" applyFill="1" applyBorder="1" applyAlignment="1">
      <alignment horizontal="centerContinuous" vertical="center" wrapText="1"/>
    </xf>
    <xf numFmtId="3" fontId="9" fillId="34" borderId="103" xfId="78" applyNumberFormat="1" applyFont="1" applyFill="1" applyBorder="1" applyAlignment="1">
      <alignment horizontal="centerContinuous" vertical="center" wrapText="1"/>
    </xf>
    <xf numFmtId="42" fontId="9" fillId="34" borderId="103" xfId="78" applyNumberFormat="1" applyFont="1" applyFill="1" applyBorder="1" applyAlignment="1">
      <alignment horizontal="centerContinuous" vertical="center" wrapText="1"/>
    </xf>
    <xf numFmtId="42" fontId="9" fillId="34" borderId="76" xfId="78" applyNumberFormat="1" applyFont="1" applyFill="1" applyBorder="1" applyAlignment="1">
      <alignment horizontal="centerContinuous" vertical="center" wrapText="1"/>
    </xf>
    <xf numFmtId="4" fontId="9" fillId="34" borderId="103" xfId="78" applyNumberFormat="1" applyFont="1" applyFill="1" applyBorder="1" applyAlignment="1">
      <alignment horizontal="centerContinuous" vertical="center" wrapText="1"/>
    </xf>
    <xf numFmtId="4" fontId="9" fillId="34" borderId="76" xfId="78" applyNumberFormat="1" applyFont="1" applyFill="1" applyBorder="1" applyAlignment="1">
      <alignment horizontal="centerContinuous" vertical="center" wrapText="1"/>
    </xf>
    <xf numFmtId="44" fontId="9" fillId="34" borderId="103" xfId="78" applyNumberFormat="1" applyFont="1" applyFill="1" applyBorder="1" applyAlignment="1">
      <alignment horizontal="centerContinuous" vertical="center" wrapText="1"/>
    </xf>
    <xf numFmtId="44" fontId="9" fillId="34" borderId="101" xfId="78" applyNumberFormat="1" applyFont="1" applyFill="1" applyBorder="1" applyAlignment="1">
      <alignment horizontal="centerContinuous" vertical="center" wrapText="1"/>
    </xf>
    <xf numFmtId="44" fontId="9" fillId="34" borderId="77" xfId="78" applyNumberFormat="1" applyFont="1" applyFill="1" applyBorder="1" applyAlignment="1">
      <alignment horizontal="centerContinuous" vertical="center"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34" borderId="24" xfId="40" applyFont="1" applyFill="1" applyBorder="1" applyProtection="1"/>
    <xf numFmtId="0" fontId="7" fillId="0" borderId="0" xfId="0" applyFont="1" applyAlignment="1" applyProtection="1">
      <alignment wrapText="1"/>
      <protection locked="0"/>
    </xf>
    <xf numFmtId="44" fontId="7" fillId="0" borderId="88" xfId="0" applyNumberFormat="1" applyFont="1" applyBorder="1"/>
    <xf numFmtId="44" fontId="7" fillId="0" borderId="98"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8" xfId="0" applyNumberFormat="1" applyFont="1" applyBorder="1"/>
    <xf numFmtId="167" fontId="7" fillId="0" borderId="98"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90"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6"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3" applyFont="1" applyFill="1" applyBorder="1" applyAlignment="1">
      <alignment horizontal="centerContinuous" vertical="center"/>
    </xf>
    <xf numFmtId="0" fontId="9" fillId="37" borderId="4" xfId="83" applyFont="1" applyFill="1" applyBorder="1" applyAlignment="1">
      <alignment horizontal="centerContinuous" vertical="center"/>
    </xf>
    <xf numFmtId="0" fontId="9" fillId="37" borderId="19" xfId="83" applyFont="1" applyFill="1" applyBorder="1" applyAlignment="1">
      <alignment horizontal="centerContinuous" vertical="center"/>
    </xf>
    <xf numFmtId="0" fontId="9" fillId="0" borderId="14" xfId="83" applyFont="1" applyBorder="1" applyAlignment="1">
      <alignment horizontal="center" vertical="center"/>
    </xf>
    <xf numFmtId="14" fontId="9" fillId="37" borderId="24" xfId="83" applyNumberFormat="1" applyFont="1" applyFill="1" applyBorder="1" applyAlignment="1">
      <alignment horizontal="centerContinuous" vertical="center"/>
    </xf>
    <xf numFmtId="0" fontId="75" fillId="0" borderId="0" xfId="83" applyFont="1" applyAlignment="1">
      <alignment vertical="center"/>
    </xf>
    <xf numFmtId="0" fontId="75" fillId="0" borderId="0" xfId="83" applyFont="1" applyAlignment="1" applyProtection="1">
      <alignment vertical="center"/>
      <protection locked="0"/>
    </xf>
    <xf numFmtId="0" fontId="9" fillId="0" borderId="12" xfId="83" applyFont="1" applyBorder="1" applyAlignment="1">
      <alignment horizontal="left" vertical="center" wrapText="1"/>
    </xf>
    <xf numFmtId="0" fontId="9" fillId="0" borderId="24" xfId="83" applyFont="1" applyBorder="1" applyAlignment="1">
      <alignment horizontal="centerContinuous" vertical="center"/>
    </xf>
    <xf numFmtId="0" fontId="9" fillId="0" borderId="4" xfId="83" applyFont="1" applyBorder="1" applyAlignment="1">
      <alignment horizontal="centerContinuous" vertical="center"/>
    </xf>
    <xf numFmtId="0" fontId="9" fillId="0" borderId="19" xfId="83" applyFont="1" applyBorder="1" applyAlignment="1">
      <alignment horizontal="centerContinuous" vertical="center"/>
    </xf>
    <xf numFmtId="0" fontId="9" fillId="0" borderId="67" xfId="83" applyFont="1" applyBorder="1" applyAlignment="1">
      <alignment horizontal="centerContinuous" vertical="center"/>
    </xf>
    <xf numFmtId="0" fontId="9" fillId="0" borderId="66" xfId="83" applyFont="1" applyBorder="1" applyAlignment="1">
      <alignment horizontal="centerContinuous" vertical="center"/>
    </xf>
    <xf numFmtId="0" fontId="37" fillId="0" borderId="12" xfId="0" applyFont="1" applyBorder="1" applyAlignment="1">
      <alignment wrapText="1"/>
    </xf>
    <xf numFmtId="44" fontId="7" fillId="34" borderId="24" xfId="40" applyFont="1" applyFill="1" applyBorder="1"/>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6" xfId="0" applyNumberFormat="1" applyFont="1" applyBorder="1" applyAlignment="1">
      <alignment horizontal="fill"/>
    </xf>
    <xf numFmtId="10" fontId="7" fillId="34" borderId="12" xfId="90" applyNumberFormat="1" applyFont="1" applyFill="1" applyBorder="1"/>
    <xf numFmtId="164" fontId="7" fillId="0" borderId="0" xfId="0" applyNumberFormat="1" applyFont="1" applyAlignment="1" applyProtection="1">
      <alignment horizontal="center"/>
      <protection locked="0"/>
    </xf>
    <xf numFmtId="0" fontId="9" fillId="0" borderId="14" xfId="83" applyFont="1" applyBorder="1" applyAlignment="1" applyProtection="1">
      <alignment horizontal="center" vertical="center"/>
      <protection locked="0"/>
    </xf>
    <xf numFmtId="0" fontId="76" fillId="0" borderId="0" xfId="0" applyFont="1"/>
    <xf numFmtId="0" fontId="31" fillId="0" borderId="0" xfId="139" applyFont="1" applyAlignment="1" applyProtection="1">
      <alignment horizontal="left" vertical="top"/>
    </xf>
    <xf numFmtId="0" fontId="9" fillId="0" borderId="0" xfId="139" applyFont="1" applyAlignment="1" applyProtection="1"/>
    <xf numFmtId="38" fontId="7" fillId="0" borderId="0" xfId="141" applyNumberFormat="1" applyFont="1"/>
    <xf numFmtId="38" fontId="77" fillId="0" borderId="0" xfId="141" applyNumberFormat="1" applyFont="1"/>
    <xf numFmtId="0" fontId="7" fillId="0" borderId="0" xfId="139" applyAlignment="1" applyProtection="1"/>
    <xf numFmtId="0" fontId="7" fillId="0" borderId="0" xfId="139" applyAlignment="1" applyProtection="1">
      <protection locked="0"/>
    </xf>
    <xf numFmtId="14" fontId="31" fillId="38" borderId="0" xfId="139" applyNumberFormat="1" applyFont="1" applyFill="1" applyAlignment="1" applyProtection="1"/>
    <xf numFmtId="0" fontId="7" fillId="0" borderId="91" xfId="139" applyBorder="1" applyAlignment="1" applyProtection="1">
      <alignment horizontal="center"/>
    </xf>
    <xf numFmtId="0" fontId="7" fillId="0" borderId="41" xfId="139" applyBorder="1" applyAlignment="1" applyProtection="1">
      <alignment horizontal="center"/>
    </xf>
    <xf numFmtId="0" fontId="7" fillId="0" borderId="43" xfId="139" applyBorder="1" applyAlignment="1" applyProtection="1">
      <alignment horizontal="center"/>
    </xf>
    <xf numFmtId="44" fontId="38" fillId="0" borderId="0" xfId="133" applyNumberFormat="1" applyFont="1" applyBorder="1" applyProtection="1"/>
    <xf numFmtId="0" fontId="31" fillId="0" borderId="0" xfId="83" applyFont="1" applyAlignment="1">
      <alignment vertical="center"/>
    </xf>
    <xf numFmtId="44" fontId="7" fillId="37" borderId="25" xfId="139" applyNumberFormat="1" applyFill="1" applyBorder="1" applyAlignment="1" applyProtection="1"/>
    <xf numFmtId="44" fontId="40" fillId="37" borderId="44" xfId="133" applyNumberFormat="1" applyFont="1" applyFill="1" applyBorder="1" applyProtection="1"/>
    <xf numFmtId="0" fontId="7" fillId="36" borderId="69" xfId="139" applyFill="1" applyBorder="1" applyAlignment="1" applyProtection="1">
      <protection locked="0"/>
    </xf>
    <xf numFmtId="0" fontId="7" fillId="36" borderId="19" xfId="139" applyFill="1" applyBorder="1" applyAlignment="1" applyProtection="1">
      <alignment horizontal="center"/>
      <protection locked="0"/>
    </xf>
    <xf numFmtId="0" fontId="7" fillId="36" borderId="19" xfId="139" applyFill="1" applyBorder="1" applyAlignment="1" applyProtection="1">
      <protection locked="0"/>
    </xf>
    <xf numFmtId="0" fontId="7" fillId="36" borderId="12" xfId="139" applyFill="1" applyBorder="1" applyAlignment="1" applyProtection="1">
      <protection locked="0"/>
    </xf>
    <xf numFmtId="0" fontId="7" fillId="36" borderId="104" xfId="139" applyFill="1" applyBorder="1" applyAlignment="1" applyProtection="1">
      <alignment horizontal="center"/>
      <protection locked="0"/>
    </xf>
    <xf numFmtId="0" fontId="7" fillId="36" borderId="104" xfId="139" applyFill="1" applyBorder="1" applyAlignment="1" applyProtection="1">
      <protection locked="0"/>
    </xf>
    <xf numFmtId="0" fontId="7" fillId="36" borderId="44" xfId="139" applyFill="1" applyBorder="1" applyAlignment="1" applyProtection="1">
      <protection locked="0"/>
    </xf>
    <xf numFmtId="44" fontId="7" fillId="36" borderId="69" xfId="133" applyNumberFormat="1" applyFont="1" applyFill="1" applyBorder="1" applyProtection="1">
      <protection locked="0"/>
    </xf>
    <xf numFmtId="44" fontId="7" fillId="36" borderId="12" xfId="133" applyNumberFormat="1" applyFont="1" applyFill="1" applyBorder="1" applyProtection="1">
      <protection locked="0"/>
    </xf>
    <xf numFmtId="44" fontId="7" fillId="36" borderId="44" xfId="133" applyNumberFormat="1" applyFont="1" applyFill="1" applyBorder="1" applyProtection="1">
      <protection locked="0"/>
    </xf>
    <xf numFmtId="44" fontId="7" fillId="37" borderId="105" xfId="139" applyNumberFormat="1" applyFill="1" applyBorder="1" applyAlignment="1" applyProtection="1"/>
    <xf numFmtId="0" fontId="9" fillId="34" borderId="105" xfId="139" applyFont="1" applyFill="1" applyBorder="1" applyAlignment="1" applyProtection="1"/>
    <xf numFmtId="0" fontId="31" fillId="0" borderId="0" xfId="139" applyFont="1" applyAlignment="1" applyProtection="1"/>
    <xf numFmtId="38" fontId="0" fillId="0" borderId="0" xfId="141" applyNumberFormat="1" applyFont="1"/>
    <xf numFmtId="38" fontId="0" fillId="0" borderId="0" xfId="141" applyNumberFormat="1" applyFont="1" applyProtection="1">
      <protection locked="0"/>
    </xf>
    <xf numFmtId="0" fontId="7" fillId="0" borderId="0" xfId="139" applyProtection="1">
      <alignment horizontal="centerContinuous" vertical="top"/>
      <protection locked="0"/>
    </xf>
    <xf numFmtId="0" fontId="7" fillId="38" borderId="0" xfId="139" applyFill="1" applyProtection="1">
      <alignment horizontal="centerContinuous" vertical="top"/>
      <protection locked="0"/>
    </xf>
    <xf numFmtId="0" fontId="7" fillId="32" borderId="0" xfId="139" applyFill="1" applyProtection="1">
      <alignment horizontal="centerContinuous" vertical="top"/>
      <protection locked="0"/>
    </xf>
    <xf numFmtId="0" fontId="7" fillId="38" borderId="0" xfId="141" applyFont="1" applyFill="1" applyAlignment="1" applyProtection="1">
      <alignment vertical="center"/>
      <protection locked="0"/>
    </xf>
    <xf numFmtId="0" fontId="9" fillId="0" borderId="0" xfId="141" applyFont="1" applyAlignment="1" applyProtection="1">
      <alignment horizontal="center" vertical="center" wrapText="1"/>
      <protection locked="0"/>
    </xf>
    <xf numFmtId="167" fontId="7" fillId="53" borderId="19" xfId="133" applyNumberFormat="1" applyFont="1" applyFill="1" applyBorder="1" applyAlignment="1" applyProtection="1">
      <alignment vertical="center"/>
      <protection locked="0"/>
    </xf>
    <xf numFmtId="167" fontId="7" fillId="53" borderId="12" xfId="133" applyNumberFormat="1" applyFont="1" applyFill="1" applyBorder="1" applyAlignment="1" applyProtection="1">
      <alignment vertical="center"/>
      <protection locked="0"/>
    </xf>
    <xf numFmtId="167" fontId="7" fillId="53" borderId="24" xfId="133" applyNumberFormat="1" applyFont="1" applyFill="1" applyBorder="1" applyAlignment="1" applyProtection="1">
      <alignment vertical="center"/>
      <protection locked="0"/>
    </xf>
    <xf numFmtId="167" fontId="7" fillId="54" borderId="42" xfId="133" applyNumberFormat="1" applyFont="1" applyFill="1" applyBorder="1" applyAlignment="1" applyProtection="1">
      <alignment vertical="center"/>
    </xf>
    <xf numFmtId="0" fontId="0" fillId="0" borderId="0" xfId="141" applyFont="1" applyProtection="1">
      <protection locked="0"/>
    </xf>
    <xf numFmtId="0" fontId="58" fillId="34" borderId="77" xfId="122" applyFont="1" applyFill="1" applyBorder="1" applyAlignment="1">
      <alignment horizontal="left"/>
    </xf>
    <xf numFmtId="0" fontId="68" fillId="34" borderId="76" xfId="122" applyFont="1" applyFill="1" applyBorder="1" applyAlignment="1">
      <alignment vertical="center"/>
    </xf>
    <xf numFmtId="0" fontId="68" fillId="34" borderId="76" xfId="122" applyFont="1" applyFill="1" applyBorder="1" applyAlignment="1">
      <alignment vertical="center" wrapText="1"/>
    </xf>
    <xf numFmtId="0" fontId="9" fillId="34" borderId="74" xfId="122" applyFont="1" applyFill="1" applyBorder="1" applyAlignment="1">
      <alignment wrapText="1"/>
    </xf>
    <xf numFmtId="0" fontId="9" fillId="34" borderId="74" xfId="122" applyFont="1" applyFill="1" applyBorder="1" applyAlignment="1">
      <alignment horizontal="left" vertical="center" wrapText="1"/>
    </xf>
    <xf numFmtId="167" fontId="7" fillId="36" borderId="12" xfId="133" applyNumberFormat="1" applyFont="1" applyFill="1" applyBorder="1" applyAlignment="1" applyProtection="1">
      <alignment vertical="center"/>
      <protection locked="0"/>
    </xf>
    <xf numFmtId="167" fontId="7" fillId="36" borderId="24" xfId="133" applyNumberFormat="1" applyFont="1" applyFill="1" applyBorder="1" applyAlignment="1" applyProtection="1">
      <alignment vertical="center"/>
      <protection locked="0"/>
    </xf>
    <xf numFmtId="167" fontId="7" fillId="36" borderId="66" xfId="133" applyNumberFormat="1" applyFont="1" applyFill="1" applyBorder="1" applyAlignment="1" applyProtection="1">
      <alignment vertical="center"/>
      <protection locked="0"/>
    </xf>
    <xf numFmtId="167" fontId="7" fillId="36" borderId="19" xfId="133" applyNumberFormat="1" applyFont="1" applyFill="1" applyBorder="1" applyAlignment="1" applyProtection="1">
      <alignment vertical="center"/>
      <protection locked="0"/>
    </xf>
    <xf numFmtId="167" fontId="7" fillId="37" borderId="24" xfId="133" applyNumberFormat="1" applyFont="1" applyFill="1" applyBorder="1" applyAlignment="1" applyProtection="1">
      <alignment vertical="center"/>
    </xf>
    <xf numFmtId="167" fontId="7" fillId="37" borderId="12" xfId="133" applyNumberFormat="1" applyFont="1" applyFill="1" applyBorder="1" applyAlignment="1" applyProtection="1">
      <alignment vertical="center"/>
    </xf>
    <xf numFmtId="167" fontId="7" fillId="37" borderId="42" xfId="133" applyNumberFormat="1" applyFont="1" applyFill="1" applyBorder="1" applyAlignment="1" applyProtection="1">
      <alignment vertical="center"/>
    </xf>
    <xf numFmtId="167" fontId="7" fillId="37" borderId="19" xfId="133" applyNumberFormat="1" applyFont="1" applyFill="1" applyBorder="1" applyAlignment="1" applyProtection="1">
      <alignment vertical="center"/>
    </xf>
    <xf numFmtId="167" fontId="7" fillId="37" borderId="44" xfId="133" applyNumberFormat="1" applyFont="1" applyFill="1" applyBorder="1" applyAlignment="1" applyProtection="1">
      <alignment vertical="center"/>
    </xf>
    <xf numFmtId="167" fontId="7" fillId="37" borderId="45" xfId="133" applyNumberFormat="1" applyFont="1" applyFill="1" applyBorder="1" applyAlignment="1" applyProtection="1">
      <alignment vertical="center"/>
    </xf>
    <xf numFmtId="167" fontId="7" fillId="37" borderId="40" xfId="133" applyNumberFormat="1" applyFont="1" applyFill="1" applyBorder="1" applyAlignment="1" applyProtection="1">
      <alignment vertical="center"/>
    </xf>
    <xf numFmtId="0" fontId="7" fillId="0" borderId="41" xfId="141" applyFont="1" applyBorder="1" applyAlignment="1">
      <alignment horizontal="center" vertical="center"/>
    </xf>
    <xf numFmtId="200" fontId="7" fillId="0" borderId="42" xfId="141" applyNumberFormat="1" applyFont="1" applyBorder="1" applyAlignment="1">
      <alignment horizontal="left" vertical="center" wrapText="1"/>
    </xf>
    <xf numFmtId="0" fontId="7" fillId="0" borderId="91" xfId="141" applyFont="1" applyBorder="1" applyAlignment="1">
      <alignment horizontal="center" vertical="center"/>
    </xf>
    <xf numFmtId="0" fontId="7" fillId="0" borderId="39" xfId="141" applyFont="1" applyBorder="1" applyAlignment="1">
      <alignment horizontal="center" vertical="center"/>
    </xf>
    <xf numFmtId="0" fontId="7" fillId="0" borderId="42" xfId="141" applyFont="1" applyBorder="1" applyAlignment="1">
      <alignment horizontal="left" vertical="center" wrapText="1"/>
    </xf>
    <xf numFmtId="0" fontId="7" fillId="0" borderId="42" xfId="141" applyFont="1" applyBorder="1" applyAlignment="1">
      <alignment vertical="center" wrapText="1"/>
    </xf>
    <xf numFmtId="0" fontId="7" fillId="0" borderId="42" xfId="141" quotePrefix="1" applyFont="1" applyBorder="1" applyAlignment="1">
      <alignment horizontal="left" vertical="center" wrapText="1"/>
    </xf>
    <xf numFmtId="0" fontId="7" fillId="0" borderId="43" xfId="141" applyFont="1" applyBorder="1" applyAlignment="1">
      <alignment horizontal="center" vertical="center"/>
    </xf>
    <xf numFmtId="0" fontId="7" fillId="0" borderId="45" xfId="141" applyFont="1" applyBorder="1" applyAlignment="1">
      <alignment vertical="center" wrapText="1"/>
    </xf>
    <xf numFmtId="0" fontId="9" fillId="34" borderId="75" xfId="141" applyFont="1" applyFill="1" applyBorder="1" applyAlignment="1">
      <alignment horizontal="center" vertical="center" wrapText="1"/>
    </xf>
    <xf numFmtId="199" fontId="9" fillId="34" borderId="76" xfId="141" applyNumberFormat="1" applyFont="1" applyFill="1" applyBorder="1" applyAlignment="1">
      <alignment horizontal="center" vertical="center" wrapText="1"/>
    </xf>
    <xf numFmtId="199" fontId="9" fillId="34" borderId="68" xfId="141" applyNumberFormat="1" applyFont="1" applyFill="1" applyBorder="1" applyAlignment="1">
      <alignment horizontal="center" vertical="center" wrapText="1"/>
    </xf>
    <xf numFmtId="199" fontId="9" fillId="34" borderId="103" xfId="141" applyNumberFormat="1" applyFont="1" applyFill="1" applyBorder="1" applyAlignment="1">
      <alignment horizontal="center" vertical="center" wrapText="1"/>
    </xf>
    <xf numFmtId="0" fontId="9" fillId="34" borderId="74" xfId="141" applyFont="1" applyFill="1" applyBorder="1" applyAlignment="1">
      <alignment horizontal="center" vertical="center" wrapText="1"/>
    </xf>
    <xf numFmtId="167" fontId="55" fillId="55" borderId="12" xfId="133" applyNumberFormat="1" applyFont="1" applyFill="1" applyBorder="1" applyAlignment="1" applyProtection="1">
      <alignment vertical="center"/>
      <protection locked="0"/>
    </xf>
    <xf numFmtId="167" fontId="55" fillId="55" borderId="24" xfId="133" applyNumberFormat="1" applyFont="1" applyFill="1" applyBorder="1" applyAlignment="1" applyProtection="1">
      <alignment vertical="center"/>
      <protection locked="0"/>
    </xf>
    <xf numFmtId="167" fontId="55" fillId="55" borderId="19" xfId="133" applyNumberFormat="1" applyFont="1" applyFill="1" applyBorder="1" applyAlignment="1" applyProtection="1">
      <alignment vertical="center"/>
      <protection locked="0"/>
    </xf>
    <xf numFmtId="167" fontId="55" fillId="55" borderId="12" xfId="133" quotePrefix="1" applyNumberFormat="1" applyFont="1" applyFill="1" applyBorder="1" applyAlignment="1" applyProtection="1">
      <alignment horizontal="left" vertical="center"/>
      <protection locked="0"/>
    </xf>
    <xf numFmtId="0" fontId="9" fillId="0" borderId="75" xfId="141" applyFont="1" applyBorder="1" applyAlignment="1">
      <alignment horizontal="center" vertical="center" wrapText="1"/>
    </xf>
    <xf numFmtId="0" fontId="9" fillId="0" borderId="74" xfId="141" applyFont="1" applyBorder="1" applyAlignment="1">
      <alignment horizontal="left" vertical="center" wrapText="1"/>
    </xf>
    <xf numFmtId="0" fontId="107" fillId="56" borderId="77" xfId="141" applyFont="1" applyFill="1" applyBorder="1" applyAlignment="1">
      <alignment horizontal="left" vertical="center"/>
    </xf>
    <xf numFmtId="0" fontId="108" fillId="56" borderId="76" xfId="141" applyFont="1" applyFill="1" applyBorder="1" applyAlignment="1">
      <alignment horizontal="centerContinuous" vertical="center"/>
    </xf>
    <xf numFmtId="0" fontId="109" fillId="56" borderId="76" xfId="141" quotePrefix="1" applyFont="1" applyFill="1" applyBorder="1" applyAlignment="1">
      <alignment horizontal="centerContinuous" vertical="center"/>
    </xf>
    <xf numFmtId="0" fontId="108" fillId="56" borderId="101" xfId="141" applyFont="1" applyFill="1" applyBorder="1" applyAlignment="1">
      <alignment vertical="center"/>
    </xf>
    <xf numFmtId="167" fontId="7" fillId="36" borderId="42" xfId="133" applyNumberFormat="1" applyFont="1" applyFill="1" applyBorder="1" applyAlignment="1" applyProtection="1">
      <alignment vertical="center"/>
      <protection locked="0"/>
    </xf>
    <xf numFmtId="167" fontId="7" fillId="37" borderId="104" xfId="133" applyNumberFormat="1" applyFont="1" applyFill="1" applyBorder="1" applyAlignment="1" applyProtection="1">
      <alignment vertical="center"/>
    </xf>
    <xf numFmtId="167" fontId="55" fillId="36" borderId="33" xfId="133" applyNumberFormat="1" applyFont="1" applyFill="1" applyBorder="1" applyAlignment="1" applyProtection="1">
      <alignment vertical="center"/>
      <protection locked="0"/>
    </xf>
    <xf numFmtId="167" fontId="55" fillId="36" borderId="19" xfId="133" applyNumberFormat="1" applyFont="1" applyFill="1" applyBorder="1" applyAlignment="1" applyProtection="1">
      <alignment vertical="center"/>
      <protection locked="0"/>
    </xf>
    <xf numFmtId="167" fontId="55" fillId="36" borderId="51" xfId="133" applyNumberFormat="1" applyFont="1" applyFill="1" applyBorder="1" applyAlignment="1" applyProtection="1">
      <alignment vertical="center"/>
      <protection locked="0"/>
    </xf>
    <xf numFmtId="167" fontId="7" fillId="57" borderId="24" xfId="133" applyNumberFormat="1" applyFont="1" applyFill="1" applyBorder="1" applyAlignment="1" applyProtection="1">
      <alignment vertical="center"/>
      <protection locked="0"/>
    </xf>
    <xf numFmtId="167" fontId="55" fillId="36" borderId="118" xfId="133" applyNumberFormat="1" applyFont="1" applyFill="1" applyBorder="1" applyAlignment="1" applyProtection="1">
      <alignment vertical="center"/>
      <protection locked="0"/>
    </xf>
    <xf numFmtId="167" fontId="7" fillId="36" borderId="116" xfId="133" applyNumberFormat="1" applyFont="1" applyFill="1" applyBorder="1" applyAlignment="1" applyProtection="1">
      <alignment vertical="center"/>
      <protection locked="0"/>
    </xf>
    <xf numFmtId="167" fontId="7" fillId="36" borderId="40" xfId="133" applyNumberFormat="1" applyFont="1" applyFill="1" applyBorder="1" applyAlignment="1" applyProtection="1">
      <alignment vertical="center"/>
      <protection locked="0"/>
    </xf>
    <xf numFmtId="167" fontId="55" fillId="36" borderId="41" xfId="133" applyNumberFormat="1" applyFont="1" applyFill="1" applyBorder="1" applyAlignment="1" applyProtection="1">
      <alignment vertical="center"/>
      <protection locked="0"/>
    </xf>
    <xf numFmtId="0" fontId="7" fillId="0" borderId="0" xfId="141" applyFont="1" applyAlignment="1" applyProtection="1">
      <alignment vertical="center"/>
      <protection locked="0"/>
    </xf>
    <xf numFmtId="167" fontId="55" fillId="55" borderId="51" xfId="133" applyNumberFormat="1" applyFont="1" applyFill="1" applyBorder="1" applyAlignment="1" applyProtection="1">
      <alignment vertical="center"/>
      <protection locked="0"/>
    </xf>
    <xf numFmtId="200" fontId="7" fillId="37" borderId="42" xfId="141" applyNumberFormat="1" applyFont="1" applyFill="1" applyBorder="1" applyAlignment="1">
      <alignment horizontal="left" vertical="center" wrapText="1"/>
    </xf>
    <xf numFmtId="167" fontId="7" fillId="37" borderId="114" xfId="133" applyNumberFormat="1" applyFont="1" applyFill="1" applyBorder="1" applyAlignment="1" applyProtection="1">
      <alignment vertical="center"/>
    </xf>
    <xf numFmtId="49" fontId="9" fillId="37" borderId="24" xfId="83" applyNumberFormat="1" applyFont="1" applyFill="1" applyBorder="1" applyAlignment="1">
      <alignment horizontal="centerContinuous" vertical="center"/>
    </xf>
    <xf numFmtId="49" fontId="9" fillId="37" borderId="4" xfId="83" applyNumberFormat="1" applyFont="1" applyFill="1" applyBorder="1" applyAlignment="1">
      <alignment horizontal="centerContinuous" vertical="center"/>
    </xf>
    <xf numFmtId="49" fontId="9" fillId="37" borderId="19" xfId="83" applyNumberFormat="1" applyFont="1" applyFill="1" applyBorder="1" applyAlignment="1">
      <alignment horizontal="centerContinuous" vertical="center"/>
    </xf>
    <xf numFmtId="0" fontId="58" fillId="34" borderId="65" xfId="0" applyFont="1" applyFill="1" applyBorder="1" applyAlignment="1">
      <alignment vertical="center" wrapText="1"/>
    </xf>
    <xf numFmtId="167" fontId="7" fillId="36" borderId="51" xfId="133" applyNumberFormat="1" applyFont="1" applyFill="1" applyBorder="1" applyAlignment="1" applyProtection="1">
      <alignment vertical="center"/>
      <protection locked="0"/>
    </xf>
    <xf numFmtId="0" fontId="109" fillId="56" borderId="117" xfId="141" quotePrefix="1" applyFont="1" applyFill="1" applyBorder="1" applyAlignment="1">
      <alignment horizontal="centerContinuous" vertical="center"/>
    </xf>
    <xf numFmtId="199" fontId="9" fillId="34" borderId="117" xfId="141" applyNumberFormat="1" applyFont="1" applyFill="1" applyBorder="1" applyAlignment="1">
      <alignment horizontal="center" vertical="center" wrapText="1"/>
    </xf>
    <xf numFmtId="167" fontId="55" fillId="55" borderId="94" xfId="133" applyNumberFormat="1" applyFont="1" applyFill="1" applyBorder="1" applyAlignment="1" applyProtection="1">
      <alignment vertical="center"/>
      <protection locked="0"/>
    </xf>
    <xf numFmtId="167" fontId="7" fillId="57" borderId="19" xfId="133" applyNumberFormat="1" applyFont="1" applyFill="1" applyBorder="1" applyAlignment="1" applyProtection="1">
      <alignment vertical="center"/>
      <protection locked="0"/>
    </xf>
    <xf numFmtId="167" fontId="7" fillId="36" borderId="67" xfId="133" applyNumberFormat="1" applyFont="1" applyFill="1" applyBorder="1" applyAlignment="1" applyProtection="1">
      <alignment vertical="center"/>
      <protection locked="0"/>
    </xf>
    <xf numFmtId="167" fontId="7" fillId="57" borderId="67" xfId="133" applyNumberFormat="1" applyFont="1" applyFill="1" applyBorder="1" applyAlignment="1" applyProtection="1">
      <alignment vertical="center"/>
      <protection locked="0"/>
    </xf>
    <xf numFmtId="164" fontId="7" fillId="0" borderId="91" xfId="0" applyNumberFormat="1" applyFont="1" applyBorder="1" applyAlignment="1">
      <alignment horizontal="center" vertical="center"/>
    </xf>
    <xf numFmtId="164" fontId="7" fillId="0" borderId="41" xfId="0" applyNumberFormat="1" applyFont="1" applyBorder="1" applyAlignment="1">
      <alignment horizontal="center" vertical="center"/>
    </xf>
    <xf numFmtId="0" fontId="31" fillId="0" borderId="0" xfId="652" applyFont="1" applyAlignment="1" applyProtection="1"/>
    <xf numFmtId="0" fontId="7" fillId="38" borderId="0" xfId="652" applyFont="1" applyFill="1" applyAlignment="1" applyProtection="1">
      <alignment horizontal="center" vertical="center"/>
    </xf>
    <xf numFmtId="0" fontId="7" fillId="38" borderId="0" xfId="652" applyFont="1" applyFill="1" applyAlignment="1" applyProtection="1">
      <alignment wrapText="1"/>
    </xf>
    <xf numFmtId="0" fontId="7" fillId="0" borderId="0" xfId="652" applyFont="1" applyProtection="1">
      <alignment horizontal="centerContinuous" vertical="top"/>
      <protection locked="0"/>
    </xf>
    <xf numFmtId="0" fontId="7" fillId="38" borderId="0" xfId="652" applyFont="1" applyFill="1" applyProtection="1">
      <alignment horizontal="centerContinuous" vertical="top"/>
    </xf>
    <xf numFmtId="0" fontId="7" fillId="38" borderId="12" xfId="652" applyFont="1" applyFill="1" applyBorder="1" applyAlignment="1" applyProtection="1">
      <alignment horizontal="center" vertical="top"/>
    </xf>
    <xf numFmtId="0" fontId="7" fillId="38" borderId="12" xfId="652" applyFont="1" applyFill="1" applyBorder="1" applyAlignment="1" applyProtection="1">
      <alignment horizontal="left" vertical="top"/>
    </xf>
    <xf numFmtId="0" fontId="7" fillId="0" borderId="12" xfId="652" applyFont="1" applyBorder="1" applyAlignment="1" applyProtection="1">
      <alignment horizontal="left" vertical="top" wrapText="1"/>
    </xf>
    <xf numFmtId="0" fontId="7" fillId="38" borderId="0" xfId="652" applyFont="1" applyFill="1" applyProtection="1">
      <alignment horizontal="centerContinuous" vertical="top"/>
      <protection locked="0"/>
    </xf>
    <xf numFmtId="0" fontId="7" fillId="38" borderId="0" xfId="652" applyFont="1" applyFill="1" applyAlignment="1" applyProtection="1">
      <alignment wrapText="1"/>
      <protection locked="0"/>
    </xf>
    <xf numFmtId="0" fontId="9" fillId="38" borderId="0" xfId="652" applyFont="1" applyFill="1" applyProtection="1">
      <alignment horizontal="centerContinuous" vertical="top"/>
      <protection locked="0"/>
    </xf>
    <xf numFmtId="0" fontId="9" fillId="0" borderId="0" xfId="652" applyFont="1" applyProtection="1">
      <alignment horizontal="centerContinuous" vertical="top"/>
      <protection locked="0"/>
    </xf>
    <xf numFmtId="0" fontId="111" fillId="0" borderId="0" xfId="0" applyFont="1" applyAlignment="1">
      <alignment vertical="center"/>
    </xf>
    <xf numFmtId="0" fontId="117" fillId="0" borderId="105" xfId="0" applyFont="1" applyBorder="1" applyAlignment="1">
      <alignment vertical="center" wrapText="1"/>
    </xf>
    <xf numFmtId="0" fontId="117" fillId="0" borderId="101" xfId="0" applyFont="1" applyBorder="1" applyAlignment="1">
      <alignment vertical="center" wrapText="1"/>
    </xf>
    <xf numFmtId="0" fontId="71" fillId="0" borderId="99" xfId="0" applyFont="1" applyBorder="1" applyAlignment="1">
      <alignment horizontal="left" vertical="center" wrapText="1" indent="2"/>
    </xf>
    <xf numFmtId="0" fontId="73" fillId="0" borderId="88" xfId="0" applyFont="1" applyBorder="1" applyAlignment="1">
      <alignment horizontal="center" vertical="center" wrapText="1"/>
    </xf>
    <xf numFmtId="0" fontId="0" fillId="0" borderId="88" xfId="0" applyBorder="1" applyAlignment="1">
      <alignment vertical="top" wrapText="1"/>
    </xf>
    <xf numFmtId="0" fontId="71" fillId="0" borderId="121" xfId="0" applyFont="1" applyBorder="1" applyAlignment="1">
      <alignment horizontal="left" vertical="center" wrapText="1" indent="2"/>
    </xf>
    <xf numFmtId="0" fontId="73" fillId="0" borderId="121" xfId="0" applyFont="1" applyBorder="1" applyAlignment="1">
      <alignment vertical="center" wrapText="1"/>
    </xf>
    <xf numFmtId="0" fontId="71" fillId="0" borderId="70" xfId="0" applyFont="1" applyBorder="1" applyAlignment="1">
      <alignment horizontal="left" vertical="center" wrapText="1" indent="2"/>
    </xf>
    <xf numFmtId="0" fontId="73" fillId="0" borderId="121" xfId="0" applyFont="1" applyBorder="1" applyAlignment="1">
      <alignment horizontal="left" vertical="center" wrapText="1" indent="2"/>
    </xf>
    <xf numFmtId="0" fontId="9" fillId="34" borderId="77" xfId="0" applyFont="1" applyFill="1" applyBorder="1" applyAlignment="1">
      <alignment horizontal="center" wrapText="1"/>
    </xf>
    <xf numFmtId="0" fontId="9" fillId="34" borderId="103" xfId="0" applyFont="1" applyFill="1" applyBorder="1" applyAlignment="1">
      <alignment horizontal="center" wrapText="1"/>
    </xf>
    <xf numFmtId="0" fontId="9" fillId="34" borderId="74" xfId="0" applyFont="1" applyFill="1" applyBorder="1" applyAlignment="1">
      <alignment horizontal="center" wrapText="1"/>
    </xf>
    <xf numFmtId="0" fontId="67" fillId="0" borderId="0" xfId="0" applyFont="1" applyAlignment="1">
      <alignment vertical="center"/>
    </xf>
    <xf numFmtId="0" fontId="7" fillId="0" borderId="88" xfId="0" applyFont="1" applyBorder="1" applyAlignment="1">
      <alignment vertical="center" wrapText="1"/>
    </xf>
    <xf numFmtId="0" fontId="9" fillId="0" borderId="121" xfId="0" applyFont="1" applyBorder="1" applyAlignment="1">
      <alignment vertical="center" wrapText="1"/>
    </xf>
    <xf numFmtId="0" fontId="7" fillId="0" borderId="105" xfId="140" applyBorder="1" applyAlignment="1">
      <alignment horizontal="left" vertical="top" wrapText="1"/>
    </xf>
    <xf numFmtId="0" fontId="7" fillId="0" borderId="105" xfId="0" applyFont="1" applyBorder="1" applyAlignment="1">
      <alignment vertical="center" wrapText="1"/>
    </xf>
    <xf numFmtId="0" fontId="112" fillId="0" borderId="105" xfId="0" applyFont="1" applyBorder="1" applyAlignment="1">
      <alignment vertical="center"/>
    </xf>
    <xf numFmtId="0" fontId="112" fillId="0" borderId="101" xfId="0" applyFont="1" applyBorder="1" applyAlignment="1">
      <alignment vertical="center" wrapText="1"/>
    </xf>
    <xf numFmtId="0" fontId="112" fillId="0" borderId="101" xfId="0" applyFont="1" applyBorder="1" applyAlignment="1">
      <alignment vertical="center"/>
    </xf>
    <xf numFmtId="0" fontId="67" fillId="0" borderId="121" xfId="0" applyFont="1" applyBorder="1" applyAlignment="1">
      <alignment vertical="center"/>
    </xf>
    <xf numFmtId="0" fontId="67" fillId="0" borderId="121" xfId="0" applyFont="1" applyBorder="1" applyAlignment="1">
      <alignment horizontal="left" vertical="center"/>
    </xf>
    <xf numFmtId="0" fontId="9" fillId="43" borderId="12" xfId="0" applyFont="1" applyFill="1" applyBorder="1" applyAlignment="1">
      <alignment horizontal="centerContinuous" vertical="top"/>
    </xf>
    <xf numFmtId="0" fontId="73" fillId="0" borderId="25" xfId="0" applyFont="1" applyBorder="1" applyAlignment="1">
      <alignment horizontal="left" vertical="center"/>
    </xf>
    <xf numFmtId="0" fontId="73" fillId="0" borderId="16" xfId="0" applyFont="1" applyBorder="1" applyAlignment="1">
      <alignment horizontal="left" vertical="top" indent="2"/>
    </xf>
    <xf numFmtId="0" fontId="59" fillId="0" borderId="16" xfId="0" applyFont="1" applyBorder="1" applyAlignment="1">
      <alignment horizontal="left" vertical="top" indent="2"/>
    </xf>
    <xf numFmtId="0" fontId="73" fillId="0" borderId="21" xfId="0" applyFont="1" applyBorder="1" applyAlignment="1">
      <alignment horizontal="left" vertical="top" indent="2"/>
    </xf>
    <xf numFmtId="0" fontId="73" fillId="0" borderId="0" xfId="0" applyFont="1" applyAlignment="1">
      <alignment horizontal="left" vertical="top" indent="2"/>
    </xf>
    <xf numFmtId="0" fontId="7" fillId="0" borderId="42" xfId="122" applyBorder="1" applyAlignment="1">
      <alignment horizontal="left" wrapText="1"/>
    </xf>
    <xf numFmtId="0" fontId="117" fillId="0" borderId="101" xfId="0" applyFont="1" applyBorder="1" applyAlignment="1">
      <alignment horizontal="center" vertical="center" wrapText="1"/>
    </xf>
    <xf numFmtId="0" fontId="7" fillId="0" borderId="0" xfId="140" applyAlignment="1">
      <alignment horizontal="center"/>
    </xf>
    <xf numFmtId="0" fontId="9" fillId="34" borderId="94" xfId="0" applyFont="1" applyFill="1" applyBorder="1" applyAlignment="1">
      <alignment horizontal="center" wrapText="1"/>
    </xf>
    <xf numFmtId="0" fontId="73" fillId="0" borderId="70" xfId="0" applyFont="1" applyBorder="1" applyAlignment="1">
      <alignment vertical="center" wrapText="1"/>
    </xf>
    <xf numFmtId="0" fontId="73" fillId="0" borderId="99" xfId="0" applyFont="1" applyBorder="1" applyAlignment="1">
      <alignment vertical="center" wrapText="1"/>
    </xf>
    <xf numFmtId="0" fontId="7" fillId="33" borderId="71" xfId="0" applyFont="1" applyFill="1" applyBorder="1" applyAlignment="1">
      <alignment vertical="center" wrapText="1"/>
    </xf>
    <xf numFmtId="0" fontId="7" fillId="33" borderId="72" xfId="0" applyFont="1" applyFill="1" applyBorder="1" applyAlignment="1">
      <alignment wrapText="1"/>
    </xf>
    <xf numFmtId="0" fontId="7" fillId="33" borderId="72" xfId="0" applyFont="1" applyFill="1" applyBorder="1" applyAlignment="1">
      <alignment horizontal="justify" vertical="center"/>
    </xf>
    <xf numFmtId="0" fontId="0" fillId="33" borderId="72" xfId="0" applyFill="1" applyBorder="1" applyAlignment="1">
      <alignment wrapText="1"/>
    </xf>
    <xf numFmtId="0" fontId="7" fillId="33" borderId="73" xfId="0" applyFont="1" applyFill="1" applyBorder="1" applyAlignment="1">
      <alignment wrapText="1"/>
    </xf>
    <xf numFmtId="167" fontId="7" fillId="37" borderId="12" xfId="40" applyNumberFormat="1" applyFont="1" applyFill="1" applyBorder="1" applyProtection="1"/>
    <xf numFmtId="167" fontId="7" fillId="24" borderId="42" xfId="40" applyNumberFormat="1" applyFont="1" applyFill="1" applyBorder="1" applyProtection="1"/>
    <xf numFmtId="167" fontId="7" fillId="37" borderId="41" xfId="40" applyNumberFormat="1" applyFont="1" applyFill="1" applyBorder="1" applyProtection="1"/>
    <xf numFmtId="167" fontId="7" fillId="24" borderId="24" xfId="40" applyNumberFormat="1" applyFont="1" applyFill="1" applyBorder="1" applyProtection="1"/>
    <xf numFmtId="167" fontId="7" fillId="24" borderId="41"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3"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12" xfId="0" applyFont="1" applyBorder="1" applyAlignment="1">
      <alignment wrapText="1"/>
    </xf>
    <xf numFmtId="0" fontId="7" fillId="0" borderId="21" xfId="0" applyFont="1" applyBorder="1" applyAlignment="1">
      <alignment horizontal="center"/>
    </xf>
    <xf numFmtId="0" fontId="7" fillId="0" borderId="21" xfId="118" applyFont="1" applyBorder="1" applyAlignment="1">
      <alignment horizontal="left"/>
    </xf>
    <xf numFmtId="0" fontId="7" fillId="0" borderId="12" xfId="0" applyFont="1" applyBorder="1" applyAlignment="1">
      <alignment horizontal="center"/>
    </xf>
    <xf numFmtId="0" fontId="7" fillId="0" borderId="12" xfId="118" applyFont="1" applyBorder="1" applyAlignment="1">
      <alignment horizontal="left"/>
    </xf>
    <xf numFmtId="0" fontId="7" fillId="0" borderId="12" xfId="122" applyBorder="1" applyAlignment="1">
      <alignment horizontal="center"/>
    </xf>
    <xf numFmtId="0" fontId="7" fillId="0" borderId="0" xfId="0" applyFont="1" applyAlignment="1">
      <alignment horizontal="left" vertical="center"/>
    </xf>
    <xf numFmtId="0" fontId="7" fillId="0" borderId="0" xfId="122" applyAlignment="1">
      <alignment horizontal="center"/>
    </xf>
    <xf numFmtId="49" fontId="7" fillId="0" borderId="98"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0" fontId="9" fillId="34" borderId="42" xfId="0" applyFont="1" applyFill="1" applyBorder="1" applyAlignment="1">
      <alignment horizontal="center" vertical="center" wrapText="1"/>
    </xf>
    <xf numFmtId="0" fontId="9" fillId="34" borderId="66" xfId="0" applyFont="1" applyFill="1" applyBorder="1" applyAlignment="1">
      <alignment horizontal="center" vertical="center" wrapText="1"/>
    </xf>
    <xf numFmtId="0" fontId="9" fillId="34" borderId="4" xfId="0" applyFont="1" applyFill="1" applyBorder="1" applyAlignment="1">
      <alignment horizontal="center" vertical="center" wrapText="1"/>
    </xf>
    <xf numFmtId="0" fontId="9" fillId="34" borderId="12"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2" applyFont="1" applyFill="1" applyBorder="1" applyAlignment="1">
      <alignment horizontal="center" vertical="center" wrapText="1"/>
    </xf>
    <xf numFmtId="0" fontId="61" fillId="34" borderId="12" xfId="0" applyFont="1" applyFill="1" applyBorder="1" applyAlignment="1">
      <alignment horizontal="centerContinuous" vertical="center"/>
    </xf>
    <xf numFmtId="0" fontId="9" fillId="34" borderId="12" xfId="115"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2" applyFont="1" applyFill="1" applyBorder="1"/>
    <xf numFmtId="0" fontId="61" fillId="0" borderId="33" xfId="122" applyFont="1" applyBorder="1"/>
    <xf numFmtId="0" fontId="40" fillId="33" borderId="12" xfId="118" applyFont="1" applyFill="1" applyBorder="1" applyAlignment="1">
      <alignment horizontal="left"/>
    </xf>
    <xf numFmtId="0" fontId="61" fillId="34" borderId="19" xfId="122" applyFont="1" applyFill="1" applyBorder="1" applyAlignment="1">
      <alignment horizontal="centerContinuous" vertical="center"/>
    </xf>
    <xf numFmtId="167" fontId="40" fillId="0" borderId="0" xfId="40" applyNumberFormat="1" applyFont="1" applyFill="1" applyBorder="1" applyAlignment="1" applyProtection="1"/>
    <xf numFmtId="0" fontId="58" fillId="34" borderId="12" xfId="122" applyFont="1" applyFill="1" applyBorder="1" applyAlignment="1">
      <alignment horizontal="center" vertical="center" wrapText="1"/>
    </xf>
    <xf numFmtId="0" fontId="9" fillId="34" borderId="74" xfId="0" applyFont="1" applyFill="1" applyBorder="1" applyAlignment="1">
      <alignment wrapText="1"/>
    </xf>
    <xf numFmtId="0" fontId="55" fillId="34" borderId="100" xfId="0" applyFont="1" applyFill="1" applyBorder="1" applyAlignment="1">
      <alignment wrapText="1"/>
    </xf>
    <xf numFmtId="167" fontId="7" fillId="39" borderId="21" xfId="40" applyNumberFormat="1" applyFont="1" applyFill="1" applyBorder="1" applyAlignment="1" applyProtection="1">
      <protection locked="0"/>
    </xf>
    <xf numFmtId="0" fontId="60" fillId="0" borderId="122"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0" borderId="12" xfId="0" applyNumberFormat="1" applyFont="1" applyBorder="1" applyAlignment="1">
      <alignment horizontal="center"/>
    </xf>
    <xf numFmtId="166" fontId="7" fillId="37" borderId="12" xfId="40" applyNumberFormat="1" applyFont="1" applyFill="1" applyBorder="1" applyAlignment="1" applyProtection="1"/>
    <xf numFmtId="166" fontId="7" fillId="37" borderId="41" xfId="40" applyNumberFormat="1" applyFont="1" applyFill="1" applyBorder="1" applyAlignment="1" applyProtection="1"/>
    <xf numFmtId="166" fontId="7" fillId="24" borderId="41" xfId="40" applyNumberFormat="1" applyFont="1" applyFill="1" applyBorder="1" applyAlignment="1" applyProtection="1"/>
    <xf numFmtId="0" fontId="9" fillId="0" borderId="21" xfId="83" applyFont="1" applyBorder="1" applyAlignment="1">
      <alignment horizontal="centerContinuous" vertical="center"/>
    </xf>
    <xf numFmtId="0" fontId="9" fillId="33" borderId="24" xfId="83" applyFont="1" applyFill="1" applyBorder="1" applyAlignment="1">
      <alignment horizontal="center" vertical="center"/>
    </xf>
    <xf numFmtId="0" fontId="9" fillId="33" borderId="4" xfId="83" applyFont="1" applyFill="1" applyBorder="1" applyAlignment="1">
      <alignment horizontal="center" vertical="center"/>
    </xf>
    <xf numFmtId="0" fontId="9" fillId="33" borderId="19" xfId="83" applyFont="1" applyFill="1" applyBorder="1" applyAlignment="1">
      <alignment horizontal="center" vertical="center"/>
    </xf>
    <xf numFmtId="0" fontId="7" fillId="0" borderId="105" xfId="0" applyFont="1" applyBorder="1" applyAlignment="1">
      <alignment horizontal="center" vertical="center" wrapText="1"/>
    </xf>
    <xf numFmtId="0" fontId="40" fillId="0" borderId="12" xfId="653" applyFont="1" applyBorder="1" applyAlignment="1">
      <alignment wrapText="1"/>
    </xf>
    <xf numFmtId="0" fontId="7" fillId="0" borderId="40" xfId="0" applyFont="1" applyBorder="1" applyAlignment="1">
      <alignment horizontal="left" wrapText="1"/>
    </xf>
    <xf numFmtId="0" fontId="7" fillId="0" borderId="101" xfId="0" applyFont="1" applyBorder="1" applyAlignment="1">
      <alignment vertical="center" wrapText="1"/>
    </xf>
    <xf numFmtId="0" fontId="7" fillId="0" borderId="74" xfId="0" applyFont="1" applyBorder="1" applyAlignment="1">
      <alignment vertical="top" wrapText="1"/>
    </xf>
    <xf numFmtId="0" fontId="7" fillId="0" borderId="125" xfId="0" applyFont="1" applyBorder="1" applyAlignment="1">
      <alignment vertical="center" wrapText="1"/>
    </xf>
    <xf numFmtId="0" fontId="29" fillId="0" borderId="21" xfId="0" applyFont="1" applyBorder="1" applyAlignment="1">
      <alignment vertical="top" wrapText="1"/>
    </xf>
    <xf numFmtId="0" fontId="121" fillId="0" borderId="105" xfId="140" applyFont="1" applyBorder="1" applyAlignment="1">
      <alignment vertical="top" wrapText="1"/>
    </xf>
    <xf numFmtId="0" fontId="121" fillId="0" borderId="105" xfId="0" applyFont="1" applyBorder="1" applyAlignment="1">
      <alignment vertical="top" wrapText="1"/>
    </xf>
    <xf numFmtId="0" fontId="121" fillId="0" borderId="70" xfId="0" applyFont="1" applyBorder="1" applyAlignment="1">
      <alignment vertical="top" wrapText="1"/>
    </xf>
    <xf numFmtId="0" fontId="121" fillId="0" borderId="77" xfId="0" applyFont="1" applyBorder="1" applyAlignment="1">
      <alignment vertical="top" wrapText="1"/>
    </xf>
    <xf numFmtId="0" fontId="7" fillId="0" borderId="101" xfId="0" applyFont="1" applyBorder="1" applyAlignment="1">
      <alignment vertical="top" wrapText="1"/>
    </xf>
    <xf numFmtId="0" fontId="7" fillId="0" borderId="105" xfId="0" applyFont="1" applyBorder="1" applyAlignment="1">
      <alignment vertical="top"/>
    </xf>
    <xf numFmtId="0" fontId="121" fillId="0" borderId="105" xfId="140" applyFont="1" applyBorder="1" applyAlignment="1">
      <alignment horizontal="left" vertical="top" wrapText="1"/>
    </xf>
    <xf numFmtId="0" fontId="121" fillId="0" borderId="77" xfId="140" applyFont="1" applyBorder="1" applyAlignment="1">
      <alignment vertical="top" wrapText="1"/>
    </xf>
    <xf numFmtId="0" fontId="7" fillId="0" borderId="105" xfId="0" applyFont="1" applyBorder="1" applyAlignment="1">
      <alignment vertical="top" wrapText="1"/>
    </xf>
    <xf numFmtId="0" fontId="40" fillId="34" borderId="25" xfId="362" applyFont="1" applyFill="1" applyBorder="1"/>
    <xf numFmtId="0" fontId="9" fillId="34" borderId="14" xfId="117" applyFont="1" applyFill="1" applyBorder="1" applyAlignment="1">
      <alignment horizontal="center" vertical="center" wrapText="1"/>
    </xf>
    <xf numFmtId="0" fontId="61" fillId="34" borderId="16" xfId="362" applyFont="1" applyFill="1" applyBorder="1" applyAlignment="1">
      <alignment vertical="center" wrapText="1"/>
    </xf>
    <xf numFmtId="0" fontId="2" fillId="0" borderId="0" xfId="362" applyFont="1"/>
    <xf numFmtId="0" fontId="61" fillId="34" borderId="16" xfId="362" applyFont="1" applyFill="1" applyBorder="1"/>
    <xf numFmtId="0" fontId="40" fillId="34" borderId="16" xfId="362" applyFont="1" applyFill="1" applyBorder="1" applyAlignment="1">
      <alignment wrapText="1"/>
    </xf>
    <xf numFmtId="0" fontId="40" fillId="0" borderId="36" xfId="362" applyFont="1" applyBorder="1" applyAlignment="1">
      <alignment horizontal="center"/>
    </xf>
    <xf numFmtId="14" fontId="40" fillId="0" borderId="48" xfId="118" applyNumberFormat="1" applyFont="1" applyBorder="1" applyAlignment="1">
      <alignment horizontal="left"/>
    </xf>
    <xf numFmtId="0" fontId="40" fillId="0" borderId="25" xfId="362" applyFont="1" applyBorder="1" applyAlignment="1">
      <alignment wrapText="1"/>
    </xf>
    <xf numFmtId="0" fontId="40" fillId="0" borderId="25" xfId="118" applyFont="1" applyBorder="1" applyAlignment="1">
      <alignment horizontal="left"/>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1" xfId="118" applyFont="1" applyBorder="1" applyAlignment="1">
      <alignment horizontal="left"/>
    </xf>
    <xf numFmtId="0" fontId="7" fillId="0" borderId="125" xfId="653" applyFont="1" applyBorder="1" applyAlignment="1">
      <alignment vertical="center" wrapText="1"/>
    </xf>
    <xf numFmtId="0" fontId="40" fillId="0" borderId="105" xfId="118" applyFont="1" applyBorder="1" applyAlignment="1">
      <alignment horizontal="left" vertical="center"/>
    </xf>
    <xf numFmtId="0" fontId="1" fillId="0" borderId="21" xfId="362" applyFont="1" applyBorder="1"/>
    <xf numFmtId="0" fontId="1" fillId="0" borderId="16" xfId="362" applyFont="1" applyBorder="1"/>
    <xf numFmtId="0" fontId="1" fillId="0" borderId="25" xfId="362" applyFont="1" applyBorder="1"/>
    <xf numFmtId="0" fontId="1" fillId="0" borderId="85" xfId="362" applyFont="1" applyBorder="1"/>
    <xf numFmtId="0" fontId="1" fillId="0" borderId="51" xfId="362" applyFont="1" applyBorder="1" applyAlignment="1">
      <alignment wrapText="1"/>
    </xf>
    <xf numFmtId="0" fontId="1" fillId="0" borderId="87" xfId="362" applyFont="1" applyBorder="1" applyAlignment="1">
      <alignment wrapText="1"/>
    </xf>
    <xf numFmtId="167" fontId="9" fillId="0" borderId="0" xfId="83" applyNumberFormat="1" applyFont="1" applyAlignment="1" applyProtection="1">
      <alignment vertical="center"/>
      <protection locked="0"/>
    </xf>
    <xf numFmtId="43" fontId="7" fillId="0" borderId="0" xfId="34" applyFont="1" applyProtection="1">
      <protection locked="0"/>
    </xf>
    <xf numFmtId="6" fontId="9" fillId="0" borderId="0" xfId="0" applyNumberFormat="1" applyFont="1" applyProtection="1">
      <protection locked="0"/>
    </xf>
    <xf numFmtId="6" fontId="7" fillId="0" borderId="0" xfId="0" applyNumberFormat="1" applyFont="1" applyProtection="1">
      <protection locked="0"/>
    </xf>
    <xf numFmtId="49" fontId="7" fillId="39" borderId="12" xfId="40" applyNumberFormat="1" applyFill="1" applyBorder="1" applyAlignment="1" applyProtection="1">
      <alignment vertical="top" wrapText="1"/>
      <protection locked="0"/>
    </xf>
    <xf numFmtId="43" fontId="7" fillId="0" borderId="0" xfId="0" applyNumberFormat="1" applyFont="1" applyProtection="1">
      <protection locked="0"/>
    </xf>
    <xf numFmtId="167" fontId="9" fillId="0" borderId="0" xfId="0" applyNumberFormat="1" applyFont="1" applyProtection="1">
      <protection locked="0"/>
    </xf>
    <xf numFmtId="167" fontId="7" fillId="0" borderId="0" xfId="40" applyNumberFormat="1" applyProtection="1">
      <protection locked="0"/>
    </xf>
    <xf numFmtId="167" fontId="40" fillId="0" borderId="0" xfId="122" applyNumberFormat="1" applyFont="1" applyProtection="1">
      <protection locked="0"/>
    </xf>
    <xf numFmtId="167" fontId="7" fillId="0" borderId="0" xfId="0" applyNumberFormat="1" applyFont="1" applyAlignment="1">
      <alignment vertical="center"/>
    </xf>
    <xf numFmtId="166" fontId="7" fillId="0" borderId="0" xfId="34" applyNumberFormat="1" applyProtection="1">
      <protection locked="0"/>
    </xf>
    <xf numFmtId="166" fontId="9" fillId="0" borderId="0" xfId="34" applyNumberFormat="1" applyFont="1" applyAlignment="1" applyProtection="1">
      <alignment vertical="center"/>
      <protection locked="0"/>
    </xf>
    <xf numFmtId="202" fontId="0" fillId="37" borderId="126" xfId="0" applyNumberFormat="1" applyFill="1" applyBorder="1" applyProtection="1">
      <protection locked="0"/>
    </xf>
    <xf numFmtId="0" fontId="7" fillId="37" borderId="126" xfId="0" applyFont="1" applyFill="1" applyBorder="1" applyProtection="1">
      <protection locked="0"/>
    </xf>
    <xf numFmtId="0" fontId="58" fillId="37" borderId="21" xfId="0" applyFont="1" applyFill="1" applyBorder="1" applyAlignment="1">
      <alignment horizontal="center" vertical="center"/>
    </xf>
    <xf numFmtId="0" fontId="58" fillId="37" borderId="16" xfId="0" applyFont="1" applyFill="1" applyBorder="1" applyAlignment="1">
      <alignment horizontal="center" vertical="center"/>
    </xf>
    <xf numFmtId="0" fontId="58" fillId="37" borderId="93" xfId="0" applyFont="1" applyFill="1" applyBorder="1" applyAlignment="1">
      <alignment horizontal="center" vertical="center"/>
    </xf>
    <xf numFmtId="0" fontId="7" fillId="0" borderId="121" xfId="0" applyFont="1" applyBorder="1" applyAlignment="1">
      <alignment vertical="center" wrapText="1"/>
    </xf>
    <xf numFmtId="0" fontId="29" fillId="0" borderId="70" xfId="0" applyFont="1" applyBorder="1" applyAlignment="1">
      <alignment vertical="top" wrapText="1"/>
    </xf>
    <xf numFmtId="0" fontId="29" fillId="0" borderId="99" xfId="0" applyFont="1" applyBorder="1" applyAlignment="1">
      <alignment vertical="top" wrapText="1"/>
    </xf>
    <xf numFmtId="0" fontId="29" fillId="0" borderId="121" xfId="0" applyFont="1" applyBorder="1" applyAlignment="1">
      <alignment vertical="top" wrapText="1"/>
    </xf>
    <xf numFmtId="0" fontId="9" fillId="0" borderId="0" xfId="83" applyFont="1" applyAlignment="1">
      <alignment horizontal="center" vertical="center"/>
    </xf>
    <xf numFmtId="0" fontId="9" fillId="0" borderId="0" xfId="83" applyFont="1" applyAlignment="1" applyProtection="1">
      <alignment horizontal="center" vertical="center"/>
      <protection locked="0"/>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7" fillId="0" borderId="0" xfId="0" applyFont="1" applyAlignment="1">
      <alignment wrapText="1"/>
    </xf>
    <xf numFmtId="0" fontId="7" fillId="0" borderId="0" xfId="0" applyFont="1" applyAlignment="1">
      <alignment horizontal="center"/>
    </xf>
    <xf numFmtId="0" fontId="7" fillId="0" borderId="0" xfId="651" applyAlignment="1">
      <alignment horizontal="center" wrapText="1"/>
    </xf>
    <xf numFmtId="0" fontId="58" fillId="37" borderId="15" xfId="0" applyFont="1" applyFill="1" applyBorder="1" applyAlignment="1">
      <alignment horizontal="center" vertical="center"/>
    </xf>
    <xf numFmtId="0" fontId="58" fillId="37" borderId="92" xfId="0" applyFont="1" applyFill="1" applyBorder="1" applyAlignment="1">
      <alignment horizontal="center" vertical="center"/>
    </xf>
    <xf numFmtId="0" fontId="58" fillId="37" borderId="83" xfId="0" applyFont="1" applyFill="1" applyBorder="1" applyAlignment="1">
      <alignment horizontal="center" vertical="center"/>
    </xf>
    <xf numFmtId="0" fontId="58" fillId="37" borderId="21" xfId="0" applyFont="1" applyFill="1" applyBorder="1" applyAlignment="1">
      <alignment horizontal="center" vertical="center"/>
    </xf>
    <xf numFmtId="0" fontId="58" fillId="37" borderId="25" xfId="0" applyFont="1" applyFill="1" applyBorder="1" applyAlignment="1">
      <alignment horizontal="center" vertical="center"/>
    </xf>
    <xf numFmtId="0" fontId="7" fillId="37" borderId="89" xfId="0" applyFont="1" applyFill="1" applyBorder="1" applyAlignment="1">
      <alignment horizontal="left" wrapText="1"/>
    </xf>
    <xf numFmtId="0" fontId="58" fillId="37" borderId="16" xfId="0" applyFont="1" applyFill="1" applyBorder="1" applyAlignment="1">
      <alignment horizontal="center" vertical="center"/>
    </xf>
    <xf numFmtId="0" fontId="58" fillId="37" borderId="93" xfId="0" applyFont="1" applyFill="1" applyBorder="1" applyAlignment="1">
      <alignment horizontal="center" vertical="center"/>
    </xf>
    <xf numFmtId="0" fontId="7" fillId="37" borderId="38" xfId="0" applyFont="1" applyFill="1" applyBorder="1" applyAlignment="1">
      <alignment horizontal="left" vertical="center" wrapText="1"/>
    </xf>
    <xf numFmtId="0" fontId="7" fillId="37" borderId="94" xfId="0" applyFont="1" applyFill="1" applyBorder="1" applyAlignment="1">
      <alignment horizontal="left" vertical="center" wrapText="1"/>
    </xf>
    <xf numFmtId="0" fontId="7" fillId="37" borderId="90" xfId="0" applyFont="1" applyFill="1" applyBorder="1" applyAlignment="1">
      <alignment horizontal="left" wrapText="1"/>
    </xf>
    <xf numFmtId="0" fontId="7" fillId="37" borderId="88" xfId="0" applyFont="1" applyFill="1" applyBorder="1" applyAlignment="1">
      <alignment horizontal="left" vertical="center" wrapText="1"/>
    </xf>
    <xf numFmtId="0" fontId="7" fillId="37" borderId="125" xfId="0" applyFont="1" applyFill="1" applyBorder="1" applyAlignment="1">
      <alignment horizontal="left" vertical="center" wrapText="1"/>
    </xf>
    <xf numFmtId="0" fontId="58" fillId="37" borderId="37" xfId="0" applyFont="1" applyFill="1" applyBorder="1" applyAlignment="1">
      <alignment horizontal="center" vertical="center"/>
    </xf>
    <xf numFmtId="0" fontId="7" fillId="37" borderId="90" xfId="0" applyFont="1" applyFill="1" applyBorder="1" applyAlignment="1">
      <alignment horizontal="left" vertical="center" wrapText="1"/>
    </xf>
    <xf numFmtId="0" fontId="67" fillId="0" borderId="0" xfId="0" applyFont="1" applyAlignment="1">
      <alignment horizontal="left" vertical="center" wrapText="1"/>
    </xf>
    <xf numFmtId="0" fontId="7" fillId="0" borderId="70" xfId="0" applyFont="1" applyBorder="1" applyAlignment="1">
      <alignment horizontal="center" vertical="center" wrapText="1"/>
    </xf>
    <xf numFmtId="0" fontId="7" fillId="0" borderId="121" xfId="0" applyFont="1" applyBorder="1" applyAlignment="1">
      <alignment horizontal="center" vertical="center" wrapText="1"/>
    </xf>
    <xf numFmtId="0" fontId="7" fillId="0" borderId="70" xfId="0" applyFont="1" applyBorder="1" applyAlignment="1">
      <alignment vertical="center" wrapText="1"/>
    </xf>
    <xf numFmtId="0" fontId="7" fillId="0" borderId="121" xfId="0" applyFont="1" applyBorder="1" applyAlignment="1">
      <alignment vertical="center" wrapText="1"/>
    </xf>
    <xf numFmtId="0" fontId="7" fillId="0" borderId="70" xfId="0" applyFont="1" applyBorder="1" applyAlignment="1">
      <alignment vertical="center"/>
    </xf>
    <xf numFmtId="0" fontId="7" fillId="0" borderId="121" xfId="0" applyFont="1" applyBorder="1" applyAlignment="1">
      <alignment vertical="center"/>
    </xf>
    <xf numFmtId="0" fontId="9" fillId="0" borderId="77" xfId="0" applyFont="1" applyBorder="1" applyAlignment="1">
      <alignment vertical="center"/>
    </xf>
    <xf numFmtId="0" fontId="9" fillId="0" borderId="117" xfId="0" applyFont="1" applyBorder="1" applyAlignment="1">
      <alignment vertical="center"/>
    </xf>
    <xf numFmtId="0" fontId="9" fillId="0" borderId="101" xfId="0" applyFont="1" applyBorder="1" applyAlignment="1">
      <alignment vertical="center"/>
    </xf>
    <xf numFmtId="0" fontId="67" fillId="0" borderId="0" xfId="0" applyFont="1" applyAlignment="1">
      <alignment horizontal="left" vertical="top" wrapText="1"/>
    </xf>
    <xf numFmtId="0" fontId="9" fillId="0" borderId="84" xfId="0" applyFont="1" applyBorder="1" applyAlignment="1">
      <alignment vertical="center" wrapText="1"/>
    </xf>
    <xf numFmtId="0" fontId="7" fillId="0" borderId="99" xfId="0" applyFont="1" applyBorder="1" applyAlignment="1">
      <alignment horizontal="center" vertical="center" wrapText="1"/>
    </xf>
    <xf numFmtId="0" fontId="73" fillId="0" borderId="70" xfId="0" applyFont="1" applyBorder="1" applyAlignment="1">
      <alignment horizontal="center" vertical="center" wrapText="1"/>
    </xf>
    <xf numFmtId="0" fontId="73" fillId="0" borderId="99" xfId="0" applyFont="1" applyBorder="1" applyAlignment="1">
      <alignment horizontal="center" vertical="center" wrapText="1"/>
    </xf>
    <xf numFmtId="0" fontId="73" fillId="0" borderId="121" xfId="0" applyFont="1" applyBorder="1" applyAlignment="1">
      <alignment horizontal="center" vertical="center" wrapText="1"/>
    </xf>
    <xf numFmtId="0" fontId="29" fillId="0" borderId="70" xfId="0" applyFont="1" applyBorder="1" applyAlignment="1">
      <alignment vertical="top" wrapText="1"/>
    </xf>
    <xf numFmtId="0" fontId="29" fillId="0" borderId="99" xfId="0" applyFont="1" applyBorder="1" applyAlignment="1">
      <alignment vertical="top" wrapText="1"/>
    </xf>
    <xf numFmtId="0" fontId="29" fillId="0" borderId="121" xfId="0" applyFont="1" applyBorder="1" applyAlignment="1">
      <alignment vertical="top" wrapText="1"/>
    </xf>
    <xf numFmtId="0" fontId="7" fillId="0" borderId="98" xfId="0" applyFont="1" applyBorder="1" applyAlignment="1">
      <alignment horizontal="center" vertical="center" wrapText="1"/>
    </xf>
    <xf numFmtId="0" fontId="7" fillId="0" borderId="84" xfId="0" applyFont="1" applyBorder="1" applyAlignment="1">
      <alignment horizontal="center" vertical="center" wrapText="1"/>
    </xf>
    <xf numFmtId="0" fontId="69" fillId="0" borderId="70" xfId="0" applyFont="1" applyBorder="1" applyAlignment="1">
      <alignment horizontal="center" vertical="top" wrapText="1"/>
    </xf>
    <xf numFmtId="0" fontId="118" fillId="0" borderId="99" xfId="0" applyFont="1" applyBorder="1" applyAlignment="1">
      <alignment horizontal="center" vertical="top" wrapText="1"/>
    </xf>
    <xf numFmtId="0" fontId="118" fillId="0" borderId="121" xfId="0" applyFont="1" applyBorder="1" applyAlignment="1">
      <alignment horizontal="center" vertical="top" wrapText="1"/>
    </xf>
    <xf numFmtId="0" fontId="9" fillId="36" borderId="24" xfId="0" applyFont="1" applyFill="1" applyBorder="1" applyAlignment="1">
      <alignment horizontal="center"/>
    </xf>
    <xf numFmtId="0" fontId="9" fillId="36" borderId="19" xfId="0" applyFont="1" applyFill="1" applyBorder="1" applyAlignment="1">
      <alignment horizontal="center"/>
    </xf>
    <xf numFmtId="0" fontId="9" fillId="0" borderId="0" xfId="83" applyFont="1" applyAlignment="1">
      <alignment horizontal="center" vertical="center"/>
    </xf>
    <xf numFmtId="0" fontId="9" fillId="0" borderId="33" xfId="83" applyFont="1" applyBorder="1" applyAlignment="1">
      <alignment horizontal="center" vertical="center"/>
    </xf>
    <xf numFmtId="49" fontId="9" fillId="42" borderId="24" xfId="83" applyNumberFormat="1" applyFont="1" applyFill="1" applyBorder="1" applyAlignment="1" applyProtection="1">
      <alignment horizontal="center" vertical="center"/>
      <protection locked="0"/>
    </xf>
    <xf numFmtId="49" fontId="9" fillId="42" borderId="4" xfId="83" applyNumberFormat="1" applyFont="1" applyFill="1" applyBorder="1" applyAlignment="1" applyProtection="1">
      <alignment horizontal="center" vertical="center"/>
      <protection locked="0"/>
    </xf>
    <xf numFmtId="49" fontId="9" fillId="42" borderId="19" xfId="83" applyNumberFormat="1" applyFont="1" applyFill="1" applyBorder="1" applyAlignment="1" applyProtection="1">
      <alignment horizontal="center" vertical="center"/>
      <protection locked="0"/>
    </xf>
    <xf numFmtId="14" fontId="9" fillId="42" borderId="24" xfId="83" applyNumberFormat="1" applyFont="1" applyFill="1" applyBorder="1" applyAlignment="1" applyProtection="1">
      <alignment horizontal="center" vertical="center"/>
      <protection locked="0"/>
    </xf>
    <xf numFmtId="14" fontId="9" fillId="42" borderId="4" xfId="83" applyNumberFormat="1" applyFont="1" applyFill="1" applyBorder="1" applyAlignment="1" applyProtection="1">
      <alignment horizontal="center" vertical="center"/>
      <protection locked="0"/>
    </xf>
    <xf numFmtId="14" fontId="9" fillId="42" borderId="19" xfId="83" applyNumberFormat="1" applyFont="1" applyFill="1" applyBorder="1" applyAlignment="1" applyProtection="1">
      <alignment horizontal="center" vertical="center"/>
      <protection locked="0"/>
    </xf>
    <xf numFmtId="0" fontId="9" fillId="42" borderId="24" xfId="83" applyFont="1" applyFill="1" applyBorder="1" applyAlignment="1" applyProtection="1">
      <alignment horizontal="center" vertical="center"/>
      <protection locked="0"/>
    </xf>
    <xf numFmtId="0" fontId="9" fillId="42" borderId="4" xfId="83" applyFont="1" applyFill="1" applyBorder="1" applyAlignment="1" applyProtection="1">
      <alignment horizontal="center" vertical="center"/>
      <protection locked="0"/>
    </xf>
    <xf numFmtId="0" fontId="9" fillId="42" borderId="19" xfId="83" applyFont="1" applyFill="1" applyBorder="1" applyAlignment="1" applyProtection="1">
      <alignment horizontal="center" vertical="center"/>
      <protection locked="0"/>
    </xf>
    <xf numFmtId="0" fontId="9" fillId="0" borderId="12" xfId="83" applyFont="1" applyBorder="1" applyAlignment="1">
      <alignment horizontal="center" vertical="center"/>
    </xf>
    <xf numFmtId="0" fontId="9" fillId="37" borderId="37" xfId="83" applyFont="1" applyFill="1" applyBorder="1" applyAlignment="1">
      <alignment horizontal="center" vertical="center" wrapText="1"/>
    </xf>
    <xf numFmtId="0" fontId="9" fillId="37" borderId="15" xfId="83" applyFont="1" applyFill="1" applyBorder="1" applyAlignment="1">
      <alignment horizontal="center" vertical="center" wrapText="1"/>
    </xf>
    <xf numFmtId="0" fontId="9" fillId="37" borderId="39" xfId="83" applyFont="1" applyFill="1" applyBorder="1" applyAlignment="1">
      <alignment horizontal="center" vertical="center" wrapText="1"/>
    </xf>
    <xf numFmtId="0" fontId="9" fillId="0" borderId="24" xfId="83" applyFont="1" applyBorder="1" applyAlignment="1">
      <alignment horizontal="center" vertical="center"/>
    </xf>
    <xf numFmtId="0" fontId="9" fillId="41" borderId="25" xfId="83" applyFont="1" applyFill="1" applyBorder="1" applyAlignment="1">
      <alignment horizontal="center" vertical="center" wrapText="1"/>
    </xf>
    <xf numFmtId="0" fontId="9" fillId="41" borderId="16" xfId="83" applyFont="1" applyFill="1" applyBorder="1" applyAlignment="1">
      <alignment horizontal="center" vertical="center" wrapText="1"/>
    </xf>
    <xf numFmtId="0" fontId="9" fillId="41" borderId="21" xfId="83" applyFont="1" applyFill="1" applyBorder="1" applyAlignment="1">
      <alignment horizontal="center" vertical="center" wrapText="1"/>
    </xf>
    <xf numFmtId="0" fontId="9" fillId="0" borderId="0" xfId="83" applyFont="1" applyAlignment="1" applyProtection="1">
      <alignment horizontal="center" vertical="center"/>
      <protection locked="0"/>
    </xf>
    <xf numFmtId="0" fontId="9" fillId="37" borderId="96" xfId="83" applyFont="1" applyFill="1" applyBorder="1" applyAlignment="1">
      <alignment horizontal="center" vertical="center" wrapText="1"/>
    </xf>
    <xf numFmtId="0" fontId="9" fillId="37" borderId="98" xfId="83" applyFont="1" applyFill="1" applyBorder="1" applyAlignment="1">
      <alignment horizontal="center" vertical="center" wrapText="1"/>
    </xf>
    <xf numFmtId="0" fontId="9" fillId="37" borderId="97" xfId="83" applyFont="1" applyFill="1" applyBorder="1" applyAlignment="1">
      <alignment horizontal="center" vertical="center" wrapText="1"/>
    </xf>
    <xf numFmtId="0" fontId="9" fillId="34" borderId="25" xfId="122" applyFont="1" applyFill="1" applyBorder="1" applyAlignment="1">
      <alignment horizontal="center" vertical="center" wrapText="1"/>
    </xf>
    <xf numFmtId="0" fontId="9" fillId="34" borderId="21" xfId="122" applyFont="1" applyFill="1" applyBorder="1" applyAlignment="1">
      <alignment horizontal="center" vertical="center" wrapText="1"/>
    </xf>
    <xf numFmtId="0" fontId="61" fillId="34" borderId="25" xfId="122" applyFont="1" applyFill="1" applyBorder="1" applyAlignment="1">
      <alignment horizontal="center" vertical="center" wrapText="1"/>
    </xf>
    <xf numFmtId="0" fontId="61" fillId="34" borderId="21" xfId="122" applyFont="1" applyFill="1" applyBorder="1" applyAlignment="1">
      <alignment horizontal="center" vertical="center" wrapText="1"/>
    </xf>
    <xf numFmtId="0" fontId="58" fillId="34" borderId="25" xfId="122" applyFont="1" applyFill="1" applyBorder="1" applyAlignment="1">
      <alignment horizontal="center" vertical="center" wrapText="1"/>
    </xf>
    <xf numFmtId="0" fontId="58" fillId="34" borderId="21" xfId="122" applyFont="1" applyFill="1" applyBorder="1" applyAlignment="1">
      <alignment horizontal="center" vertical="center" wrapText="1"/>
    </xf>
    <xf numFmtId="0" fontId="9" fillId="0" borderId="49" xfId="0" applyFont="1" applyBorder="1" applyAlignment="1">
      <alignment horizontal="center"/>
    </xf>
    <xf numFmtId="0" fontId="9" fillId="0" borderId="50" xfId="0" applyFont="1" applyBorder="1" applyAlignment="1">
      <alignment horizontal="center"/>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6" xfId="0" applyFont="1" applyFill="1" applyBorder="1" applyAlignment="1">
      <alignment horizontal="center"/>
    </xf>
    <xf numFmtId="0" fontId="9" fillId="34" borderId="19" xfId="0" applyFont="1" applyFill="1" applyBorder="1" applyAlignment="1">
      <alignment horizontal="center"/>
    </xf>
    <xf numFmtId="0" fontId="7" fillId="0" borderId="24" xfId="0" applyFont="1" applyBorder="1" applyAlignment="1">
      <alignment horizontal="left" wrapText="1"/>
    </xf>
    <xf numFmtId="0" fontId="7" fillId="0" borderId="4" xfId="0" applyFont="1" applyBorder="1" applyAlignment="1">
      <alignment horizontal="left" wrapText="1"/>
    </xf>
    <xf numFmtId="0" fontId="7" fillId="0" borderId="19" xfId="0" applyFont="1" applyBorder="1" applyAlignment="1">
      <alignment horizontal="left" wrapText="1"/>
    </xf>
    <xf numFmtId="0" fontId="7" fillId="0" borderId="0" xfId="82" applyFont="1" applyAlignment="1">
      <alignment horizontal="left"/>
    </xf>
    <xf numFmtId="0" fontId="9" fillId="34" borderId="54" xfId="0" applyFont="1" applyFill="1" applyBorder="1" applyAlignment="1">
      <alignment horizontal="center" wrapText="1"/>
    </xf>
    <xf numFmtId="0" fontId="9" fillId="34" borderId="55" xfId="0" applyFont="1" applyFill="1" applyBorder="1" applyAlignment="1">
      <alignment horizontal="center" wrapText="1"/>
    </xf>
    <xf numFmtId="0" fontId="9" fillId="34" borderId="53" xfId="0" applyFont="1" applyFill="1" applyBorder="1" applyAlignment="1">
      <alignment horizontal="center" wrapText="1"/>
    </xf>
    <xf numFmtId="0" fontId="9" fillId="34" borderId="47" xfId="0" applyFont="1" applyFill="1" applyBorder="1" applyAlignment="1">
      <alignment horizontal="center" wrapText="1"/>
    </xf>
    <xf numFmtId="167" fontId="9" fillId="34" borderId="54" xfId="45" applyNumberFormat="1" applyFont="1" applyFill="1" applyBorder="1" applyAlignment="1">
      <alignment horizontal="center" wrapText="1"/>
    </xf>
    <xf numFmtId="167" fontId="9" fillId="34" borderId="55"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2" xfId="45" applyNumberFormat="1" applyFont="1" applyFill="1" applyBorder="1" applyAlignment="1">
      <alignment horizontal="center" wrapText="1"/>
    </xf>
    <xf numFmtId="167" fontId="7" fillId="34" borderId="53"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7" fillId="0" borderId="0" xfId="0" applyFont="1" applyAlignment="1">
      <alignment wrapText="1"/>
    </xf>
    <xf numFmtId="0" fontId="0" fillId="0" borderId="0" xfId="0" applyAlignment="1">
      <alignment wrapText="1"/>
    </xf>
    <xf numFmtId="0" fontId="7" fillId="0" borderId="57" xfId="0" applyFont="1" applyBorder="1" applyAlignment="1">
      <alignment horizontal="center" vertical="center"/>
    </xf>
    <xf numFmtId="0" fontId="7" fillId="0" borderId="58" xfId="0" applyFont="1" applyBorder="1" applyAlignment="1">
      <alignment horizontal="center" vertical="center"/>
    </xf>
    <xf numFmtId="0" fontId="7" fillId="0" borderId="59" xfId="0" applyFont="1" applyBorder="1" applyAlignment="1">
      <alignment horizontal="left" wrapText="1"/>
    </xf>
    <xf numFmtId="0" fontId="7" fillId="0" borderId="60" xfId="0" applyFont="1" applyBorder="1" applyAlignment="1">
      <alignment horizontal="left" wrapText="1"/>
    </xf>
    <xf numFmtId="0" fontId="7" fillId="0" borderId="61" xfId="0" applyFont="1" applyBorder="1" applyAlignment="1">
      <alignment horizontal="left" wrapText="1"/>
    </xf>
    <xf numFmtId="0" fontId="7" fillId="0" borderId="36" xfId="0" applyFont="1" applyBorder="1" applyAlignment="1">
      <alignment horizontal="center"/>
    </xf>
    <xf numFmtId="0" fontId="7" fillId="0" borderId="48" xfId="0" applyFont="1" applyBorder="1" applyAlignment="1">
      <alignment horizontal="center"/>
    </xf>
    <xf numFmtId="0" fontId="7" fillId="0" borderId="62"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3"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9" fillId="0" borderId="64" xfId="0" applyFont="1" applyBorder="1" applyAlignment="1">
      <alignment horizontal="left" vertical="top" wrapText="1"/>
    </xf>
    <xf numFmtId="0" fontId="9" fillId="0" borderId="54" xfId="0" applyFont="1" applyBorder="1" applyAlignment="1">
      <alignment horizontal="left" vertical="top"/>
    </xf>
    <xf numFmtId="0" fontId="9" fillId="0" borderId="55" xfId="0" applyFont="1" applyBorder="1" applyAlignment="1">
      <alignment horizontal="left" vertical="top"/>
    </xf>
    <xf numFmtId="0" fontId="7" fillId="0" borderId="36" xfId="0" applyFont="1" applyBorder="1" applyAlignment="1">
      <alignment horizontal="left" vertical="top" wrapText="1"/>
    </xf>
    <xf numFmtId="0" fontId="7" fillId="0" borderId="48" xfId="0" applyFont="1" applyBorder="1" applyAlignment="1">
      <alignment horizontal="left" vertical="top"/>
    </xf>
    <xf numFmtId="0" fontId="7" fillId="0" borderId="62" xfId="0" applyFont="1" applyBorder="1" applyAlignment="1">
      <alignment horizontal="left" vertical="top"/>
    </xf>
    <xf numFmtId="0" fontId="7" fillId="0" borderId="14" xfId="0" applyFont="1" applyBorder="1" applyAlignment="1">
      <alignment horizontal="left" vertical="top"/>
    </xf>
    <xf numFmtId="0" fontId="7" fillId="0" borderId="0" xfId="0" applyFont="1" applyAlignment="1">
      <alignment horizontal="left" vertical="top"/>
    </xf>
    <xf numFmtId="0" fontId="7" fillId="0" borderId="63" xfId="0" applyFont="1" applyBorder="1" applyAlignment="1">
      <alignment horizontal="left" vertical="top"/>
    </xf>
    <xf numFmtId="0" fontId="7" fillId="0" borderId="27" xfId="0" applyFont="1" applyBorder="1" applyAlignment="1">
      <alignment horizontal="left" vertical="top"/>
    </xf>
    <xf numFmtId="0" fontId="7" fillId="0" borderId="33" xfId="0" applyFont="1" applyBorder="1" applyAlignment="1">
      <alignment horizontal="left" vertical="top"/>
    </xf>
    <xf numFmtId="0" fontId="7" fillId="0" borderId="34" xfId="0" applyFont="1" applyBorder="1" applyAlignment="1">
      <alignment horizontal="left" vertical="top"/>
    </xf>
    <xf numFmtId="0" fontId="7" fillId="0" borderId="36" xfId="656" applyBorder="1" applyAlignment="1">
      <alignment horizontal="left" vertical="top" wrapText="1"/>
    </xf>
    <xf numFmtId="0" fontId="7" fillId="0" borderId="48" xfId="656" applyBorder="1" applyAlignment="1">
      <alignment horizontal="left" vertical="top" wrapText="1"/>
    </xf>
    <xf numFmtId="0" fontId="7" fillId="0" borderId="62" xfId="656" applyBorder="1" applyAlignment="1">
      <alignment horizontal="left" vertical="top" wrapText="1"/>
    </xf>
    <xf numFmtId="0" fontId="7" fillId="0" borderId="14" xfId="656" applyBorder="1" applyAlignment="1">
      <alignment horizontal="left" vertical="top" wrapText="1"/>
    </xf>
    <xf numFmtId="0" fontId="7" fillId="0" borderId="0" xfId="656" applyAlignment="1">
      <alignment horizontal="left" vertical="top" wrapText="1"/>
    </xf>
    <xf numFmtId="0" fontId="7" fillId="0" borderId="63" xfId="656" applyBorder="1" applyAlignment="1">
      <alignment horizontal="left" vertical="top" wrapText="1"/>
    </xf>
    <xf numFmtId="0" fontId="7" fillId="0" borderId="27" xfId="656" applyBorder="1" applyAlignment="1">
      <alignment horizontal="left" vertical="top" wrapText="1"/>
    </xf>
    <xf numFmtId="0" fontId="7" fillId="0" borderId="33" xfId="656" applyBorder="1" applyAlignment="1">
      <alignment horizontal="left" vertical="top" wrapText="1"/>
    </xf>
    <xf numFmtId="0" fontId="7" fillId="0" borderId="34" xfId="656" applyBorder="1" applyAlignment="1">
      <alignment horizontal="left" vertical="top" wrapText="1"/>
    </xf>
    <xf numFmtId="0" fontId="7" fillId="0" borderId="48" xfId="0" applyFont="1" applyBorder="1" applyAlignment="1">
      <alignment horizontal="left" vertical="top" wrapText="1"/>
    </xf>
    <xf numFmtId="0" fontId="7" fillId="0" borderId="62"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Alignment="1">
      <alignment horizontal="left" vertical="top" wrapText="1"/>
    </xf>
    <xf numFmtId="0" fontId="7" fillId="0" borderId="63" xfId="0" applyFont="1" applyBorder="1" applyAlignment="1">
      <alignment horizontal="left" vertical="top" wrapText="1"/>
    </xf>
    <xf numFmtId="0" fontId="7" fillId="0" borderId="27" xfId="0" applyFont="1" applyBorder="1" applyAlignment="1">
      <alignment horizontal="left" vertical="top" wrapText="1"/>
    </xf>
    <xf numFmtId="0" fontId="7" fillId="0" borderId="33" xfId="0" applyFont="1" applyBorder="1" applyAlignment="1">
      <alignment horizontal="left" vertical="top" wrapText="1"/>
    </xf>
    <xf numFmtId="0" fontId="7" fillId="0" borderId="34" xfId="0" applyFont="1" applyBorder="1" applyAlignment="1">
      <alignment horizontal="left" vertical="top" wrapText="1"/>
    </xf>
    <xf numFmtId="0" fontId="60" fillId="34" borderId="127" xfId="0" applyFont="1" applyFill="1" applyBorder="1" applyAlignment="1">
      <alignment horizontal="centerContinuous"/>
    </xf>
    <xf numFmtId="0" fontId="60" fillId="34" borderId="128" xfId="0" applyFont="1" applyFill="1" applyBorder="1" applyAlignment="1">
      <alignment horizontal="centerContinuous"/>
    </xf>
    <xf numFmtId="0" fontId="60" fillId="34" borderId="129" xfId="0" applyFont="1" applyFill="1" applyBorder="1" applyAlignment="1">
      <alignment horizontal="centerContinuous"/>
    </xf>
    <xf numFmtId="0" fontId="60" fillId="34" borderId="126" xfId="0" applyFont="1" applyFill="1" applyBorder="1" applyAlignment="1">
      <alignment horizontal="centerContinuous"/>
    </xf>
    <xf numFmtId="0" fontId="60" fillId="34" borderId="125"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0" fontId="1" fillId="37" borderId="42"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24" xfId="0" applyNumberFormat="1" applyFont="1" applyFill="1" applyBorder="1" applyAlignment="1">
      <alignment horizontal="center" vertical="center" wrapText="1"/>
    </xf>
    <xf numFmtId="14" fontId="1" fillId="37" borderId="123"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1" fillId="0" borderId="12" xfId="0" applyFont="1" applyBorder="1"/>
    <xf numFmtId="0" fontId="58" fillId="34" borderId="114" xfId="0" applyFont="1" applyFill="1" applyBorder="1" applyAlignment="1">
      <alignment horizontal="center"/>
    </xf>
    <xf numFmtId="0" fontId="1" fillId="34" borderId="50"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7" xfId="0" applyFont="1" applyFill="1" applyBorder="1" applyAlignment="1">
      <alignment wrapText="1"/>
    </xf>
    <xf numFmtId="0" fontId="1" fillId="0" borderId="44" xfId="0" applyFont="1" applyBorder="1"/>
    <xf numFmtId="0" fontId="1" fillId="0" borderId="45" xfId="0" applyFont="1" applyBorder="1" applyAlignment="1">
      <alignment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1" fillId="0" borderId="69" xfId="0" applyFont="1" applyBorder="1" applyAlignment="1">
      <alignment wrapText="1"/>
    </xf>
    <xf numFmtId="0" fontId="1" fillId="0" borderId="116"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1" fillId="34" borderId="42" xfId="0" applyFont="1" applyFill="1" applyBorder="1" applyAlignment="1">
      <alignment wrapText="1"/>
    </xf>
    <xf numFmtId="0" fontId="1" fillId="34" borderId="100" xfId="0" applyFont="1" applyFill="1" applyBorder="1" applyAlignment="1">
      <alignment wrapText="1"/>
    </xf>
    <xf numFmtId="0" fontId="1" fillId="33" borderId="44" xfId="0" applyFont="1" applyFill="1" applyBorder="1"/>
    <xf numFmtId="0" fontId="1" fillId="0" borderId="0" xfId="0" applyFont="1"/>
    <xf numFmtId="0" fontId="1" fillId="0" borderId="0" xfId="0" applyFont="1" applyAlignment="1">
      <alignment wrapText="1"/>
    </xf>
    <xf numFmtId="0" fontId="9" fillId="34" borderId="130" xfId="0" applyFont="1" applyFill="1" applyBorder="1" applyAlignment="1">
      <alignment horizontal="center"/>
    </xf>
    <xf numFmtId="0" fontId="9" fillId="34" borderId="129" xfId="0" applyFont="1" applyFill="1" applyBorder="1" applyAlignment="1">
      <alignment horizontal="center"/>
    </xf>
    <xf numFmtId="0" fontId="58" fillId="37" borderId="130" xfId="0" applyFont="1" applyFill="1" applyBorder="1" applyAlignment="1">
      <alignment horizontal="center" vertical="center"/>
    </xf>
    <xf numFmtId="0" fontId="7" fillId="37" borderId="129" xfId="0" applyFont="1" applyFill="1" applyBorder="1" applyAlignment="1">
      <alignment horizontal="left" vertical="center" wrapText="1"/>
    </xf>
    <xf numFmtId="0" fontId="58" fillId="37" borderId="130" xfId="0" applyFont="1" applyFill="1" applyBorder="1" applyAlignment="1">
      <alignment horizontal="center" vertical="center"/>
    </xf>
    <xf numFmtId="0" fontId="7" fillId="37" borderId="129" xfId="0" applyFont="1" applyFill="1" applyBorder="1" applyAlignment="1">
      <alignment horizontal="left" wrapText="1"/>
    </xf>
    <xf numFmtId="0" fontId="7" fillId="37" borderId="125" xfId="0" applyFont="1" applyFill="1" applyBorder="1" applyAlignment="1">
      <alignment horizontal="left" wrapText="1"/>
    </xf>
    <xf numFmtId="0" fontId="1" fillId="0" borderId="21" xfId="0" applyFont="1" applyBorder="1" applyAlignment="1">
      <alignment horizontal="center"/>
    </xf>
    <xf numFmtId="0" fontId="1" fillId="0" borderId="12" xfId="0" applyFont="1" applyBorder="1" applyAlignment="1">
      <alignment wrapText="1" shrinkToFit="1"/>
    </xf>
    <xf numFmtId="0" fontId="7" fillId="0" borderId="125" xfId="0" applyFont="1" applyBorder="1" applyAlignment="1">
      <alignment vertical="center"/>
    </xf>
    <xf numFmtId="0" fontId="69" fillId="0" borderId="125" xfId="0" applyFont="1" applyBorder="1" applyAlignment="1">
      <alignment vertical="center" wrapText="1"/>
    </xf>
    <xf numFmtId="0" fontId="7" fillId="0" borderId="125" xfId="0" applyFont="1" applyBorder="1" applyAlignment="1">
      <alignment horizontal="center" vertical="center" wrapText="1"/>
    </xf>
    <xf numFmtId="0" fontId="55" fillId="0" borderId="125" xfId="0" applyFont="1" applyBorder="1" applyAlignment="1">
      <alignment vertical="center"/>
    </xf>
    <xf numFmtId="0" fontId="55" fillId="0" borderId="125" xfId="0" applyFont="1" applyBorder="1" applyAlignment="1">
      <alignment vertical="center" wrapText="1"/>
    </xf>
    <xf numFmtId="0" fontId="9" fillId="0" borderId="125" xfId="0" applyFont="1" applyBorder="1" applyAlignment="1">
      <alignment vertical="center"/>
    </xf>
    <xf numFmtId="0" fontId="9" fillId="0" borderId="125" xfId="0" applyFont="1" applyBorder="1" applyAlignment="1">
      <alignment vertical="center" wrapText="1"/>
    </xf>
    <xf numFmtId="0" fontId="9" fillId="0" borderId="125" xfId="0" applyFont="1" applyBorder="1" applyAlignment="1">
      <alignment horizontal="center" vertical="center" wrapText="1"/>
    </xf>
    <xf numFmtId="0" fontId="9" fillId="0" borderId="127" xfId="0" applyFont="1" applyBorder="1" applyAlignment="1">
      <alignment vertical="center" wrapText="1"/>
    </xf>
    <xf numFmtId="0" fontId="9" fillId="0" borderId="128" xfId="0" applyFont="1" applyBorder="1" applyAlignment="1">
      <alignment vertical="center" wrapText="1"/>
    </xf>
    <xf numFmtId="0" fontId="9" fillId="0" borderId="129" xfId="0" applyFont="1" applyBorder="1" applyAlignment="1">
      <alignment vertical="center" wrapText="1"/>
    </xf>
    <xf numFmtId="0" fontId="9" fillId="0" borderId="126" xfId="0" applyFont="1" applyBorder="1" applyAlignment="1">
      <alignment vertical="center" wrapText="1"/>
    </xf>
    <xf numFmtId="0" fontId="9" fillId="0" borderId="125" xfId="0" applyFont="1" applyBorder="1" applyAlignment="1">
      <alignment vertical="center" wrapText="1"/>
    </xf>
    <xf numFmtId="0" fontId="120" fillId="0" borderId="125" xfId="0" applyFont="1" applyBorder="1" applyAlignment="1">
      <alignment vertical="center" wrapText="1"/>
    </xf>
    <xf numFmtId="0" fontId="29" fillId="0" borderId="125" xfId="0" applyFont="1" applyBorder="1" applyAlignment="1">
      <alignment vertical="top"/>
    </xf>
    <xf numFmtId="0" fontId="67" fillId="0" borderId="125" xfId="0" applyFont="1" applyBorder="1" applyAlignment="1">
      <alignment vertical="center" wrapText="1"/>
    </xf>
    <xf numFmtId="0" fontId="112" fillId="0" borderId="125" xfId="0" applyFont="1" applyBorder="1" applyAlignment="1">
      <alignment vertical="center"/>
    </xf>
    <xf numFmtId="0" fontId="67" fillId="0" borderId="125" xfId="0" applyFont="1" applyBorder="1" applyAlignment="1">
      <alignment vertical="center"/>
    </xf>
    <xf numFmtId="0" fontId="112" fillId="0" borderId="126" xfId="0" applyFont="1" applyBorder="1" applyAlignment="1">
      <alignment horizontal="left" vertical="top" wrapText="1"/>
    </xf>
    <xf numFmtId="0" fontId="0" fillId="0" borderId="125" xfId="0" applyBorder="1" applyAlignment="1">
      <alignment vertical="top" wrapText="1"/>
    </xf>
    <xf numFmtId="0" fontId="73" fillId="0" borderId="125" xfId="0" applyFont="1" applyBorder="1" applyAlignment="1">
      <alignment horizontal="center" vertical="center" wrapText="1"/>
    </xf>
    <xf numFmtId="0" fontId="29" fillId="0" borderId="125" xfId="0" applyFont="1" applyBorder="1" applyAlignment="1">
      <alignment vertical="top" wrapText="1"/>
    </xf>
    <xf numFmtId="0" fontId="7" fillId="0" borderId="127" xfId="0" applyFont="1" applyBorder="1" applyAlignment="1">
      <alignment horizontal="center" vertical="center" wrapText="1"/>
    </xf>
    <xf numFmtId="0" fontId="73" fillId="0" borderId="129" xfId="0" applyFont="1" applyBorder="1" applyAlignment="1">
      <alignment horizontal="center" vertical="center" wrapText="1"/>
    </xf>
    <xf numFmtId="0" fontId="0" fillId="0" borderId="129" xfId="0" applyBorder="1" applyAlignment="1">
      <alignment vertical="top"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2" applyFont="1" applyFill="1" applyBorder="1"/>
    <xf numFmtId="0" fontId="1" fillId="38" borderId="21" xfId="122" applyFont="1" applyFill="1" applyBorder="1"/>
    <xf numFmtId="167" fontId="1" fillId="24" borderId="21" xfId="40" applyNumberFormat="1" applyFont="1" applyFill="1" applyBorder="1" applyAlignment="1" applyProtection="1"/>
    <xf numFmtId="0" fontId="1" fillId="0" borderId="12" xfId="118" applyFont="1" applyBorder="1" applyAlignment="1">
      <alignment horizontal="left"/>
    </xf>
    <xf numFmtId="0" fontId="1" fillId="0" borderId="12" xfId="122" applyFont="1" applyBorder="1" applyAlignment="1">
      <alignment horizontal="center"/>
    </xf>
    <xf numFmtId="0" fontId="1" fillId="0" borderId="21" xfId="122" applyFont="1" applyBorder="1" applyAlignment="1">
      <alignment horizontal="center"/>
    </xf>
    <xf numFmtId="167" fontId="1" fillId="37" borderId="12" xfId="122" applyNumberFormat="1" applyFont="1" applyFill="1" applyBorder="1"/>
    <xf numFmtId="0" fontId="1" fillId="0" borderId="0" xfId="0" applyFont="1" applyAlignment="1" applyProtection="1">
      <alignment vertical="center"/>
      <protection locked="0"/>
    </xf>
    <xf numFmtId="41" fontId="7" fillId="34" borderId="130" xfId="35" applyNumberFormat="1" applyFont="1" applyFill="1" applyBorder="1" applyAlignment="1" applyProtection="1">
      <alignment wrapText="1"/>
    </xf>
    <xf numFmtId="41" fontId="7" fillId="34" borderId="131" xfId="35" applyNumberFormat="1" applyFont="1" applyFill="1" applyBorder="1" applyAlignment="1" applyProtection="1">
      <alignment wrapText="1"/>
    </xf>
    <xf numFmtId="3" fontId="9" fillId="34" borderId="117" xfId="78" applyNumberFormat="1" applyFont="1" applyFill="1" applyBorder="1" applyAlignment="1">
      <alignment horizontal="centerContinuous" vertical="center" wrapText="1"/>
    </xf>
    <xf numFmtId="42" fontId="9" fillId="34" borderId="117" xfId="78" applyNumberFormat="1" applyFont="1" applyFill="1" applyBorder="1" applyAlignment="1">
      <alignment horizontal="centerContinuous" vertical="center" wrapText="1"/>
    </xf>
    <xf numFmtId="4" fontId="9" fillId="34" borderId="117" xfId="78" applyNumberFormat="1" applyFont="1" applyFill="1" applyBorder="1" applyAlignment="1">
      <alignment horizontal="centerContinuous" vertical="center" wrapText="1"/>
    </xf>
    <xf numFmtId="44" fontId="9" fillId="34" borderId="117" xfId="78" applyNumberFormat="1" applyFont="1" applyFill="1" applyBorder="1" applyAlignment="1">
      <alignment horizontal="centerContinuous" vertical="center" wrapText="1"/>
    </xf>
    <xf numFmtId="0" fontId="9" fillId="0" borderId="114"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51" xfId="0" applyFont="1" applyBorder="1" applyAlignment="1"/>
    <xf numFmtId="0" fontId="7" fillId="36" borderId="118" xfId="139" applyFill="1" applyBorder="1" applyAlignment="1" applyProtection="1">
      <alignment horizontal="center"/>
      <protection locked="0"/>
    </xf>
    <xf numFmtId="0" fontId="7" fillId="36" borderId="118" xfId="139" applyFill="1" applyBorder="1" applyAlignment="1" applyProtection="1">
      <protection locked="0"/>
    </xf>
    <xf numFmtId="44" fontId="7" fillId="37" borderId="130" xfId="139" applyNumberFormat="1" applyFill="1" applyBorder="1" applyAlignment="1" applyProtection="1"/>
    <xf numFmtId="0" fontId="108" fillId="56" borderId="117" xfId="141" applyFont="1" applyFill="1" applyBorder="1" applyAlignment="1">
      <alignment vertical="center" wrapText="1"/>
    </xf>
    <xf numFmtId="0" fontId="108" fillId="56" borderId="117" xfId="141" applyFont="1" applyFill="1" applyBorder="1" applyAlignment="1">
      <alignment horizontal="centerContinuous" vertical="center"/>
    </xf>
    <xf numFmtId="0" fontId="108" fillId="56" borderId="117" xfId="141" applyFont="1" applyFill="1" applyBorder="1" applyAlignment="1">
      <alignment vertical="center"/>
    </xf>
    <xf numFmtId="167" fontId="7" fillId="36" borderId="118" xfId="133" applyNumberFormat="1" applyFont="1" applyFill="1" applyBorder="1" applyAlignment="1" applyProtection="1">
      <alignment vertical="center"/>
      <protection locked="0"/>
    </xf>
    <xf numFmtId="0" fontId="7" fillId="0" borderId="116" xfId="141" applyFont="1" applyBorder="1" applyAlignment="1">
      <alignment vertical="center" wrapText="1"/>
    </xf>
    <xf numFmtId="167" fontId="7" fillId="37" borderId="118" xfId="133" applyNumberFormat="1" applyFont="1" applyFill="1" applyBorder="1" applyAlignment="1" applyProtection="1">
      <alignment vertical="center"/>
    </xf>
    <xf numFmtId="167" fontId="7" fillId="37" borderId="116" xfId="133" applyNumberFormat="1" applyFont="1" applyFill="1" applyBorder="1" applyAlignment="1" applyProtection="1">
      <alignment vertical="center"/>
    </xf>
    <xf numFmtId="0" fontId="34" fillId="0" borderId="126" xfId="0" applyFont="1" applyBorder="1" applyProtection="1">
      <protection locked="0"/>
    </xf>
    <xf numFmtId="0" fontId="7" fillId="0" borderId="126" xfId="81" applyBorder="1" applyProtection="1">
      <protection locked="0"/>
    </xf>
    <xf numFmtId="201" fontId="34" fillId="0" borderId="126" xfId="0" applyNumberFormat="1" applyFont="1" applyBorder="1" applyProtection="1">
      <protection locked="0"/>
    </xf>
    <xf numFmtId="0" fontId="0" fillId="37" borderId="126" xfId="0" applyFill="1" applyBorder="1" applyProtection="1">
      <protection locked="0"/>
    </xf>
    <xf numFmtId="0" fontId="126" fillId="37" borderId="126" xfId="0" quotePrefix="1" applyFont="1" applyFill="1" applyBorder="1" applyProtection="1">
      <protection locked="0"/>
    </xf>
    <xf numFmtId="0" fontId="1" fillId="0" borderId="0" xfId="362" applyFont="1"/>
    <xf numFmtId="0" fontId="1" fillId="0" borderId="14" xfId="362" applyFont="1" applyBorder="1"/>
    <xf numFmtId="0" fontId="1" fillId="0" borderId="16" xfId="362" applyFont="1" applyBorder="1" applyAlignment="1">
      <alignment wrapText="1"/>
    </xf>
    <xf numFmtId="0" fontId="1" fillId="0" borderId="27" xfId="362" applyFont="1" applyBorder="1" applyAlignment="1">
      <alignment horizontal="center"/>
    </xf>
    <xf numFmtId="14" fontId="1" fillId="0" borderId="25" xfId="362" applyNumberFormat="1" applyFont="1" applyBorder="1" applyAlignment="1">
      <alignment horizontal="left"/>
    </xf>
    <xf numFmtId="166" fontId="7" fillId="0" borderId="0" xfId="34" applyNumberFormat="1" applyFont="1"/>
  </cellXfs>
  <cellStyles count="657">
    <cellStyle name="20% - Accent1" xfId="1" builtinId="30" customBuiltin="1"/>
    <cellStyle name="20% - Accent1 2" xfId="142" xr:uid="{00000000-0005-0000-0000-000001000000}"/>
    <cellStyle name="20% - Accent1 2 2" xfId="143" xr:uid="{00000000-0005-0000-0000-000002000000}"/>
    <cellStyle name="20% - Accent1 3" xfId="144" xr:uid="{00000000-0005-0000-0000-000003000000}"/>
    <cellStyle name="20% - Accent2" xfId="2" builtinId="34" customBuiltin="1"/>
    <cellStyle name="20% - Accent2 2" xfId="145" xr:uid="{00000000-0005-0000-0000-000005000000}"/>
    <cellStyle name="20% - Accent2 2 2" xfId="146" xr:uid="{00000000-0005-0000-0000-000006000000}"/>
    <cellStyle name="20% - Accent2 3" xfId="147" xr:uid="{00000000-0005-0000-0000-000007000000}"/>
    <cellStyle name="20% - Accent3" xfId="3" builtinId="38" customBuiltin="1"/>
    <cellStyle name="20% - Accent3 2" xfId="148" xr:uid="{00000000-0005-0000-0000-000009000000}"/>
    <cellStyle name="20% - Accent3 2 2" xfId="149" xr:uid="{00000000-0005-0000-0000-00000A000000}"/>
    <cellStyle name="20% - Accent3 3" xfId="150" xr:uid="{00000000-0005-0000-0000-00000B000000}"/>
    <cellStyle name="20% - Accent4" xfId="4" builtinId="42" customBuiltin="1"/>
    <cellStyle name="20% - Accent4 2" xfId="151" xr:uid="{00000000-0005-0000-0000-00000D000000}"/>
    <cellStyle name="20% - Accent4 2 2" xfId="152" xr:uid="{00000000-0005-0000-0000-00000E000000}"/>
    <cellStyle name="20% - Accent4 3" xfId="153" xr:uid="{00000000-0005-0000-0000-00000F000000}"/>
    <cellStyle name="20% - Accent5" xfId="5" builtinId="46" customBuiltin="1"/>
    <cellStyle name="20% - Accent5 2" xfId="154" xr:uid="{00000000-0005-0000-0000-000011000000}"/>
    <cellStyle name="20% - Accent5 2 2" xfId="155" xr:uid="{00000000-0005-0000-0000-000012000000}"/>
    <cellStyle name="20% - Accent6" xfId="6" builtinId="50" customBuiltin="1"/>
    <cellStyle name="20% - Accent6 2" xfId="156" xr:uid="{00000000-0005-0000-0000-000014000000}"/>
    <cellStyle name="20% - Accent6 2 2" xfId="157" xr:uid="{00000000-0005-0000-0000-000015000000}"/>
    <cellStyle name="20% - Accent6 3" xfId="158" xr:uid="{00000000-0005-0000-0000-000016000000}"/>
    <cellStyle name="40% - Accent1" xfId="7" builtinId="31" customBuiltin="1"/>
    <cellStyle name="40% - Accent1 2" xfId="159" xr:uid="{00000000-0005-0000-0000-000018000000}"/>
    <cellStyle name="40% - Accent1 2 2" xfId="160" xr:uid="{00000000-0005-0000-0000-000019000000}"/>
    <cellStyle name="40% - Accent1 3" xfId="161" xr:uid="{00000000-0005-0000-0000-00001A000000}"/>
    <cellStyle name="40% - Accent2" xfId="8" builtinId="35" customBuiltin="1"/>
    <cellStyle name="40% - Accent2 2" xfId="162" xr:uid="{00000000-0005-0000-0000-00001C000000}"/>
    <cellStyle name="40% - Accent2 2 2" xfId="163" xr:uid="{00000000-0005-0000-0000-00001D000000}"/>
    <cellStyle name="40% - Accent3" xfId="9" builtinId="39" customBuiltin="1"/>
    <cellStyle name="40% - Accent3 2" xfId="164" xr:uid="{00000000-0005-0000-0000-00001F000000}"/>
    <cellStyle name="40% - Accent3 2 2" xfId="165" xr:uid="{00000000-0005-0000-0000-000020000000}"/>
    <cellStyle name="40% - Accent3 3" xfId="166" xr:uid="{00000000-0005-0000-0000-000021000000}"/>
    <cellStyle name="40% - Accent4" xfId="10" builtinId="43" customBuiltin="1"/>
    <cellStyle name="40% - Accent4 2" xfId="167" xr:uid="{00000000-0005-0000-0000-000023000000}"/>
    <cellStyle name="40% - Accent4 2 2" xfId="168" xr:uid="{00000000-0005-0000-0000-000024000000}"/>
    <cellStyle name="40% - Accent4 3" xfId="169" xr:uid="{00000000-0005-0000-0000-000025000000}"/>
    <cellStyle name="40% - Accent5" xfId="11" builtinId="47" customBuiltin="1"/>
    <cellStyle name="40% - Accent5 2" xfId="170" xr:uid="{00000000-0005-0000-0000-000027000000}"/>
    <cellStyle name="40% - Accent5 2 2" xfId="171" xr:uid="{00000000-0005-0000-0000-000028000000}"/>
    <cellStyle name="40% - Accent5 3" xfId="172" xr:uid="{00000000-0005-0000-0000-000029000000}"/>
    <cellStyle name="40% - Accent6" xfId="12" builtinId="51" customBuiltin="1"/>
    <cellStyle name="40% - Accent6 2" xfId="173" xr:uid="{00000000-0005-0000-0000-00002B000000}"/>
    <cellStyle name="40% - Accent6 2 2" xfId="174" xr:uid="{00000000-0005-0000-0000-00002C000000}"/>
    <cellStyle name="40% - Accent6 3" xfId="175" xr:uid="{00000000-0005-0000-0000-00002D000000}"/>
    <cellStyle name="60% - Accent1" xfId="13" builtinId="32" customBuiltin="1"/>
    <cellStyle name="60% - Accent1 2" xfId="176" xr:uid="{00000000-0005-0000-0000-00002F000000}"/>
    <cellStyle name="60% - Accent1 3" xfId="177" xr:uid="{00000000-0005-0000-0000-000030000000}"/>
    <cellStyle name="60% - Accent2" xfId="14" builtinId="36" customBuiltin="1"/>
    <cellStyle name="60% - Accent2 2" xfId="178" xr:uid="{00000000-0005-0000-0000-000032000000}"/>
    <cellStyle name="60% - Accent2 3" xfId="179" xr:uid="{00000000-0005-0000-0000-000033000000}"/>
    <cellStyle name="60% - Accent3" xfId="15" builtinId="40" customBuiltin="1"/>
    <cellStyle name="60% - Accent3 2" xfId="180" xr:uid="{00000000-0005-0000-0000-000035000000}"/>
    <cellStyle name="60% - Accent3 3" xfId="181" xr:uid="{00000000-0005-0000-0000-000036000000}"/>
    <cellStyle name="60% - Accent4" xfId="16" builtinId="44" customBuiltin="1"/>
    <cellStyle name="60% - Accent4 2" xfId="182" xr:uid="{00000000-0005-0000-0000-000038000000}"/>
    <cellStyle name="60% - Accent4 3" xfId="183" xr:uid="{00000000-0005-0000-0000-000039000000}"/>
    <cellStyle name="60% - Accent5" xfId="17" builtinId="48" customBuiltin="1"/>
    <cellStyle name="60% - Accent5 2" xfId="184" xr:uid="{00000000-0005-0000-0000-00003B000000}"/>
    <cellStyle name="60% - Accent5 3" xfId="185" xr:uid="{00000000-0005-0000-0000-00003C000000}"/>
    <cellStyle name="60% - Accent6" xfId="18" builtinId="52" customBuiltin="1"/>
    <cellStyle name="60% - Accent6 2" xfId="186" xr:uid="{00000000-0005-0000-0000-00003E000000}"/>
    <cellStyle name="60% - Accent6 3" xfId="187" xr:uid="{00000000-0005-0000-0000-00003F000000}"/>
    <cellStyle name="Accent1" xfId="19" builtinId="29" customBuiltin="1"/>
    <cellStyle name="Accent1 2" xfId="188" xr:uid="{00000000-0005-0000-0000-000041000000}"/>
    <cellStyle name="Accent1 3" xfId="189" xr:uid="{00000000-0005-0000-0000-000042000000}"/>
    <cellStyle name="Accent2" xfId="20" builtinId="33" customBuiltin="1"/>
    <cellStyle name="Accent2 2" xfId="190" xr:uid="{00000000-0005-0000-0000-000044000000}"/>
    <cellStyle name="Accent2 3" xfId="191" xr:uid="{00000000-0005-0000-0000-000045000000}"/>
    <cellStyle name="Accent3" xfId="21" builtinId="37" customBuiltin="1"/>
    <cellStyle name="Accent3 2" xfId="192" xr:uid="{00000000-0005-0000-0000-000047000000}"/>
    <cellStyle name="Accent3 3" xfId="193" xr:uid="{00000000-0005-0000-0000-000048000000}"/>
    <cellStyle name="Accent4" xfId="22" builtinId="41" customBuiltin="1"/>
    <cellStyle name="Accent4 2" xfId="194" xr:uid="{00000000-0005-0000-0000-00004A000000}"/>
    <cellStyle name="Accent4 3" xfId="195" xr:uid="{00000000-0005-0000-0000-00004B000000}"/>
    <cellStyle name="Accent5" xfId="23" builtinId="45" customBuiltin="1"/>
    <cellStyle name="Accent5 2" xfId="196" xr:uid="{00000000-0005-0000-0000-00004D000000}"/>
    <cellStyle name="Accent6" xfId="24" builtinId="49" customBuiltin="1"/>
    <cellStyle name="Accent6 2" xfId="197" xr:uid="{00000000-0005-0000-0000-00004F000000}"/>
    <cellStyle name="Accent6 3" xfId="198" xr:uid="{00000000-0005-0000-0000-000050000000}"/>
    <cellStyle name="arrow" xfId="25" xr:uid="{00000000-0005-0000-0000-000051000000}"/>
    <cellStyle name="Bad" xfId="26" builtinId="27" customBuiltin="1"/>
    <cellStyle name="Bad 2" xfId="199" xr:uid="{00000000-0005-0000-0000-000053000000}"/>
    <cellStyle name="Bad 3" xfId="200"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1" xr:uid="{00000000-0005-0000-0000-000059000000}"/>
    <cellStyle name="Bottom single border" xfId="202" xr:uid="{00000000-0005-0000-0000-00005A000000}"/>
    <cellStyle name="Bottom single border 2" xfId="203" xr:uid="{00000000-0005-0000-0000-00005B000000}"/>
    <cellStyle name="Bottom single border 2 2" xfId="204" xr:uid="{00000000-0005-0000-0000-00005C000000}"/>
    <cellStyle name="Bottom single border 3" xfId="205" xr:uid="{00000000-0005-0000-0000-00005D000000}"/>
    <cellStyle name="Bottom single border 3 2" xfId="206" xr:uid="{00000000-0005-0000-0000-00005E000000}"/>
    <cellStyle name="Bottom single border 4" xfId="207" xr:uid="{00000000-0005-0000-0000-00005F000000}"/>
    <cellStyle name="Bottom single border 4 2" xfId="208" xr:uid="{00000000-0005-0000-0000-000060000000}"/>
    <cellStyle name="Bottom single border 5" xfId="209" xr:uid="{00000000-0005-0000-0000-000061000000}"/>
    <cellStyle name="Calc Currency (0)" xfId="31" xr:uid="{00000000-0005-0000-0000-000062000000}"/>
    <cellStyle name="Calculation" xfId="32" builtinId="22" customBuiltin="1"/>
    <cellStyle name="Calculation 2" xfId="210" xr:uid="{00000000-0005-0000-0000-000064000000}"/>
    <cellStyle name="Calculation 2 2" xfId="211" xr:uid="{00000000-0005-0000-0000-000065000000}"/>
    <cellStyle name="Calculation 2 2 2" xfId="212" xr:uid="{00000000-0005-0000-0000-000066000000}"/>
    <cellStyle name="Calculation 2 3" xfId="213" xr:uid="{00000000-0005-0000-0000-000067000000}"/>
    <cellStyle name="Calculation 2 3 2" xfId="214" xr:uid="{00000000-0005-0000-0000-000068000000}"/>
    <cellStyle name="Calculation 2 4" xfId="215" xr:uid="{00000000-0005-0000-0000-000069000000}"/>
    <cellStyle name="Calculation 3" xfId="216" xr:uid="{00000000-0005-0000-0000-00006A000000}"/>
    <cellStyle name="Calculation 3 2" xfId="217" xr:uid="{00000000-0005-0000-0000-00006B000000}"/>
    <cellStyle name="Calculation 4" xfId="218" xr:uid="{00000000-0005-0000-0000-00006C000000}"/>
    <cellStyle name="Check Cell" xfId="33" builtinId="23" customBuiltin="1"/>
    <cellStyle name="Check Cell 2" xfId="219" xr:uid="{00000000-0005-0000-0000-00006E000000}"/>
    <cellStyle name="Comma" xfId="34" builtinId="3"/>
    <cellStyle name="Comma  - Style1" xfId="220" xr:uid="{00000000-0005-0000-0000-000070000000}"/>
    <cellStyle name="Comma  - Style2" xfId="221" xr:uid="{00000000-0005-0000-0000-000071000000}"/>
    <cellStyle name="Comma  - Style3" xfId="222" xr:uid="{00000000-0005-0000-0000-000072000000}"/>
    <cellStyle name="Comma  - Style4" xfId="223" xr:uid="{00000000-0005-0000-0000-000073000000}"/>
    <cellStyle name="Comma  - Style5" xfId="224" xr:uid="{00000000-0005-0000-0000-000074000000}"/>
    <cellStyle name="Comma  - Style6" xfId="225" xr:uid="{00000000-0005-0000-0000-000075000000}"/>
    <cellStyle name="Comma  - Style7" xfId="226" xr:uid="{00000000-0005-0000-0000-000076000000}"/>
    <cellStyle name="Comma  - Style8" xfId="227" xr:uid="{00000000-0005-0000-0000-000077000000}"/>
    <cellStyle name="Comma [2]" xfId="228" xr:uid="{00000000-0005-0000-0000-000078000000}"/>
    <cellStyle name="Comma 10" xfId="126" xr:uid="{00000000-0005-0000-0000-000079000000}"/>
    <cellStyle name="Comma 11" xfId="229" xr:uid="{00000000-0005-0000-0000-00007A000000}"/>
    <cellStyle name="Comma 11 2" xfId="545" xr:uid="{00000000-0005-0000-0000-00007B000000}"/>
    <cellStyle name="Comma 12" xfId="230" xr:uid="{00000000-0005-0000-0000-00007C000000}"/>
    <cellStyle name="Comma 12 2" xfId="546" xr:uid="{00000000-0005-0000-0000-00007D000000}"/>
    <cellStyle name="Comma 13" xfId="231" xr:uid="{00000000-0005-0000-0000-00007E000000}"/>
    <cellStyle name="Comma 13 2" xfId="547" xr:uid="{00000000-0005-0000-0000-00007F000000}"/>
    <cellStyle name="Comma 14" xfId="232" xr:uid="{00000000-0005-0000-0000-000080000000}"/>
    <cellStyle name="Comma 14 2" xfId="548" xr:uid="{00000000-0005-0000-0000-000081000000}"/>
    <cellStyle name="Comma 15" xfId="233" xr:uid="{00000000-0005-0000-0000-000082000000}"/>
    <cellStyle name="Comma 16" xfId="234" xr:uid="{00000000-0005-0000-0000-000083000000}"/>
    <cellStyle name="Comma 17" xfId="235" xr:uid="{00000000-0005-0000-0000-000084000000}"/>
    <cellStyle name="Comma 18" xfId="236" xr:uid="{00000000-0005-0000-0000-000085000000}"/>
    <cellStyle name="Comma 18 2" xfId="549" xr:uid="{00000000-0005-0000-0000-000086000000}"/>
    <cellStyle name="Comma 19" xfId="237" xr:uid="{00000000-0005-0000-0000-000087000000}"/>
    <cellStyle name="Comma 19 2" xfId="238" xr:uid="{00000000-0005-0000-0000-000088000000}"/>
    <cellStyle name="Comma 19 2 2" xfId="551" xr:uid="{00000000-0005-0000-0000-000089000000}"/>
    <cellStyle name="Comma 19 3" xfId="239" xr:uid="{00000000-0005-0000-0000-00008A000000}"/>
    <cellStyle name="Comma 19 3 2" xfId="552" xr:uid="{00000000-0005-0000-0000-00008B000000}"/>
    <cellStyle name="Comma 19 4" xfId="240" xr:uid="{00000000-0005-0000-0000-00008C000000}"/>
    <cellStyle name="Comma 19 4 2" xfId="553" xr:uid="{00000000-0005-0000-0000-00008D000000}"/>
    <cellStyle name="Comma 19 5" xfId="550" xr:uid="{00000000-0005-0000-0000-00008E000000}"/>
    <cellStyle name="Comma 2" xfId="35" xr:uid="{00000000-0005-0000-0000-00008F000000}"/>
    <cellStyle name="Comma 2 2" xfId="241" xr:uid="{00000000-0005-0000-0000-000090000000}"/>
    <cellStyle name="Comma 2 2 2" xfId="242" xr:uid="{00000000-0005-0000-0000-000091000000}"/>
    <cellStyle name="Comma 2 2 3" xfId="243" xr:uid="{00000000-0005-0000-0000-000092000000}"/>
    <cellStyle name="Comma 2 2 3 2" xfId="555" xr:uid="{00000000-0005-0000-0000-000093000000}"/>
    <cellStyle name="Comma 2 2 4" xfId="554" xr:uid="{00000000-0005-0000-0000-000094000000}"/>
    <cellStyle name="Comma 2 3" xfId="244" xr:uid="{00000000-0005-0000-0000-000095000000}"/>
    <cellStyle name="Comma 2 3 2" xfId="245" xr:uid="{00000000-0005-0000-0000-000096000000}"/>
    <cellStyle name="Comma 2 3 3" xfId="246" xr:uid="{00000000-0005-0000-0000-000097000000}"/>
    <cellStyle name="Comma 2 4" xfId="247" xr:uid="{00000000-0005-0000-0000-000098000000}"/>
    <cellStyle name="Comma 2 5" xfId="248" xr:uid="{00000000-0005-0000-0000-000099000000}"/>
    <cellStyle name="Comma 20" xfId="654" xr:uid="{00000000-0005-0000-0000-00009A000000}"/>
    <cellStyle name="Comma 3" xfId="36" xr:uid="{00000000-0005-0000-0000-00009B000000}"/>
    <cellStyle name="Comma 3 2" xfId="120" xr:uid="{00000000-0005-0000-0000-00009C000000}"/>
    <cellStyle name="Comma 3 2 2" xfId="127" xr:uid="{00000000-0005-0000-0000-00009D000000}"/>
    <cellStyle name="Comma 3 2 2 2" xfId="249" xr:uid="{00000000-0005-0000-0000-00009E000000}"/>
    <cellStyle name="Comma 3 2 2 2 2" xfId="556" xr:uid="{00000000-0005-0000-0000-00009F000000}"/>
    <cellStyle name="Comma 3 2 2 3" xfId="535" xr:uid="{00000000-0005-0000-0000-0000A0000000}"/>
    <cellStyle name="Comma 3 2 3" xfId="250" xr:uid="{00000000-0005-0000-0000-0000A1000000}"/>
    <cellStyle name="Comma 3 2 3 2" xfId="557" xr:uid="{00000000-0005-0000-0000-0000A2000000}"/>
    <cellStyle name="Comma 3 3" xfId="128" xr:uid="{00000000-0005-0000-0000-0000A3000000}"/>
    <cellStyle name="Comma 4" xfId="129" xr:uid="{00000000-0005-0000-0000-0000A4000000}"/>
    <cellStyle name="Comma 4 2" xfId="251" xr:uid="{00000000-0005-0000-0000-0000A5000000}"/>
    <cellStyle name="Comma 4 3" xfId="252" xr:uid="{00000000-0005-0000-0000-0000A6000000}"/>
    <cellStyle name="Comma 4 3 2" xfId="558" xr:uid="{00000000-0005-0000-0000-0000A7000000}"/>
    <cellStyle name="Comma 5" xfId="130" xr:uid="{00000000-0005-0000-0000-0000A8000000}"/>
    <cellStyle name="Comma 6" xfId="253" xr:uid="{00000000-0005-0000-0000-0000A9000000}"/>
    <cellStyle name="Comma 7" xfId="254" xr:uid="{00000000-0005-0000-0000-0000AA000000}"/>
    <cellStyle name="Comma 7 2" xfId="255" xr:uid="{00000000-0005-0000-0000-0000AB000000}"/>
    <cellStyle name="Comma 7 2 2" xfId="560" xr:uid="{00000000-0005-0000-0000-0000AC000000}"/>
    <cellStyle name="Comma 7 3" xfId="559" xr:uid="{00000000-0005-0000-0000-0000AD000000}"/>
    <cellStyle name="Comma 8" xfId="256" xr:uid="{00000000-0005-0000-0000-0000AE000000}"/>
    <cellStyle name="Comma 8 2" xfId="257" xr:uid="{00000000-0005-0000-0000-0000AF000000}"/>
    <cellStyle name="Comma 8 2 2" xfId="562" xr:uid="{00000000-0005-0000-0000-0000B0000000}"/>
    <cellStyle name="Comma 8 3" xfId="561" xr:uid="{00000000-0005-0000-0000-0000B1000000}"/>
    <cellStyle name="Comma 9" xfId="258" xr:uid="{00000000-0005-0000-0000-0000B2000000}"/>
    <cellStyle name="Comma 9 2" xfId="259" xr:uid="{00000000-0005-0000-0000-0000B3000000}"/>
    <cellStyle name="Comma 9 2 2" xfId="564" xr:uid="{00000000-0005-0000-0000-0000B4000000}"/>
    <cellStyle name="Comma 9 3" xfId="563" xr:uid="{00000000-0005-0000-0000-0000B5000000}"/>
    <cellStyle name="Comma_Sample Quarterly Report-SCO (5)" xfId="37" xr:uid="{00000000-0005-0000-0000-0000B6000000}"/>
    <cellStyle name="Comma0" xfId="38" xr:uid="{00000000-0005-0000-0000-0000B7000000}"/>
    <cellStyle name="Comma0 2" xfId="260" xr:uid="{00000000-0005-0000-0000-0000B8000000}"/>
    <cellStyle name="Comma1 - Style1" xfId="261" xr:uid="{00000000-0005-0000-0000-0000B9000000}"/>
    <cellStyle name="Copied" xfId="39" xr:uid="{00000000-0005-0000-0000-0000BA000000}"/>
    <cellStyle name="Curren - Style2" xfId="262" xr:uid="{00000000-0005-0000-0000-0000BB000000}"/>
    <cellStyle name="Currency" xfId="40" builtinId="4"/>
    <cellStyle name="Currency 10" xfId="263" xr:uid="{00000000-0005-0000-0000-0000BD000000}"/>
    <cellStyle name="Currency 10 2" xfId="264" xr:uid="{00000000-0005-0000-0000-0000BE000000}"/>
    <cellStyle name="Currency 10 2 2" xfId="566" xr:uid="{00000000-0005-0000-0000-0000BF000000}"/>
    <cellStyle name="Currency 10 3" xfId="565" xr:uid="{00000000-0005-0000-0000-0000C0000000}"/>
    <cellStyle name="Currency 11" xfId="265" xr:uid="{00000000-0005-0000-0000-0000C1000000}"/>
    <cellStyle name="Currency 11 2" xfId="266" xr:uid="{00000000-0005-0000-0000-0000C2000000}"/>
    <cellStyle name="Currency 11 2 2" xfId="568" xr:uid="{00000000-0005-0000-0000-0000C3000000}"/>
    <cellStyle name="Currency 11 3" xfId="567" xr:uid="{00000000-0005-0000-0000-0000C4000000}"/>
    <cellStyle name="Currency 12" xfId="267" xr:uid="{00000000-0005-0000-0000-0000C5000000}"/>
    <cellStyle name="Currency 12 2" xfId="569" xr:uid="{00000000-0005-0000-0000-0000C6000000}"/>
    <cellStyle name="Currency 13" xfId="268" xr:uid="{00000000-0005-0000-0000-0000C7000000}"/>
    <cellStyle name="Currency 13 2" xfId="570" xr:uid="{00000000-0005-0000-0000-0000C8000000}"/>
    <cellStyle name="Currency 14" xfId="269" xr:uid="{00000000-0005-0000-0000-0000C9000000}"/>
    <cellStyle name="Currency 14 2" xfId="571" xr:uid="{00000000-0005-0000-0000-0000CA000000}"/>
    <cellStyle name="Currency 2" xfId="41" xr:uid="{00000000-0005-0000-0000-0000CB000000}"/>
    <cellStyle name="Currency 2 2" xfId="270" xr:uid="{00000000-0005-0000-0000-0000CC000000}"/>
    <cellStyle name="Currency 2 3" xfId="271" xr:uid="{00000000-0005-0000-0000-0000CD000000}"/>
    <cellStyle name="Currency 3" xfId="42" xr:uid="{00000000-0005-0000-0000-0000CE000000}"/>
    <cellStyle name="Currency 3 2" xfId="131" xr:uid="{00000000-0005-0000-0000-0000CF000000}"/>
    <cellStyle name="Currency 3 2 2" xfId="132" xr:uid="{00000000-0005-0000-0000-0000D0000000}"/>
    <cellStyle name="Currency 3 2 2 2" xfId="272" xr:uid="{00000000-0005-0000-0000-0000D1000000}"/>
    <cellStyle name="Currency 3 2 2 2 2" xfId="572" xr:uid="{00000000-0005-0000-0000-0000D2000000}"/>
    <cellStyle name="Currency 3 2 2 3" xfId="537" xr:uid="{00000000-0005-0000-0000-0000D3000000}"/>
    <cellStyle name="Currency 3 2 3" xfId="273" xr:uid="{00000000-0005-0000-0000-0000D4000000}"/>
    <cellStyle name="Currency 3 2 3 2" xfId="573" xr:uid="{00000000-0005-0000-0000-0000D5000000}"/>
    <cellStyle name="Currency 3 2 4" xfId="536" xr:uid="{00000000-0005-0000-0000-0000D6000000}"/>
    <cellStyle name="Currency 3 3" xfId="274" xr:uid="{00000000-0005-0000-0000-0000D7000000}"/>
    <cellStyle name="Currency 4" xfId="43" xr:uid="{00000000-0005-0000-0000-0000D8000000}"/>
    <cellStyle name="Currency 4 2" xfId="275" xr:uid="{00000000-0005-0000-0000-0000D9000000}"/>
    <cellStyle name="Currency 5" xfId="44" xr:uid="{00000000-0005-0000-0000-0000DA000000}"/>
    <cellStyle name="Currency 6" xfId="133" xr:uid="{00000000-0005-0000-0000-0000DB000000}"/>
    <cellStyle name="Currency 6 2" xfId="276" xr:uid="{00000000-0005-0000-0000-0000DC000000}"/>
    <cellStyle name="Currency 6 2 2" xfId="574" xr:uid="{00000000-0005-0000-0000-0000DD000000}"/>
    <cellStyle name="Currency 7" xfId="277" xr:uid="{00000000-0005-0000-0000-0000DE000000}"/>
    <cellStyle name="Currency 8" xfId="278" xr:uid="{00000000-0005-0000-0000-0000DF000000}"/>
    <cellStyle name="Currency 8 2" xfId="279" xr:uid="{00000000-0005-0000-0000-0000E0000000}"/>
    <cellStyle name="Currency 8 2 2" xfId="576" xr:uid="{00000000-0005-0000-0000-0000E1000000}"/>
    <cellStyle name="Currency 8 3" xfId="575" xr:uid="{00000000-0005-0000-0000-0000E2000000}"/>
    <cellStyle name="Currency 9" xfId="280" xr:uid="{00000000-0005-0000-0000-0000E3000000}"/>
    <cellStyle name="Currency 9 2" xfId="281" xr:uid="{00000000-0005-0000-0000-0000E4000000}"/>
    <cellStyle name="Currency 9 2 2" xfId="578" xr:uid="{00000000-0005-0000-0000-0000E5000000}"/>
    <cellStyle name="Currency 9 3" xfId="577" xr:uid="{00000000-0005-0000-0000-0000E6000000}"/>
    <cellStyle name="Currency_Sample Quarterly Report-SCO (5)" xfId="45" xr:uid="{00000000-0005-0000-0000-0000E7000000}"/>
    <cellStyle name="Currency0" xfId="46" xr:uid="{00000000-0005-0000-0000-0000E8000000}"/>
    <cellStyle name="Currency0 2" xfId="282" xr:uid="{00000000-0005-0000-0000-0000E9000000}"/>
    <cellStyle name="currency2" xfId="47" xr:uid="{00000000-0005-0000-0000-0000EA000000}"/>
    <cellStyle name="date" xfId="48" xr:uid="{00000000-0005-0000-0000-0000EB000000}"/>
    <cellStyle name="date 2" xfId="283"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4" xr:uid="{00000000-0005-0000-0000-0000F8000000}"/>
    <cellStyle name="DecimalsNone" xfId="285" xr:uid="{00000000-0005-0000-0000-0000F9000000}"/>
    <cellStyle name="DecimalsTwo" xfId="286" xr:uid="{00000000-0005-0000-0000-0000FA000000}"/>
    <cellStyle name="Entered" xfId="60" xr:uid="{00000000-0005-0000-0000-0000FB000000}"/>
    <cellStyle name="Explanatory Text" xfId="61" builtinId="53" customBuiltin="1"/>
    <cellStyle name="Explanatory Text 2" xfId="287" xr:uid="{00000000-0005-0000-0000-0000FD000000}"/>
    <cellStyle name="F2" xfId="288" xr:uid="{00000000-0005-0000-0000-0000FE000000}"/>
    <cellStyle name="F3" xfId="289" xr:uid="{00000000-0005-0000-0000-0000FF000000}"/>
    <cellStyle name="F4" xfId="290" xr:uid="{00000000-0005-0000-0000-000000010000}"/>
    <cellStyle name="F5" xfId="291" xr:uid="{00000000-0005-0000-0000-000001010000}"/>
    <cellStyle name="F6" xfId="292" xr:uid="{00000000-0005-0000-0000-000002010000}"/>
    <cellStyle name="F7" xfId="293" xr:uid="{00000000-0005-0000-0000-000003010000}"/>
    <cellStyle name="F8" xfId="294" xr:uid="{00000000-0005-0000-0000-000004010000}"/>
    <cellStyle name="Fixed" xfId="134" xr:uid="{00000000-0005-0000-0000-000005010000}"/>
    <cellStyle name="Fixed2 - Style2" xfId="295" xr:uid="{00000000-0005-0000-0000-000006010000}"/>
    <cellStyle name="Fixed4 - Style3" xfId="296" xr:uid="{00000000-0005-0000-0000-000007010000}"/>
    <cellStyle name="FRxAmtStyle" xfId="297" xr:uid="{00000000-0005-0000-0000-000008010000}"/>
    <cellStyle name="FRxAmtStyle 2" xfId="298" xr:uid="{00000000-0005-0000-0000-000009010000}"/>
    <cellStyle name="FRxAmtStyle 2 2" xfId="299" xr:uid="{00000000-0005-0000-0000-00000A010000}"/>
    <cellStyle name="FRxAmtStyle 3" xfId="300" xr:uid="{00000000-0005-0000-0000-00000B010000}"/>
    <cellStyle name="FRxAmtStyle 3 2" xfId="301" xr:uid="{00000000-0005-0000-0000-00000C010000}"/>
    <cellStyle name="FRxAmtStyle 3 2 2" xfId="302" xr:uid="{00000000-0005-0000-0000-00000D010000}"/>
    <cellStyle name="FRxAmtStyle 3 3" xfId="303" xr:uid="{00000000-0005-0000-0000-00000E010000}"/>
    <cellStyle name="FRxCurrStyle" xfId="304" xr:uid="{00000000-0005-0000-0000-00000F010000}"/>
    <cellStyle name="FRxCurrStyle 2" xfId="305" xr:uid="{00000000-0005-0000-0000-000010010000}"/>
    <cellStyle name="FRxCurrStyle 2 2" xfId="306" xr:uid="{00000000-0005-0000-0000-000011010000}"/>
    <cellStyle name="FRxCurrStyle 3" xfId="307" xr:uid="{00000000-0005-0000-0000-000012010000}"/>
    <cellStyle name="FRxCurrStyle 3 2" xfId="308" xr:uid="{00000000-0005-0000-0000-000013010000}"/>
    <cellStyle name="FRxCurrStyle 4" xfId="309" xr:uid="{00000000-0005-0000-0000-000014010000}"/>
    <cellStyle name="FRxPcntStyle" xfId="310" xr:uid="{00000000-0005-0000-0000-000015010000}"/>
    <cellStyle name="FRxPcntStyle 2" xfId="311" xr:uid="{00000000-0005-0000-0000-000016010000}"/>
    <cellStyle name="FRxPcntStyle 2 2" xfId="312" xr:uid="{00000000-0005-0000-0000-000017010000}"/>
    <cellStyle name="FRxPcntStyle 3" xfId="313" xr:uid="{00000000-0005-0000-0000-000018010000}"/>
    <cellStyle name="FRxPcntStyle 3 2" xfId="314" xr:uid="{00000000-0005-0000-0000-000019010000}"/>
    <cellStyle name="Good" xfId="62" builtinId="26" customBuiltin="1"/>
    <cellStyle name="Good 2" xfId="315" xr:uid="{00000000-0005-0000-0000-00001B010000}"/>
    <cellStyle name="Good 3" xfId="316" xr:uid="{00000000-0005-0000-0000-00001C010000}"/>
    <cellStyle name="greenl" xfId="63" xr:uid="{00000000-0005-0000-0000-00001D010000}"/>
    <cellStyle name="GreenLet" xfId="64" xr:uid="{00000000-0005-0000-0000-00001E010000}"/>
    <cellStyle name="Grey" xfId="317" xr:uid="{00000000-0005-0000-0000-00001F010000}"/>
    <cellStyle name="grnlet" xfId="65" xr:uid="{00000000-0005-0000-0000-000020010000}"/>
    <cellStyle name="Header1" xfId="66" xr:uid="{00000000-0005-0000-0000-000021010000}"/>
    <cellStyle name="Header1 2" xfId="318" xr:uid="{00000000-0005-0000-0000-000022010000}"/>
    <cellStyle name="Header1 2 2" xfId="534" xr:uid="{00000000-0005-0000-0000-000023010000}"/>
    <cellStyle name="Header1 3" xfId="638" xr:uid="{00000000-0005-0000-0000-000024010000}"/>
    <cellStyle name="Header2" xfId="67" xr:uid="{00000000-0005-0000-0000-000025010000}"/>
    <cellStyle name="Heading" xfId="319" xr:uid="{00000000-0005-0000-0000-000026010000}"/>
    <cellStyle name="Heading 1" xfId="68" builtinId="16" customBuiltin="1"/>
    <cellStyle name="Heading 1 2" xfId="320" xr:uid="{00000000-0005-0000-0000-000028010000}"/>
    <cellStyle name="Heading 1 3" xfId="321" xr:uid="{00000000-0005-0000-0000-000029010000}"/>
    <cellStyle name="Heading 2" xfId="69" builtinId="17" customBuiltin="1"/>
    <cellStyle name="Heading 2 2" xfId="322" xr:uid="{00000000-0005-0000-0000-00002B010000}"/>
    <cellStyle name="Heading 2 3" xfId="323" xr:uid="{00000000-0005-0000-0000-00002C010000}"/>
    <cellStyle name="Heading 3" xfId="70" builtinId="18" customBuiltin="1"/>
    <cellStyle name="Heading 3 2" xfId="121" xr:uid="{00000000-0005-0000-0000-00002E010000}"/>
    <cellStyle name="Heading 3 3" xfId="324" xr:uid="{00000000-0005-0000-0000-00002F010000}"/>
    <cellStyle name="Heading 4" xfId="71" builtinId="19" customBuiltin="1"/>
    <cellStyle name="Heading 4 2" xfId="325" xr:uid="{00000000-0005-0000-0000-000031010000}"/>
    <cellStyle name="Heading 4 3" xfId="326" xr:uid="{00000000-0005-0000-0000-000032010000}"/>
    <cellStyle name="Hyperlink 2" xfId="327" xr:uid="{00000000-0005-0000-0000-000033010000}"/>
    <cellStyle name="Input" xfId="72" builtinId="20" customBuiltin="1"/>
    <cellStyle name="Input [yellow]" xfId="328" xr:uid="{00000000-0005-0000-0000-000035010000}"/>
    <cellStyle name="Input [yellow] 2" xfId="329" xr:uid="{00000000-0005-0000-0000-000036010000}"/>
    <cellStyle name="Input [yellow] 3" xfId="330" xr:uid="{00000000-0005-0000-0000-000037010000}"/>
    <cellStyle name="Input 2" xfId="331" xr:uid="{00000000-0005-0000-0000-000038010000}"/>
    <cellStyle name="Input 2 2" xfId="332" xr:uid="{00000000-0005-0000-0000-000039010000}"/>
    <cellStyle name="Input 2 2 2" xfId="333" xr:uid="{00000000-0005-0000-0000-00003A010000}"/>
    <cellStyle name="Input 2 3" xfId="334" xr:uid="{00000000-0005-0000-0000-00003B010000}"/>
    <cellStyle name="Input 2 3 2" xfId="335" xr:uid="{00000000-0005-0000-0000-00003C010000}"/>
    <cellStyle name="Input 2 4" xfId="336" xr:uid="{00000000-0005-0000-0000-00003D010000}"/>
    <cellStyle name="Input 3" xfId="337" xr:uid="{00000000-0005-0000-0000-00003E010000}"/>
    <cellStyle name="Input 3 2" xfId="338" xr:uid="{00000000-0005-0000-0000-00003F010000}"/>
    <cellStyle name="Input 4" xfId="339" xr:uid="{00000000-0005-0000-0000-000040010000}"/>
    <cellStyle name="Left" xfId="73" xr:uid="{00000000-0005-0000-0000-000041010000}"/>
    <cellStyle name="Level 1" xfId="340" xr:uid="{00000000-0005-0000-0000-000042010000}"/>
    <cellStyle name="Level 2" xfId="341" xr:uid="{00000000-0005-0000-0000-000043010000}"/>
    <cellStyle name="Level 3" xfId="342" xr:uid="{00000000-0005-0000-0000-000044010000}"/>
    <cellStyle name="Linked Cell" xfId="74" builtinId="24" customBuiltin="1"/>
    <cellStyle name="Linked Cell 2" xfId="343" xr:uid="{00000000-0005-0000-0000-000046010000}"/>
    <cellStyle name="Linked Cell 3" xfId="344" xr:uid="{00000000-0005-0000-0000-000047010000}"/>
    <cellStyle name="Map Labels" xfId="75" xr:uid="{00000000-0005-0000-0000-000048010000}"/>
    <cellStyle name="Map Legend" xfId="76" xr:uid="{00000000-0005-0000-0000-000049010000}"/>
    <cellStyle name="Neutral" xfId="77" builtinId="28" customBuiltin="1"/>
    <cellStyle name="Neutral 2" xfId="345" xr:uid="{00000000-0005-0000-0000-00004B010000}"/>
    <cellStyle name="Neutral 3" xfId="346" xr:uid="{00000000-0005-0000-0000-00004C010000}"/>
    <cellStyle name="No Border" xfId="347" xr:uid="{00000000-0005-0000-0000-00004D010000}"/>
    <cellStyle name="Normal" xfId="0" builtinId="0"/>
    <cellStyle name="Normal - Style1" xfId="348" xr:uid="{00000000-0005-0000-0000-00004F010000}"/>
    <cellStyle name="Normal - Style2" xfId="349" xr:uid="{00000000-0005-0000-0000-000050010000}"/>
    <cellStyle name="Normal - Style3" xfId="350" xr:uid="{00000000-0005-0000-0000-000051010000}"/>
    <cellStyle name="Normal - Style4" xfId="351" xr:uid="{00000000-0005-0000-0000-000052010000}"/>
    <cellStyle name="Normal - Style5" xfId="352" xr:uid="{00000000-0005-0000-0000-000053010000}"/>
    <cellStyle name="Normal - Style6" xfId="353" xr:uid="{00000000-0005-0000-0000-000054010000}"/>
    <cellStyle name="Normal - Style7" xfId="354" xr:uid="{00000000-0005-0000-0000-000055010000}"/>
    <cellStyle name="Normal - Style8" xfId="355" xr:uid="{00000000-0005-0000-0000-000056010000}"/>
    <cellStyle name="Normal 10" xfId="356" xr:uid="{00000000-0005-0000-0000-000057010000}"/>
    <cellStyle name="Normal 10 2" xfId="357" xr:uid="{00000000-0005-0000-0000-000058010000}"/>
    <cellStyle name="Normal 10 3" xfId="358" xr:uid="{00000000-0005-0000-0000-000059010000}"/>
    <cellStyle name="Normal 10 4" xfId="359" xr:uid="{00000000-0005-0000-0000-00005A010000}"/>
    <cellStyle name="Normal 10 5" xfId="651" xr:uid="{00000000-0005-0000-0000-00005B010000}"/>
    <cellStyle name="Normal 11" xfId="360" xr:uid="{00000000-0005-0000-0000-00005C010000}"/>
    <cellStyle name="Normal 12" xfId="140" xr:uid="{00000000-0005-0000-0000-00005D010000}"/>
    <cellStyle name="Normal 12 2" xfId="361" xr:uid="{00000000-0005-0000-0000-00005E010000}"/>
    <cellStyle name="Normal 13" xfId="362" xr:uid="{00000000-0005-0000-0000-00005F010000}"/>
    <cellStyle name="Normal 14" xfId="363" xr:uid="{00000000-0005-0000-0000-000060010000}"/>
    <cellStyle name="Normal 14 2" xfId="364" xr:uid="{00000000-0005-0000-0000-000061010000}"/>
    <cellStyle name="Normal 14 2 2" xfId="589" xr:uid="{00000000-0005-0000-0000-000062010000}"/>
    <cellStyle name="Normal 14 3" xfId="588" xr:uid="{00000000-0005-0000-0000-000063010000}"/>
    <cellStyle name="Normal 15" xfId="365" xr:uid="{00000000-0005-0000-0000-000064010000}"/>
    <cellStyle name="Normal 16" xfId="366" xr:uid="{00000000-0005-0000-0000-000065010000}"/>
    <cellStyle name="Normal 17" xfId="367" xr:uid="{00000000-0005-0000-0000-000066010000}"/>
    <cellStyle name="Normal 17 2" xfId="590" xr:uid="{00000000-0005-0000-0000-000067010000}"/>
    <cellStyle name="Normal 18" xfId="368" xr:uid="{00000000-0005-0000-0000-000068010000}"/>
    <cellStyle name="Normal 18 2" xfId="369" xr:uid="{00000000-0005-0000-0000-000069010000}"/>
    <cellStyle name="Normal 18 2 2" xfId="592" xr:uid="{00000000-0005-0000-0000-00006A010000}"/>
    <cellStyle name="Normal 18 3" xfId="370" xr:uid="{00000000-0005-0000-0000-00006B010000}"/>
    <cellStyle name="Normal 18 3 2" xfId="593" xr:uid="{00000000-0005-0000-0000-00006C010000}"/>
    <cellStyle name="Normal 18 4" xfId="371" xr:uid="{00000000-0005-0000-0000-00006D010000}"/>
    <cellStyle name="Normal 18 4 2" xfId="594" xr:uid="{00000000-0005-0000-0000-00006E010000}"/>
    <cellStyle name="Normal 18 5" xfId="591" xr:uid="{00000000-0005-0000-0000-00006F010000}"/>
    <cellStyle name="Normal 19" xfId="372" xr:uid="{00000000-0005-0000-0000-000070010000}"/>
    <cellStyle name="Normal 2" xfId="78" xr:uid="{00000000-0005-0000-0000-000071010000}"/>
    <cellStyle name="Normal 2 2" xfId="122" xr:uid="{00000000-0005-0000-0000-000072010000}"/>
    <cellStyle name="Normal 2 2 2" xfId="373" xr:uid="{00000000-0005-0000-0000-000073010000}"/>
    <cellStyle name="Normal 2 2 3" xfId="374" xr:uid="{00000000-0005-0000-0000-000074010000}"/>
    <cellStyle name="Normal 2 2 3 2" xfId="595" xr:uid="{00000000-0005-0000-0000-000075010000}"/>
    <cellStyle name="Normal 2 2 4" xfId="375" xr:uid="{00000000-0005-0000-0000-000076010000}"/>
    <cellStyle name="Normal 2 2 4 2" xfId="376" xr:uid="{00000000-0005-0000-0000-000077010000}"/>
    <cellStyle name="Normal 2 2 4 2 2" xfId="597" xr:uid="{00000000-0005-0000-0000-000078010000}"/>
    <cellStyle name="Normal 2 2 4 3" xfId="377" xr:uid="{00000000-0005-0000-0000-000079010000}"/>
    <cellStyle name="Normal 2 2 4 3 2" xfId="598" xr:uid="{00000000-0005-0000-0000-00007A010000}"/>
    <cellStyle name="Normal 2 2 4 4" xfId="378" xr:uid="{00000000-0005-0000-0000-00007B010000}"/>
    <cellStyle name="Normal 2 2 4 4 2" xfId="599" xr:uid="{00000000-0005-0000-0000-00007C010000}"/>
    <cellStyle name="Normal 2 2 4 5" xfId="596" xr:uid="{00000000-0005-0000-0000-00007D010000}"/>
    <cellStyle name="Normal 2 3" xfId="379" xr:uid="{00000000-0005-0000-0000-00007E010000}"/>
    <cellStyle name="Normal 2 4" xfId="380" xr:uid="{00000000-0005-0000-0000-00007F010000}"/>
    <cellStyle name="Normal 2_PREV MCRMCD DX_04 23 12" xfId="381" xr:uid="{00000000-0005-0000-0000-000080010000}"/>
    <cellStyle name="Normal 20" xfId="382" xr:uid="{00000000-0005-0000-0000-000081010000}"/>
    <cellStyle name="Normal 20 2" xfId="600" xr:uid="{00000000-0005-0000-0000-000082010000}"/>
    <cellStyle name="Normal 21" xfId="383" xr:uid="{00000000-0005-0000-0000-000083010000}"/>
    <cellStyle name="Normal 21 2" xfId="601" xr:uid="{00000000-0005-0000-0000-000084010000}"/>
    <cellStyle name="Normal 22" xfId="529" xr:uid="{00000000-0005-0000-0000-000085010000}"/>
    <cellStyle name="Normal 23" xfId="533" xr:uid="{00000000-0005-0000-0000-000086010000}"/>
    <cellStyle name="Normal 24" xfId="607" xr:uid="{00000000-0005-0000-0000-000087010000}"/>
    <cellStyle name="Normal 25" xfId="115" xr:uid="{00000000-0005-0000-0000-000088010000}"/>
    <cellStyle name="Normal 26" xfId="629" xr:uid="{00000000-0005-0000-0000-000089010000}"/>
    <cellStyle name="Normal 27" xfId="642" xr:uid="{00000000-0005-0000-0000-00008A010000}"/>
    <cellStyle name="Normal 28" xfId="116" xr:uid="{00000000-0005-0000-0000-00008B010000}"/>
    <cellStyle name="Normal 29" xfId="652" xr:uid="{00000000-0005-0000-0000-00008C010000}"/>
    <cellStyle name="Normal 3" xfId="79" xr:uid="{00000000-0005-0000-0000-00008D010000}"/>
    <cellStyle name="Normal 3 2" xfId="123" xr:uid="{00000000-0005-0000-0000-00008E010000}"/>
    <cellStyle name="Normal 3 2 2" xfId="135" xr:uid="{00000000-0005-0000-0000-00008F010000}"/>
    <cellStyle name="Normal 3 2 2 2" xfId="384" xr:uid="{00000000-0005-0000-0000-000090010000}"/>
    <cellStyle name="Normal 3 2 2 2 2" xfId="602" xr:uid="{00000000-0005-0000-0000-000091010000}"/>
    <cellStyle name="Normal 3 2 2 3" xfId="538" xr:uid="{00000000-0005-0000-0000-000092010000}"/>
    <cellStyle name="Normal 3 2 3" xfId="385" xr:uid="{00000000-0005-0000-0000-000093010000}"/>
    <cellStyle name="Normal 3 2 3 2" xfId="603" xr:uid="{00000000-0005-0000-0000-000094010000}"/>
    <cellStyle name="Normal 3 3" xfId="136" xr:uid="{00000000-0005-0000-0000-000095010000}"/>
    <cellStyle name="Normal 3 3 2" xfId="386" xr:uid="{00000000-0005-0000-0000-000096010000}"/>
    <cellStyle name="Normal 30" xfId="653" xr:uid="{00000000-0005-0000-0000-000097010000}"/>
    <cellStyle name="Normal 32" xfId="656" xr:uid="{B469882A-141D-4BDF-BB62-447B5977DD6C}"/>
    <cellStyle name="Normal 4" xfId="80" xr:uid="{00000000-0005-0000-0000-000098010000}"/>
    <cellStyle name="Normal 4 2" xfId="387" xr:uid="{00000000-0005-0000-0000-000099010000}"/>
    <cellStyle name="Normal 4 3" xfId="388" xr:uid="{00000000-0005-0000-0000-00009A010000}"/>
    <cellStyle name="Normal 5" xfId="119" xr:uid="{00000000-0005-0000-0000-00009B010000}"/>
    <cellStyle name="Normal 5 2" xfId="137" xr:uid="{00000000-0005-0000-0000-00009C010000}"/>
    <cellStyle name="Normal 5 2 2" xfId="389" xr:uid="{00000000-0005-0000-0000-00009D010000}"/>
    <cellStyle name="Normal 5 2 2 2" xfId="604" xr:uid="{00000000-0005-0000-0000-00009E010000}"/>
    <cellStyle name="Normal 5 2 3" xfId="539" xr:uid="{00000000-0005-0000-0000-00009F010000}"/>
    <cellStyle name="Normal 5 3" xfId="390" xr:uid="{00000000-0005-0000-0000-0000A0010000}"/>
    <cellStyle name="Normal 5 3 2" xfId="605" xr:uid="{00000000-0005-0000-0000-0000A1010000}"/>
    <cellStyle name="Normal 6" xfId="138" xr:uid="{00000000-0005-0000-0000-0000A2010000}"/>
    <cellStyle name="Normal 6 2" xfId="391" xr:uid="{00000000-0005-0000-0000-0000A3010000}"/>
    <cellStyle name="Normal 7" xfId="139" xr:uid="{00000000-0005-0000-0000-0000A4010000}"/>
    <cellStyle name="Normal 7 2" xfId="392" xr:uid="{00000000-0005-0000-0000-0000A5010000}"/>
    <cellStyle name="Normal 8" xfId="393" xr:uid="{00000000-0005-0000-0000-0000A6010000}"/>
    <cellStyle name="Normal 9" xfId="394" xr:uid="{00000000-0005-0000-0000-0000A7010000}"/>
    <cellStyle name="Normal 9 2" xfId="395" xr:uid="{00000000-0005-0000-0000-0000A8010000}"/>
    <cellStyle name="Normal_Delaware FRR Template v3 Q3 Revised" xfId="117" xr:uid="{00000000-0005-0000-0000-0000A9010000}"/>
    <cellStyle name="Normal_Loss Ratio Report Template" xfId="81" xr:uid="{00000000-0005-0000-0000-0000AA010000}"/>
    <cellStyle name="Normal_MBHP Appendix E-finReport 4-30-03" xfId="82" xr:uid="{00000000-0005-0000-0000-0000AB010000}"/>
    <cellStyle name="Normal_Report 5 Income Statement Template-V3" xfId="83" xr:uid="{00000000-0005-0000-0000-0000AC010000}"/>
    <cellStyle name="Normal_report~12" xfId="141" xr:uid="{00000000-0005-0000-0000-0000AD010000}"/>
    <cellStyle name="Normal_Sheet1" xfId="118" xr:uid="{00000000-0005-0000-0000-0000AE010000}"/>
    <cellStyle name="Note" xfId="84" builtinId="10" customBuiltin="1"/>
    <cellStyle name="Note 2" xfId="124" xr:uid="{00000000-0005-0000-0000-0000B0010000}"/>
    <cellStyle name="Note 2 2" xfId="396" xr:uid="{00000000-0005-0000-0000-0000B1010000}"/>
    <cellStyle name="Note 2 2 2" xfId="606" xr:uid="{00000000-0005-0000-0000-0000B2010000}"/>
    <cellStyle name="Note 3" xfId="397" xr:uid="{00000000-0005-0000-0000-0000B3010000}"/>
    <cellStyle name="Note 3 2" xfId="398" xr:uid="{00000000-0005-0000-0000-0000B4010000}"/>
    <cellStyle name="Note 3 2 2" xfId="399" xr:uid="{00000000-0005-0000-0000-0000B5010000}"/>
    <cellStyle name="Note 3 3" xfId="400" xr:uid="{00000000-0005-0000-0000-0000B6010000}"/>
    <cellStyle name="Note 3 3 2" xfId="401" xr:uid="{00000000-0005-0000-0000-0000B7010000}"/>
    <cellStyle name="Note 3 4" xfId="402" xr:uid="{00000000-0005-0000-0000-0000B8010000}"/>
    <cellStyle name="Note 4" xfId="403" xr:uid="{00000000-0005-0000-0000-0000B9010000}"/>
    <cellStyle name="Number" xfId="404" xr:uid="{00000000-0005-0000-0000-0000BA010000}"/>
    <cellStyle name="Output" xfId="85" builtinId="21" customBuiltin="1"/>
    <cellStyle name="Output 2" xfId="405" xr:uid="{00000000-0005-0000-0000-0000BC010000}"/>
    <cellStyle name="Output 2 2" xfId="406" xr:uid="{00000000-0005-0000-0000-0000BD010000}"/>
    <cellStyle name="Output 2 2 2" xfId="407" xr:uid="{00000000-0005-0000-0000-0000BE010000}"/>
    <cellStyle name="Output 2 3" xfId="408" xr:uid="{00000000-0005-0000-0000-0000BF010000}"/>
    <cellStyle name="Output 2 3 2" xfId="409" xr:uid="{00000000-0005-0000-0000-0000C0010000}"/>
    <cellStyle name="Output 2 4" xfId="410" xr:uid="{00000000-0005-0000-0000-0000C1010000}"/>
    <cellStyle name="Output 3" xfId="411" xr:uid="{00000000-0005-0000-0000-0000C2010000}"/>
    <cellStyle name="Output 3 2" xfId="412" xr:uid="{00000000-0005-0000-0000-0000C3010000}"/>
    <cellStyle name="Output 4" xfId="413" xr:uid="{00000000-0005-0000-0000-0000C4010000}"/>
    <cellStyle name="Output Amounts" xfId="414" xr:uid="{00000000-0005-0000-0000-0000C5010000}"/>
    <cellStyle name="PB Table Heading" xfId="415" xr:uid="{00000000-0005-0000-0000-0000C6010000}"/>
    <cellStyle name="PB Table Highlight1" xfId="416" xr:uid="{00000000-0005-0000-0000-0000C7010000}"/>
    <cellStyle name="PB Table Highlight2" xfId="417" xr:uid="{00000000-0005-0000-0000-0000C8010000}"/>
    <cellStyle name="PB Table Highlight3" xfId="418" xr:uid="{00000000-0005-0000-0000-0000C9010000}"/>
    <cellStyle name="PB Table Standard Row" xfId="419" xr:uid="{00000000-0005-0000-0000-0000CA010000}"/>
    <cellStyle name="PB Table Standard Row 2" xfId="420" xr:uid="{00000000-0005-0000-0000-0000CB010000}"/>
    <cellStyle name="PB Table Standard Row 3" xfId="421" xr:uid="{00000000-0005-0000-0000-0000CC010000}"/>
    <cellStyle name="PB Table Standard Row 4" xfId="422" xr:uid="{00000000-0005-0000-0000-0000CD010000}"/>
    <cellStyle name="PB Table Standard Row 5" xfId="423" xr:uid="{00000000-0005-0000-0000-0000CE010000}"/>
    <cellStyle name="PB Table Subtotal Row" xfId="424" xr:uid="{00000000-0005-0000-0000-0000CF010000}"/>
    <cellStyle name="PB Table Subtotal Row 10" xfId="544" xr:uid="{00000000-0005-0000-0000-0000D0010000}"/>
    <cellStyle name="PB Table Subtotal Row 2" xfId="425" xr:uid="{00000000-0005-0000-0000-0000D1010000}"/>
    <cellStyle name="PB Table Subtotal Row 2 2" xfId="426" xr:uid="{00000000-0005-0000-0000-0000D2010000}"/>
    <cellStyle name="PB Table Subtotal Row 2 2 2" xfId="427" xr:uid="{00000000-0005-0000-0000-0000D3010000}"/>
    <cellStyle name="PB Table Subtotal Row 2 2 2 2" xfId="611" xr:uid="{00000000-0005-0000-0000-0000D4010000}"/>
    <cellStyle name="PB Table Subtotal Row 2 2 2 3" xfId="640" xr:uid="{00000000-0005-0000-0000-0000D5010000}"/>
    <cellStyle name="PB Table Subtotal Row 2 2 2 4" xfId="645" xr:uid="{00000000-0005-0000-0000-0000D6010000}"/>
    <cellStyle name="PB Table Subtotal Row 2 2 3" xfId="610" xr:uid="{00000000-0005-0000-0000-0000D7010000}"/>
    <cellStyle name="PB Table Subtotal Row 2 2 4" xfId="639" xr:uid="{00000000-0005-0000-0000-0000D8010000}"/>
    <cellStyle name="PB Table Subtotal Row 2 2 5" xfId="644" xr:uid="{00000000-0005-0000-0000-0000D9010000}"/>
    <cellStyle name="PB Table Subtotal Row 2 3" xfId="428" xr:uid="{00000000-0005-0000-0000-0000DA010000}"/>
    <cellStyle name="PB Table Subtotal Row 2 3 2" xfId="612" xr:uid="{00000000-0005-0000-0000-0000DB010000}"/>
    <cellStyle name="PB Table Subtotal Row 2 3 3" xfId="540" xr:uid="{00000000-0005-0000-0000-0000DC010000}"/>
    <cellStyle name="PB Table Subtotal Row 2 3 4" xfId="646" xr:uid="{00000000-0005-0000-0000-0000DD010000}"/>
    <cellStyle name="PB Table Subtotal Row 2 4" xfId="609" xr:uid="{00000000-0005-0000-0000-0000DE010000}"/>
    <cellStyle name="PB Table Subtotal Row 2 5" xfId="580" xr:uid="{00000000-0005-0000-0000-0000DF010000}"/>
    <cellStyle name="PB Table Subtotal Row 2 6" xfId="643" xr:uid="{00000000-0005-0000-0000-0000E0010000}"/>
    <cellStyle name="PB Table Subtotal Row 3" xfId="429" xr:uid="{00000000-0005-0000-0000-0000E1010000}"/>
    <cellStyle name="PB Table Subtotal Row 3 2" xfId="430" xr:uid="{00000000-0005-0000-0000-0000E2010000}"/>
    <cellStyle name="PB Table Subtotal Row 3 2 2" xfId="614" xr:uid="{00000000-0005-0000-0000-0000E3010000}"/>
    <cellStyle name="PB Table Subtotal Row 3 2 3" xfId="532" xr:uid="{00000000-0005-0000-0000-0000E4010000}"/>
    <cellStyle name="PB Table Subtotal Row 3 2 4" xfId="531" xr:uid="{00000000-0005-0000-0000-0000E5010000}"/>
    <cellStyle name="PB Table Subtotal Row 3 3" xfId="613" xr:uid="{00000000-0005-0000-0000-0000E6010000}"/>
    <cellStyle name="PB Table Subtotal Row 3 4" xfId="581" xr:uid="{00000000-0005-0000-0000-0000E7010000}"/>
    <cellStyle name="PB Table Subtotal Row 3 5" xfId="543" xr:uid="{00000000-0005-0000-0000-0000E8010000}"/>
    <cellStyle name="PB Table Subtotal Row 4" xfId="431" xr:uid="{00000000-0005-0000-0000-0000E9010000}"/>
    <cellStyle name="PB Table Subtotal Row 4 2" xfId="432" xr:uid="{00000000-0005-0000-0000-0000EA010000}"/>
    <cellStyle name="PB Table Subtotal Row 4 2 2" xfId="616" xr:uid="{00000000-0005-0000-0000-0000EB010000}"/>
    <cellStyle name="PB Table Subtotal Row 4 2 3" xfId="583" xr:uid="{00000000-0005-0000-0000-0000EC010000}"/>
    <cellStyle name="PB Table Subtotal Row 4 2 4" xfId="648" xr:uid="{00000000-0005-0000-0000-0000ED010000}"/>
    <cellStyle name="PB Table Subtotal Row 4 3" xfId="615" xr:uid="{00000000-0005-0000-0000-0000EE010000}"/>
    <cellStyle name="PB Table Subtotal Row 4 4" xfId="582" xr:uid="{00000000-0005-0000-0000-0000EF010000}"/>
    <cellStyle name="PB Table Subtotal Row 4 5" xfId="647" xr:uid="{00000000-0005-0000-0000-0000F0010000}"/>
    <cellStyle name="PB Table Subtotal Row 5" xfId="433" xr:uid="{00000000-0005-0000-0000-0000F1010000}"/>
    <cellStyle name="PB Table Subtotal Row 5 2" xfId="434" xr:uid="{00000000-0005-0000-0000-0000F2010000}"/>
    <cellStyle name="PB Table Subtotal Row 5 2 2" xfId="618" xr:uid="{00000000-0005-0000-0000-0000F3010000}"/>
    <cellStyle name="PB Table Subtotal Row 5 2 3" xfId="585" xr:uid="{00000000-0005-0000-0000-0000F4010000}"/>
    <cellStyle name="PB Table Subtotal Row 5 2 4" xfId="541" xr:uid="{00000000-0005-0000-0000-0000F5010000}"/>
    <cellStyle name="PB Table Subtotal Row 5 3" xfId="617" xr:uid="{00000000-0005-0000-0000-0000F6010000}"/>
    <cellStyle name="PB Table Subtotal Row 5 4" xfId="584" xr:uid="{00000000-0005-0000-0000-0000F7010000}"/>
    <cellStyle name="PB Table Subtotal Row 5 5" xfId="542" xr:uid="{00000000-0005-0000-0000-0000F8010000}"/>
    <cellStyle name="PB Table Subtotal Row 6" xfId="435" xr:uid="{00000000-0005-0000-0000-0000F9010000}"/>
    <cellStyle name="PB Table Subtotal Row 6 2" xfId="436" xr:uid="{00000000-0005-0000-0000-0000FA010000}"/>
    <cellStyle name="PB Table Subtotal Row 6 2 2" xfId="620" xr:uid="{00000000-0005-0000-0000-0000FB010000}"/>
    <cellStyle name="PB Table Subtotal Row 6 2 3" xfId="587" xr:uid="{00000000-0005-0000-0000-0000FC010000}"/>
    <cellStyle name="PB Table Subtotal Row 6 2 4" xfId="530" xr:uid="{00000000-0005-0000-0000-0000FD010000}"/>
    <cellStyle name="PB Table Subtotal Row 6 3" xfId="619" xr:uid="{00000000-0005-0000-0000-0000FE010000}"/>
    <cellStyle name="PB Table Subtotal Row 6 4" xfId="586" xr:uid="{00000000-0005-0000-0000-0000FF010000}"/>
    <cellStyle name="PB Table Subtotal Row 6 5" xfId="649" xr:uid="{00000000-0005-0000-0000-000000020000}"/>
    <cellStyle name="PB Table Subtotal Row 7" xfId="437" xr:uid="{00000000-0005-0000-0000-000001020000}"/>
    <cellStyle name="PB Table Subtotal Row 7 2" xfId="621" xr:uid="{00000000-0005-0000-0000-000002020000}"/>
    <cellStyle name="PB Table Subtotal Row 7 3" xfId="641" xr:uid="{00000000-0005-0000-0000-000003020000}"/>
    <cellStyle name="PB Table Subtotal Row 7 4" xfId="650" xr:uid="{00000000-0005-0000-0000-000004020000}"/>
    <cellStyle name="PB Table Subtotal Row 8" xfId="608" xr:uid="{00000000-0005-0000-0000-000005020000}"/>
    <cellStyle name="PB Table Subtotal Row 9" xfId="579" xr:uid="{00000000-0005-0000-0000-000006020000}"/>
    <cellStyle name="PB Table Total Row" xfId="438" xr:uid="{00000000-0005-0000-0000-000007020000}"/>
    <cellStyle name="per0" xfId="86" xr:uid="{00000000-0005-0000-0000-000008020000}"/>
    <cellStyle name="per1" xfId="87" xr:uid="{00000000-0005-0000-0000-000009020000}"/>
    <cellStyle name="Per1rgt" xfId="88" xr:uid="{00000000-0005-0000-0000-00000A020000}"/>
    <cellStyle name="per2" xfId="89" xr:uid="{00000000-0005-0000-0000-00000B020000}"/>
    <cellStyle name="Percen - Style4" xfId="439" xr:uid="{00000000-0005-0000-0000-00000C020000}"/>
    <cellStyle name="Percent" xfId="90" builtinId="5"/>
    <cellStyle name="Percent [2]" xfId="440" xr:uid="{00000000-0005-0000-0000-00000E020000}"/>
    <cellStyle name="Percent 10" xfId="441" xr:uid="{00000000-0005-0000-0000-00000F020000}"/>
    <cellStyle name="Percent 10 2" xfId="622" xr:uid="{00000000-0005-0000-0000-000010020000}"/>
    <cellStyle name="Percent 11" xfId="442" xr:uid="{00000000-0005-0000-0000-000011020000}"/>
    <cellStyle name="Percent 11 2" xfId="623" xr:uid="{00000000-0005-0000-0000-000012020000}"/>
    <cellStyle name="Percent 12" xfId="443" xr:uid="{00000000-0005-0000-0000-000013020000}"/>
    <cellStyle name="Percent 12 2" xfId="444" xr:uid="{00000000-0005-0000-0000-000014020000}"/>
    <cellStyle name="Percent 12 2 2" xfId="625" xr:uid="{00000000-0005-0000-0000-000015020000}"/>
    <cellStyle name="Percent 12 3" xfId="445" xr:uid="{00000000-0005-0000-0000-000016020000}"/>
    <cellStyle name="Percent 12 3 2" xfId="626" xr:uid="{00000000-0005-0000-0000-000017020000}"/>
    <cellStyle name="Percent 12 4" xfId="446" xr:uid="{00000000-0005-0000-0000-000018020000}"/>
    <cellStyle name="Percent 12 4 2" xfId="627" xr:uid="{00000000-0005-0000-0000-000019020000}"/>
    <cellStyle name="Percent 12 5" xfId="624" xr:uid="{00000000-0005-0000-0000-00001A020000}"/>
    <cellStyle name="Percent 13" xfId="655" xr:uid="{00000000-0005-0000-0000-00001B020000}"/>
    <cellStyle name="Percent 2" xfId="91" xr:uid="{00000000-0005-0000-0000-00001C020000}"/>
    <cellStyle name="Percent 2 2" xfId="447" xr:uid="{00000000-0005-0000-0000-00001D020000}"/>
    <cellStyle name="Percent 2 2 2" xfId="448" xr:uid="{00000000-0005-0000-0000-00001E020000}"/>
    <cellStyle name="Percent 2 2 3" xfId="449" xr:uid="{00000000-0005-0000-0000-00001F020000}"/>
    <cellStyle name="Percent 2 2 3 2" xfId="628" xr:uid="{00000000-0005-0000-0000-000020020000}"/>
    <cellStyle name="Percent 2 3" xfId="450" xr:uid="{00000000-0005-0000-0000-000021020000}"/>
    <cellStyle name="Percent 2 4" xfId="451" xr:uid="{00000000-0005-0000-0000-000022020000}"/>
    <cellStyle name="Percent 3" xfId="92" xr:uid="{00000000-0005-0000-0000-000023020000}"/>
    <cellStyle name="Percent 3 2" xfId="125" xr:uid="{00000000-0005-0000-0000-000024020000}"/>
    <cellStyle name="Percent 3 3" xfId="452" xr:uid="{00000000-0005-0000-0000-000025020000}"/>
    <cellStyle name="Percent 4" xfId="93" xr:uid="{00000000-0005-0000-0000-000026020000}"/>
    <cellStyle name="Percent 5" xfId="453" xr:uid="{00000000-0005-0000-0000-000027020000}"/>
    <cellStyle name="Percent 5 2" xfId="454" xr:uid="{00000000-0005-0000-0000-000028020000}"/>
    <cellStyle name="Percent 5 2 2" xfId="631" xr:uid="{00000000-0005-0000-0000-000029020000}"/>
    <cellStyle name="Percent 5 3" xfId="630" xr:uid="{00000000-0005-0000-0000-00002A020000}"/>
    <cellStyle name="Percent 6" xfId="455" xr:uid="{00000000-0005-0000-0000-00002B020000}"/>
    <cellStyle name="Percent 7" xfId="456" xr:uid="{00000000-0005-0000-0000-00002C020000}"/>
    <cellStyle name="Percent 7 2" xfId="457" xr:uid="{00000000-0005-0000-0000-00002D020000}"/>
    <cellStyle name="Percent 7 2 2" xfId="633" xr:uid="{00000000-0005-0000-0000-00002E020000}"/>
    <cellStyle name="Percent 7 3" xfId="632" xr:uid="{00000000-0005-0000-0000-00002F020000}"/>
    <cellStyle name="Percent 8" xfId="458" xr:uid="{00000000-0005-0000-0000-000030020000}"/>
    <cellStyle name="Percent 8 2" xfId="459" xr:uid="{00000000-0005-0000-0000-000031020000}"/>
    <cellStyle name="Percent 8 2 2" xfId="635" xr:uid="{00000000-0005-0000-0000-000032020000}"/>
    <cellStyle name="Percent 8 3" xfId="634" xr:uid="{00000000-0005-0000-0000-000033020000}"/>
    <cellStyle name="Percent 9" xfId="460" xr:uid="{00000000-0005-0000-0000-000034020000}"/>
    <cellStyle name="Percent 9 2" xfId="461" xr:uid="{00000000-0005-0000-0000-000035020000}"/>
    <cellStyle name="Percent 9 2 2" xfId="637" xr:uid="{00000000-0005-0000-0000-000036020000}"/>
    <cellStyle name="Percent 9 3" xfId="636" xr:uid="{00000000-0005-0000-0000-000037020000}"/>
    <cellStyle name="Percent1" xfId="94" xr:uid="{00000000-0005-0000-0000-000038020000}"/>
    <cellStyle name="Percent1ormal" xfId="95" xr:uid="{00000000-0005-0000-0000-000039020000}"/>
    <cellStyle name="Percent2" xfId="96" xr:uid="{00000000-0005-0000-0000-00003A020000}"/>
    <cellStyle name="PSChar" xfId="462" xr:uid="{00000000-0005-0000-0000-00003B020000}"/>
    <cellStyle name="PSDate" xfId="463" xr:uid="{00000000-0005-0000-0000-00003C020000}"/>
    <cellStyle name="PSDec" xfId="464" xr:uid="{00000000-0005-0000-0000-00003D020000}"/>
    <cellStyle name="PSHeading" xfId="465" xr:uid="{00000000-0005-0000-0000-00003E020000}"/>
    <cellStyle name="PSInt" xfId="466" xr:uid="{00000000-0005-0000-0000-00003F020000}"/>
    <cellStyle name="PSSpacer" xfId="467" xr:uid="{00000000-0005-0000-0000-000040020000}"/>
    <cellStyle name="purple" xfId="97" xr:uid="{00000000-0005-0000-0000-000041020000}"/>
    <cellStyle name="red" xfId="98" xr:uid="{00000000-0005-0000-0000-000042020000}"/>
    <cellStyle name="redl" xfId="99" xr:uid="{00000000-0005-0000-0000-000043020000}"/>
    <cellStyle name="redlet" xfId="100" xr:uid="{00000000-0005-0000-0000-000044020000}"/>
    <cellStyle name="redr" xfId="101" xr:uid="{00000000-0005-0000-0000-000045020000}"/>
    <cellStyle name="redshade" xfId="102" xr:uid="{00000000-0005-0000-0000-000046020000}"/>
    <cellStyle name="RevList" xfId="103" xr:uid="{00000000-0005-0000-0000-000047020000}"/>
    <cellStyle name="Right" xfId="104" xr:uid="{00000000-0005-0000-0000-000048020000}"/>
    <cellStyle name="Single Border" xfId="468" xr:uid="{00000000-0005-0000-0000-000049020000}"/>
    <cellStyle name="Single Border 2" xfId="469" xr:uid="{00000000-0005-0000-0000-00004A020000}"/>
    <cellStyle name="Single Border 2 2" xfId="470" xr:uid="{00000000-0005-0000-0000-00004B020000}"/>
    <cellStyle name="Single Border 2 3" xfId="471" xr:uid="{00000000-0005-0000-0000-00004C020000}"/>
    <cellStyle name="Single Border 2 4" xfId="472" xr:uid="{00000000-0005-0000-0000-00004D020000}"/>
    <cellStyle name="Single Border 3" xfId="473" xr:uid="{00000000-0005-0000-0000-00004E020000}"/>
    <cellStyle name="Single Border 3 2" xfId="474" xr:uid="{00000000-0005-0000-0000-00004F020000}"/>
    <cellStyle name="Single Border 3 3" xfId="475" xr:uid="{00000000-0005-0000-0000-000050020000}"/>
    <cellStyle name="Single Border 3 4" xfId="476" xr:uid="{00000000-0005-0000-0000-000051020000}"/>
    <cellStyle name="Single Border 4" xfId="477" xr:uid="{00000000-0005-0000-0000-000052020000}"/>
    <cellStyle name="Single Border 4 2" xfId="478" xr:uid="{00000000-0005-0000-0000-000053020000}"/>
    <cellStyle name="Single Border 4 3" xfId="479" xr:uid="{00000000-0005-0000-0000-000054020000}"/>
    <cellStyle name="Single Border 4 4" xfId="480" xr:uid="{00000000-0005-0000-0000-000055020000}"/>
    <cellStyle name="Single Border 5" xfId="481" xr:uid="{00000000-0005-0000-0000-000056020000}"/>
    <cellStyle name="Single Border 6" xfId="482" xr:uid="{00000000-0005-0000-0000-000057020000}"/>
    <cellStyle name="Single Border 7" xfId="483" xr:uid="{00000000-0005-0000-0000-000058020000}"/>
    <cellStyle name="special" xfId="105" xr:uid="{00000000-0005-0000-0000-000059020000}"/>
    <cellStyle name="STYLE1" xfId="484" xr:uid="{00000000-0005-0000-0000-00005A020000}"/>
    <cellStyle name="STYLE1 2" xfId="485" xr:uid="{00000000-0005-0000-0000-00005B020000}"/>
    <cellStyle name="STYLE1 2 2" xfId="486" xr:uid="{00000000-0005-0000-0000-00005C020000}"/>
    <cellStyle name="STYLE1 2 2 2" xfId="487" xr:uid="{00000000-0005-0000-0000-00005D020000}"/>
    <cellStyle name="STYLE1 2 3" xfId="488" xr:uid="{00000000-0005-0000-0000-00005E020000}"/>
    <cellStyle name="STYLE1 3" xfId="489" xr:uid="{00000000-0005-0000-0000-00005F020000}"/>
    <cellStyle name="STYLE1 3 2" xfId="490" xr:uid="{00000000-0005-0000-0000-000060020000}"/>
    <cellStyle name="STYLE10" xfId="491" xr:uid="{00000000-0005-0000-0000-000061020000}"/>
    <cellStyle name="STYLE11" xfId="492" xr:uid="{00000000-0005-0000-0000-000062020000}"/>
    <cellStyle name="STYLE12" xfId="493" xr:uid="{00000000-0005-0000-0000-000063020000}"/>
    <cellStyle name="STYLE2" xfId="494" xr:uid="{00000000-0005-0000-0000-000064020000}"/>
    <cellStyle name="STYLE2 2" xfId="495" xr:uid="{00000000-0005-0000-0000-000065020000}"/>
    <cellStyle name="STYLE2 2 2" xfId="496" xr:uid="{00000000-0005-0000-0000-000066020000}"/>
    <cellStyle name="STYLE2 2 3" xfId="497" xr:uid="{00000000-0005-0000-0000-000067020000}"/>
    <cellStyle name="STYLE2 3" xfId="498" xr:uid="{00000000-0005-0000-0000-000068020000}"/>
    <cellStyle name="STYLE2 3 2" xfId="499" xr:uid="{00000000-0005-0000-0000-000069020000}"/>
    <cellStyle name="STYLE2 4" xfId="500" xr:uid="{00000000-0005-0000-0000-00006A020000}"/>
    <cellStyle name="STYLE3" xfId="501" xr:uid="{00000000-0005-0000-0000-00006B020000}"/>
    <cellStyle name="STYLE3 2" xfId="502" xr:uid="{00000000-0005-0000-0000-00006C020000}"/>
    <cellStyle name="STYLE3 3" xfId="503" xr:uid="{00000000-0005-0000-0000-00006D020000}"/>
    <cellStyle name="STYLE4" xfId="504" xr:uid="{00000000-0005-0000-0000-00006E020000}"/>
    <cellStyle name="STYLE4 2" xfId="505" xr:uid="{00000000-0005-0000-0000-00006F020000}"/>
    <cellStyle name="STYLE4 3" xfId="506" xr:uid="{00000000-0005-0000-0000-000070020000}"/>
    <cellStyle name="STYLE5" xfId="507" xr:uid="{00000000-0005-0000-0000-000071020000}"/>
    <cellStyle name="STYLE5 2" xfId="508" xr:uid="{00000000-0005-0000-0000-000072020000}"/>
    <cellStyle name="STYLE5 2 2" xfId="509" xr:uid="{00000000-0005-0000-0000-000073020000}"/>
    <cellStyle name="STYLE5 3" xfId="510" xr:uid="{00000000-0005-0000-0000-000074020000}"/>
    <cellStyle name="STYLE6" xfId="511" xr:uid="{00000000-0005-0000-0000-000075020000}"/>
    <cellStyle name="STYLE6 2" xfId="512" xr:uid="{00000000-0005-0000-0000-000076020000}"/>
    <cellStyle name="STYLE6 3" xfId="513" xr:uid="{00000000-0005-0000-0000-000077020000}"/>
    <cellStyle name="STYLE7" xfId="514" xr:uid="{00000000-0005-0000-0000-000078020000}"/>
    <cellStyle name="STYLE8" xfId="515" xr:uid="{00000000-0005-0000-0000-000079020000}"/>
    <cellStyle name="STYLE9" xfId="516" xr:uid="{00000000-0005-0000-0000-00007A020000}"/>
    <cellStyle name="Subtotal" xfId="106" xr:uid="{00000000-0005-0000-0000-00007B020000}"/>
    <cellStyle name="Text" xfId="517" xr:uid="{00000000-0005-0000-0000-00007C020000}"/>
    <cellStyle name="Title" xfId="107" builtinId="15" customBuiltin="1"/>
    <cellStyle name="Title 2" xfId="518" xr:uid="{00000000-0005-0000-0000-00007E020000}"/>
    <cellStyle name="Title 3" xfId="519" xr:uid="{00000000-0005-0000-0000-00007F020000}"/>
    <cellStyle name="Total" xfId="108" builtinId="25" customBuiltin="1"/>
    <cellStyle name="Total 2" xfId="520" xr:uid="{00000000-0005-0000-0000-000081020000}"/>
    <cellStyle name="Total 2 2" xfId="521" xr:uid="{00000000-0005-0000-0000-000082020000}"/>
    <cellStyle name="Total 2 2 2" xfId="522" xr:uid="{00000000-0005-0000-0000-000083020000}"/>
    <cellStyle name="Total 2 3" xfId="523" xr:uid="{00000000-0005-0000-0000-000084020000}"/>
    <cellStyle name="Total 2 3 2" xfId="524" xr:uid="{00000000-0005-0000-0000-000085020000}"/>
    <cellStyle name="Total 2 4" xfId="525" xr:uid="{00000000-0005-0000-0000-000086020000}"/>
    <cellStyle name="Total 3" xfId="526" xr:uid="{00000000-0005-0000-0000-000087020000}"/>
    <cellStyle name="Total 4" xfId="527" xr:uid="{00000000-0005-0000-0000-000088020000}"/>
    <cellStyle name="up" xfId="109" xr:uid="{00000000-0005-0000-0000-000089020000}"/>
    <cellStyle name="Warning Text" xfId="110" builtinId="11" customBuiltin="1"/>
    <cellStyle name="Warning Text 2" xfId="528" xr:uid="{00000000-0005-0000-0000-00008B020000}"/>
    <cellStyle name="Yellow" xfId="111" xr:uid="{00000000-0005-0000-0000-00008C020000}"/>
    <cellStyle name="Yellow2" xfId="112" xr:uid="{00000000-0005-0000-0000-00008D020000}"/>
    <cellStyle name="YellowL" xfId="113" xr:uid="{00000000-0005-0000-0000-00008E020000}"/>
    <cellStyle name="yellowr" xfId="114"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CC99"/>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
      <sheetName val="Control"/>
      <sheetName val="Key"/>
      <sheetName val="2009 Oct Guidance SEC Format"/>
      <sheetName val="Q3 Forecast Scenarios Aud Com"/>
      <sheetName val="Look_up"/>
      <sheetName val="&lt;Overview &amp; Legend&gt;"/>
      <sheetName val="Schedule 1-E A"/>
      <sheetName val="Jul PPD"/>
      <sheetName val="Appendix A-Region"/>
      <sheetName val="Plan Cost Centers- Final  "/>
      <sheetName val="Revenue"/>
      <sheetName val="Exhibit II"/>
      <sheetName val="INDEX"/>
      <sheetName val="Lookups"/>
      <sheetName val="Options"/>
      <sheetName val="RDO_Non-Expansion_PH COAs"/>
      <sheetName val="June 17"/>
      <sheetName val="#19A-R2, 3 Mos w 0 (Acute)"/>
      <sheetName val="hiddenSheet"/>
      <sheetName val="HS"/>
      <sheetName val="HS Copy LAW"/>
      <sheetName val="HS (2)"/>
      <sheetName val="Sum with Factors"/>
      <sheetName val="Defined Input Options"/>
      <sheetName val="Dropdown_Ctrl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H3" sqref="H3"/>
    </sheetView>
  </sheetViews>
  <sheetFormatPr defaultRowHeight="13.15"/>
  <cols>
    <col min="1" max="1" width="3.42578125" customWidth="1"/>
    <col min="2" max="2" width="135.42578125" customWidth="1"/>
  </cols>
  <sheetData>
    <row r="1" spans="2:2" ht="13.9" thickBot="1"/>
    <row r="2" spans="2:2" ht="16.149999999999999" thickBot="1">
      <c r="B2" s="83" t="s">
        <v>0</v>
      </c>
    </row>
    <row r="3" spans="2:2" ht="78.75" customHeight="1">
      <c r="B3" s="580" t="s">
        <v>1</v>
      </c>
    </row>
    <row r="4" spans="2:2" ht="15.6">
      <c r="B4" s="84" t="s">
        <v>2</v>
      </c>
    </row>
    <row r="5" spans="2:2" ht="142.5" customHeight="1">
      <c r="B5" s="581" t="s">
        <v>3</v>
      </c>
    </row>
    <row r="6" spans="2:2" ht="15.6">
      <c r="B6" s="84" t="s">
        <v>4</v>
      </c>
    </row>
    <row r="7" spans="2:2">
      <c r="B7" s="581" t="s">
        <v>5</v>
      </c>
    </row>
    <row r="8" spans="2:2">
      <c r="B8" s="581" t="s">
        <v>6</v>
      </c>
    </row>
    <row r="9" spans="2:2" ht="15.6">
      <c r="B9" s="84" t="s">
        <v>7</v>
      </c>
    </row>
    <row r="10" spans="2:2" ht="39.6">
      <c r="B10" s="581" t="s">
        <v>8</v>
      </c>
    </row>
    <row r="11" spans="2:2" ht="26.45">
      <c r="B11" s="582" t="s">
        <v>9</v>
      </c>
    </row>
    <row r="12" spans="2:2" ht="39.6">
      <c r="B12" s="582" t="s">
        <v>10</v>
      </c>
    </row>
    <row r="13" spans="2:2" ht="26.45">
      <c r="B13" s="581" t="s">
        <v>11</v>
      </c>
    </row>
    <row r="14" spans="2:2" ht="26.45">
      <c r="B14" s="583" t="s">
        <v>12</v>
      </c>
    </row>
    <row r="15" spans="2:2" ht="27" thickBot="1">
      <c r="B15" s="584" t="s">
        <v>13</v>
      </c>
    </row>
  </sheetData>
  <sheetProtection password="D88B" sheet="1" objects="1" scenarios="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CW100"/>
  <sheetViews>
    <sheetView zoomScale="80" zoomScaleNormal="80" workbookViewId="0">
      <pane xSplit="1" ySplit="9" topLeftCell="CM96" activePane="bottomRight" state="frozen"/>
      <selection pane="bottomRight" activeCell="CP128" sqref="CP128"/>
      <selection pane="bottomLeft" activeCell="A10" sqref="A10"/>
      <selection pane="topRight" activeCell="B1" sqref="B1"/>
    </sheetView>
  </sheetViews>
  <sheetFormatPr defaultColWidth="9.42578125" defaultRowHeight="13.15"/>
  <cols>
    <col min="1" max="1" width="49.42578125" style="317" bestFit="1" customWidth="1"/>
    <col min="2" max="2" width="8.5703125" style="317" bestFit="1" customWidth="1"/>
    <col min="3" max="21" width="15.5703125" style="317" customWidth="1"/>
    <col min="22" max="22" width="7.42578125" style="317" bestFit="1" customWidth="1"/>
    <col min="23" max="41" width="15.5703125" style="317" customWidth="1"/>
    <col min="42" max="42" width="7.42578125" style="317" bestFit="1" customWidth="1"/>
    <col min="43" max="61" width="15.5703125" style="317" customWidth="1"/>
    <col min="62" max="62" width="7.42578125" style="317" bestFit="1" customWidth="1"/>
    <col min="63" max="81" width="15.5703125" style="317" customWidth="1"/>
    <col min="82" max="82" width="7.42578125" style="317" bestFit="1" customWidth="1"/>
    <col min="83" max="97" width="15.5703125" style="317" customWidth="1"/>
    <col min="98" max="98" width="9.42578125" style="317"/>
    <col min="99" max="99" width="19.28515625" style="317" customWidth="1"/>
    <col min="100" max="100" width="14.5703125" style="317" bestFit="1" customWidth="1"/>
    <col min="101" max="101" width="13.28515625" style="317" bestFit="1" customWidth="1"/>
    <col min="102" max="16384" width="9.42578125" style="317"/>
  </cols>
  <sheetData>
    <row r="1" spans="1:99" s="180" customFormat="1" ht="24.75" customHeight="1">
      <c r="A1" s="15" t="s">
        <v>1325</v>
      </c>
      <c r="B1" s="179"/>
      <c r="C1" s="179"/>
      <c r="D1" s="179"/>
      <c r="E1" s="179"/>
      <c r="F1" s="179"/>
      <c r="G1" s="758"/>
      <c r="H1" s="758"/>
      <c r="I1" s="758"/>
      <c r="J1" s="709"/>
      <c r="K1" s="709"/>
      <c r="L1" s="179"/>
      <c r="M1" s="179"/>
      <c r="N1" s="179"/>
      <c r="O1" s="179"/>
      <c r="P1" s="709"/>
      <c r="Q1" s="179"/>
      <c r="R1" s="179"/>
      <c r="S1" s="179"/>
      <c r="T1" s="179"/>
      <c r="U1" s="179"/>
      <c r="V1" s="179"/>
      <c r="W1" s="179"/>
      <c r="X1" s="179"/>
      <c r="Y1" s="179"/>
      <c r="Z1" s="179"/>
      <c r="AA1" s="179"/>
      <c r="AB1" s="179"/>
      <c r="AC1" s="179"/>
      <c r="AD1" s="179"/>
      <c r="AE1" s="179"/>
      <c r="AF1" s="709"/>
      <c r="AG1" s="179"/>
      <c r="AH1" s="179"/>
      <c r="AI1" s="179"/>
      <c r="AJ1" s="179"/>
      <c r="AK1" s="179"/>
      <c r="AL1" s="179"/>
      <c r="AM1" s="179"/>
      <c r="AN1" s="179"/>
      <c r="AO1" s="179"/>
      <c r="AP1" s="179"/>
      <c r="AQ1" s="179"/>
      <c r="AR1" s="179"/>
      <c r="AS1" s="179"/>
      <c r="AT1" s="179"/>
      <c r="AU1" s="179"/>
      <c r="AV1" s="709"/>
      <c r="AW1" s="179"/>
      <c r="AX1" s="179"/>
      <c r="AY1" s="179"/>
      <c r="AZ1" s="179"/>
      <c r="BA1" s="179"/>
      <c r="BB1" s="179"/>
      <c r="BC1" s="179"/>
      <c r="BD1" s="179"/>
      <c r="BE1" s="179"/>
      <c r="BF1" s="179"/>
      <c r="BG1" s="179"/>
      <c r="BH1" s="179"/>
      <c r="BI1" s="179"/>
      <c r="BJ1" s="179"/>
      <c r="BK1" s="179"/>
      <c r="BL1" s="70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c r="CR1" s="179"/>
      <c r="CS1" s="179"/>
    </row>
    <row r="2" spans="1:99" s="180" customFormat="1" ht="15.6">
      <c r="A2" s="139" t="s">
        <v>1284</v>
      </c>
      <c r="B2" s="397" t="str">
        <f>'Schedule 2_Balance Sheet'!C2</f>
        <v>Tufts Associated Health Plans, Inc. (TAHMO)</v>
      </c>
      <c r="C2" s="398"/>
      <c r="D2" s="398"/>
      <c r="E2" s="398"/>
      <c r="F2" s="399"/>
      <c r="G2" s="400"/>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row>
    <row r="3" spans="1:99" s="180" customFormat="1" ht="15.6">
      <c r="A3" s="139" t="s">
        <v>1285</v>
      </c>
      <c r="B3" s="520" t="str">
        <f>'Schedule 2_Balance Sheet'!C3</f>
        <v>01/01/2024 - 12/31/2024</v>
      </c>
      <c r="C3" s="521"/>
      <c r="D3" s="521"/>
      <c r="E3" s="521"/>
      <c r="F3" s="522"/>
      <c r="G3" s="400"/>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row>
    <row r="4" spans="1:99" s="403" customFormat="1" ht="15.6">
      <c r="A4" s="139" t="s">
        <v>1286</v>
      </c>
      <c r="B4" s="401">
        <f>'Schedule 2_Balance Sheet'!C4</f>
        <v>45657</v>
      </c>
      <c r="C4" s="398"/>
      <c r="D4" s="398"/>
      <c r="E4" s="398"/>
      <c r="F4" s="399"/>
      <c r="G4" s="400"/>
      <c r="H4" s="179"/>
      <c r="I4" s="402"/>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79"/>
      <c r="CD4" s="179"/>
      <c r="CE4" s="179"/>
      <c r="CF4" s="179"/>
      <c r="CG4" s="179"/>
      <c r="CH4" s="179"/>
      <c r="CI4" s="179"/>
      <c r="CJ4" s="179"/>
      <c r="CK4" s="179"/>
      <c r="CL4" s="179"/>
      <c r="CM4" s="179"/>
      <c r="CN4" s="179"/>
      <c r="CO4" s="179"/>
      <c r="CP4" s="179"/>
      <c r="CQ4" s="179"/>
      <c r="CR4" s="179"/>
      <c r="CS4" s="179"/>
    </row>
    <row r="5" spans="1:99" s="180" customFormat="1" ht="15.6">
      <c r="A5" s="139" t="s">
        <v>1287</v>
      </c>
      <c r="B5" s="397" t="str">
        <f>'Schedule 2_Balance Sheet'!C5</f>
        <v>Roshni Parikh</v>
      </c>
      <c r="C5" s="398"/>
      <c r="D5" s="398"/>
      <c r="E5" s="398"/>
      <c r="F5" s="399"/>
      <c r="G5" s="400"/>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c r="CC5" s="179"/>
      <c r="CD5" s="179"/>
      <c r="CE5" s="179"/>
      <c r="CF5" s="179"/>
      <c r="CG5" s="179"/>
      <c r="CH5" s="179"/>
      <c r="CI5" s="179"/>
      <c r="CJ5" s="179"/>
      <c r="CK5" s="179"/>
      <c r="CL5" s="179"/>
      <c r="CM5" s="179"/>
      <c r="CN5" s="179"/>
      <c r="CO5" s="179"/>
      <c r="CP5" s="179"/>
      <c r="CQ5" s="179"/>
      <c r="CR5" s="179"/>
      <c r="CS5" s="179"/>
      <c r="CU5" s="688"/>
    </row>
    <row r="6" spans="1:99" s="180" customFormat="1" ht="15.6">
      <c r="A6" s="139" t="s">
        <v>1288</v>
      </c>
      <c r="B6" s="401">
        <f>'Schedule 2_Balance Sheet'!C6</f>
        <v>45657</v>
      </c>
      <c r="C6" s="398"/>
      <c r="D6" s="398"/>
      <c r="E6" s="398"/>
      <c r="F6" s="399"/>
      <c r="G6" s="400"/>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79"/>
      <c r="AY6" s="179"/>
      <c r="AZ6" s="179"/>
      <c r="BA6" s="179"/>
      <c r="BB6" s="179"/>
      <c r="BC6" s="179"/>
      <c r="BD6" s="179"/>
      <c r="BE6" s="179"/>
      <c r="BF6" s="179"/>
      <c r="BG6" s="179"/>
      <c r="BH6" s="179"/>
      <c r="BI6" s="179"/>
      <c r="BJ6" s="179"/>
      <c r="BK6" s="179"/>
      <c r="BL6" s="179"/>
      <c r="BM6" s="179"/>
      <c r="BN6" s="179"/>
      <c r="BO6" s="179"/>
      <c r="BP6" s="179"/>
      <c r="BQ6" s="179"/>
      <c r="BR6" s="179"/>
      <c r="BS6" s="179"/>
      <c r="BT6" s="179"/>
      <c r="BU6" s="179"/>
      <c r="BV6" s="179"/>
      <c r="BW6" s="179"/>
      <c r="BX6" s="179"/>
      <c r="BY6" s="179"/>
      <c r="BZ6" s="179"/>
      <c r="CA6" s="179"/>
      <c r="CB6" s="179"/>
      <c r="CC6" s="179"/>
      <c r="CD6" s="179"/>
      <c r="CE6" s="179"/>
      <c r="CF6" s="179"/>
      <c r="CG6" s="179"/>
      <c r="CH6" s="179"/>
      <c r="CI6" s="179"/>
      <c r="CJ6" s="179"/>
      <c r="CK6" s="179"/>
      <c r="CL6" s="179"/>
      <c r="CM6" s="179"/>
      <c r="CN6" s="179"/>
      <c r="CO6" s="179"/>
      <c r="CP6" s="179"/>
      <c r="CQ6" s="179"/>
      <c r="CR6" s="179"/>
      <c r="CS6" s="179"/>
    </row>
    <row r="7" spans="1:99" s="180" customFormat="1">
      <c r="A7" s="230" t="s">
        <v>1289</v>
      </c>
      <c r="B7" s="181"/>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c r="CG7" s="179"/>
      <c r="CH7" s="179"/>
      <c r="CI7" s="179"/>
      <c r="CJ7" s="179"/>
      <c r="CK7" s="179"/>
      <c r="CL7" s="179"/>
      <c r="CM7" s="179"/>
      <c r="CN7" s="179"/>
      <c r="CO7" s="179"/>
      <c r="CP7" s="179"/>
      <c r="CQ7" s="179"/>
      <c r="CR7" s="179"/>
      <c r="CS7" s="179"/>
    </row>
    <row r="8" spans="1:99" s="180" customFormat="1">
      <c r="A8" s="230"/>
      <c r="B8" s="181"/>
      <c r="C8" s="179"/>
      <c r="D8" s="179"/>
      <c r="E8" s="179"/>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c r="CP8" s="179"/>
      <c r="CQ8" s="179"/>
      <c r="CR8" s="179"/>
      <c r="CS8" s="179"/>
      <c r="CU8" s="688"/>
    </row>
    <row r="9" spans="1:99" s="180" customFormat="1">
      <c r="A9" s="230"/>
      <c r="B9" s="181"/>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c r="CP9" s="179"/>
      <c r="CQ9" s="179"/>
      <c r="CR9" s="179"/>
      <c r="CS9" s="179"/>
    </row>
    <row r="10" spans="1:99" s="180" customFormat="1" ht="15.75" customHeight="1">
      <c r="A10" s="404"/>
      <c r="B10" s="769" t="s">
        <v>1326</v>
      </c>
      <c r="C10" s="405" t="s">
        <v>404</v>
      </c>
      <c r="D10" s="406"/>
      <c r="E10" s="406"/>
      <c r="F10" s="406"/>
      <c r="G10" s="406"/>
      <c r="H10" s="406"/>
      <c r="I10" s="406"/>
      <c r="J10" s="406"/>
      <c r="K10" s="406"/>
      <c r="L10" s="406"/>
      <c r="M10" s="406"/>
      <c r="N10" s="406"/>
      <c r="O10" s="406"/>
      <c r="P10" s="406"/>
      <c r="Q10" s="406"/>
      <c r="R10" s="406"/>
      <c r="S10" s="406"/>
      <c r="T10" s="406"/>
      <c r="U10" s="407"/>
      <c r="V10" s="769" t="s">
        <v>1326</v>
      </c>
      <c r="W10" s="405" t="s">
        <v>409</v>
      </c>
      <c r="X10" s="406"/>
      <c r="Y10" s="406"/>
      <c r="Z10" s="406"/>
      <c r="AA10" s="406"/>
      <c r="AB10" s="406"/>
      <c r="AC10" s="406"/>
      <c r="AD10" s="406"/>
      <c r="AE10" s="406"/>
      <c r="AF10" s="406"/>
      <c r="AG10" s="406"/>
      <c r="AH10" s="406"/>
      <c r="AI10" s="406"/>
      <c r="AJ10" s="406"/>
      <c r="AK10" s="406"/>
      <c r="AL10" s="406"/>
      <c r="AM10" s="406"/>
      <c r="AN10" s="406"/>
      <c r="AO10" s="407"/>
      <c r="AP10" s="769" t="s">
        <v>1326</v>
      </c>
      <c r="AQ10" s="405" t="s">
        <v>411</v>
      </c>
      <c r="AR10" s="406"/>
      <c r="AS10" s="406"/>
      <c r="AT10" s="406"/>
      <c r="AU10" s="406"/>
      <c r="AV10" s="406"/>
      <c r="AW10" s="406"/>
      <c r="AX10" s="406"/>
      <c r="AY10" s="406"/>
      <c r="AZ10" s="406"/>
      <c r="BA10" s="406"/>
      <c r="BB10" s="406"/>
      <c r="BC10" s="406"/>
      <c r="BD10" s="406"/>
      <c r="BE10" s="406"/>
      <c r="BF10" s="406"/>
      <c r="BG10" s="406"/>
      <c r="BH10" s="406"/>
      <c r="BI10" s="407"/>
      <c r="BJ10" s="769" t="s">
        <v>1326</v>
      </c>
      <c r="BK10" s="405" t="s">
        <v>1327</v>
      </c>
      <c r="BL10" s="406"/>
      <c r="BM10" s="406"/>
      <c r="BN10" s="406"/>
      <c r="BO10" s="406"/>
      <c r="BP10" s="406"/>
      <c r="BQ10" s="406"/>
      <c r="BR10" s="406"/>
      <c r="BS10" s="406"/>
      <c r="BT10" s="406"/>
      <c r="BU10" s="406"/>
      <c r="BV10" s="406"/>
      <c r="BW10" s="406"/>
      <c r="BX10" s="406"/>
      <c r="BY10" s="406"/>
      <c r="BZ10" s="406"/>
      <c r="CA10" s="406"/>
      <c r="CB10" s="406"/>
      <c r="CC10" s="407"/>
      <c r="CD10" s="773" t="s">
        <v>1326</v>
      </c>
      <c r="CE10" s="646"/>
      <c r="CF10" s="647"/>
      <c r="CG10" s="647"/>
      <c r="CH10" s="648"/>
      <c r="CI10" s="774" t="s">
        <v>1328</v>
      </c>
      <c r="CJ10" s="646"/>
      <c r="CK10" s="647"/>
      <c r="CL10" s="647"/>
      <c r="CM10" s="648"/>
      <c r="CN10" s="774" t="s">
        <v>1328</v>
      </c>
      <c r="CO10" s="646"/>
      <c r="CP10" s="647"/>
      <c r="CQ10" s="647"/>
      <c r="CR10" s="648"/>
      <c r="CS10" s="774" t="s">
        <v>1328</v>
      </c>
    </row>
    <row r="11" spans="1:99" s="180" customFormat="1" ht="32.1" customHeight="1">
      <c r="A11" s="138" t="s">
        <v>1329</v>
      </c>
      <c r="B11" s="769"/>
      <c r="C11" s="405" t="s">
        <v>1330</v>
      </c>
      <c r="D11" s="406"/>
      <c r="E11" s="406"/>
      <c r="F11" s="406"/>
      <c r="G11" s="406"/>
      <c r="H11" s="406"/>
      <c r="I11" s="406"/>
      <c r="J11" s="406"/>
      <c r="K11" s="408"/>
      <c r="L11" s="409" t="s">
        <v>1331</v>
      </c>
      <c r="M11" s="406"/>
      <c r="N11" s="406"/>
      <c r="O11" s="406"/>
      <c r="P11" s="406"/>
      <c r="Q11" s="406"/>
      <c r="R11" s="406"/>
      <c r="S11" s="406"/>
      <c r="T11" s="406"/>
      <c r="U11" s="770" t="s">
        <v>1332</v>
      </c>
      <c r="V11" s="769"/>
      <c r="W11" s="406" t="s">
        <v>1330</v>
      </c>
      <c r="X11" s="406"/>
      <c r="Y11" s="406"/>
      <c r="Z11" s="406"/>
      <c r="AA11" s="406"/>
      <c r="AB11" s="406"/>
      <c r="AC11" s="406"/>
      <c r="AD11" s="406"/>
      <c r="AE11" s="408"/>
      <c r="AF11" s="409" t="s">
        <v>1331</v>
      </c>
      <c r="AG11" s="406"/>
      <c r="AH11" s="406"/>
      <c r="AI11" s="406"/>
      <c r="AJ11" s="406"/>
      <c r="AK11" s="406"/>
      <c r="AL11" s="406"/>
      <c r="AM11" s="406"/>
      <c r="AN11" s="406"/>
      <c r="AO11" s="770" t="s">
        <v>1332</v>
      </c>
      <c r="AP11" s="769"/>
      <c r="AQ11" s="405" t="s">
        <v>1330</v>
      </c>
      <c r="AR11" s="406"/>
      <c r="AS11" s="406"/>
      <c r="AT11" s="406"/>
      <c r="AU11" s="406"/>
      <c r="AV11" s="406"/>
      <c r="AW11" s="406"/>
      <c r="AX11" s="406"/>
      <c r="AY11" s="408"/>
      <c r="AZ11" s="409" t="s">
        <v>1331</v>
      </c>
      <c r="BA11" s="406"/>
      <c r="BB11" s="406"/>
      <c r="BC11" s="406"/>
      <c r="BD11" s="406"/>
      <c r="BE11" s="406"/>
      <c r="BF11" s="406"/>
      <c r="BG11" s="406"/>
      <c r="BH11" s="406"/>
      <c r="BI11" s="770" t="s">
        <v>1332</v>
      </c>
      <c r="BJ11" s="769"/>
      <c r="BK11" s="405" t="s">
        <v>1330</v>
      </c>
      <c r="BL11" s="406"/>
      <c r="BM11" s="406"/>
      <c r="BN11" s="406"/>
      <c r="BO11" s="406"/>
      <c r="BP11" s="406"/>
      <c r="BQ11" s="406"/>
      <c r="BR11" s="406"/>
      <c r="BS11" s="408"/>
      <c r="BT11" s="409" t="s">
        <v>1331</v>
      </c>
      <c r="BU11" s="406"/>
      <c r="BV11" s="406"/>
      <c r="BW11" s="406"/>
      <c r="BX11" s="406"/>
      <c r="BY11" s="406"/>
      <c r="BZ11" s="406"/>
      <c r="CA11" s="406"/>
      <c r="CB11" s="406"/>
      <c r="CC11" s="770" t="s">
        <v>1332</v>
      </c>
      <c r="CD11" s="769"/>
      <c r="CE11" s="645" t="s">
        <v>1330</v>
      </c>
      <c r="CF11" s="645"/>
      <c r="CG11" s="645"/>
      <c r="CH11" s="645"/>
      <c r="CI11" s="775"/>
      <c r="CJ11" s="645" t="s">
        <v>1331</v>
      </c>
      <c r="CK11" s="645"/>
      <c r="CL11" s="645"/>
      <c r="CM11" s="645"/>
      <c r="CN11" s="775"/>
      <c r="CO11" s="645" t="s">
        <v>1333</v>
      </c>
      <c r="CP11" s="645"/>
      <c r="CQ11" s="645"/>
      <c r="CR11" s="645"/>
      <c r="CS11" s="775"/>
    </row>
    <row r="12" spans="1:99" ht="12.75" customHeight="1">
      <c r="A12" s="103" t="s">
        <v>1334</v>
      </c>
      <c r="B12" s="769"/>
      <c r="C12" s="312" t="s">
        <v>1291</v>
      </c>
      <c r="D12" s="313"/>
      <c r="E12" s="312" t="s">
        <v>1298</v>
      </c>
      <c r="F12" s="313"/>
      <c r="G12" s="312" t="s">
        <v>1299</v>
      </c>
      <c r="H12" s="313"/>
      <c r="I12" s="312" t="s">
        <v>1300</v>
      </c>
      <c r="J12" s="313"/>
      <c r="K12" s="79"/>
      <c r="L12" s="314" t="s">
        <v>1291</v>
      </c>
      <c r="M12" s="313"/>
      <c r="N12" s="312" t="s">
        <v>1298</v>
      </c>
      <c r="O12" s="313"/>
      <c r="P12" s="312" t="s">
        <v>1299</v>
      </c>
      <c r="Q12" s="313"/>
      <c r="R12" s="312" t="s">
        <v>1300</v>
      </c>
      <c r="S12" s="313"/>
      <c r="T12" s="373"/>
      <c r="U12" s="771"/>
      <c r="V12" s="769"/>
      <c r="W12" s="315" t="s">
        <v>1291</v>
      </c>
      <c r="X12" s="313"/>
      <c r="Y12" s="312" t="s">
        <v>1298</v>
      </c>
      <c r="Z12" s="313"/>
      <c r="AA12" s="312" t="s">
        <v>1299</v>
      </c>
      <c r="AB12" s="313"/>
      <c r="AC12" s="312" t="s">
        <v>1300</v>
      </c>
      <c r="AD12" s="313"/>
      <c r="AE12" s="79"/>
      <c r="AF12" s="314" t="s">
        <v>1291</v>
      </c>
      <c r="AG12" s="313"/>
      <c r="AH12" s="312" t="s">
        <v>1298</v>
      </c>
      <c r="AI12" s="313"/>
      <c r="AJ12" s="312" t="s">
        <v>1299</v>
      </c>
      <c r="AK12" s="313"/>
      <c r="AL12" s="312" t="s">
        <v>1300</v>
      </c>
      <c r="AM12" s="313"/>
      <c r="AN12" s="373"/>
      <c r="AO12" s="771"/>
      <c r="AP12" s="769"/>
      <c r="AQ12" s="312" t="s">
        <v>1291</v>
      </c>
      <c r="AR12" s="313"/>
      <c r="AS12" s="312" t="s">
        <v>1298</v>
      </c>
      <c r="AT12" s="313"/>
      <c r="AU12" s="312" t="s">
        <v>1299</v>
      </c>
      <c r="AV12" s="313"/>
      <c r="AW12" s="312" t="s">
        <v>1300</v>
      </c>
      <c r="AX12" s="313"/>
      <c r="AY12" s="79"/>
      <c r="AZ12" s="314" t="s">
        <v>1291</v>
      </c>
      <c r="BA12" s="313"/>
      <c r="BB12" s="312" t="s">
        <v>1298</v>
      </c>
      <c r="BC12" s="313"/>
      <c r="BD12" s="312" t="s">
        <v>1299</v>
      </c>
      <c r="BE12" s="313"/>
      <c r="BF12" s="312" t="s">
        <v>1300</v>
      </c>
      <c r="BG12" s="313"/>
      <c r="BH12" s="373"/>
      <c r="BI12" s="771"/>
      <c r="BJ12" s="769"/>
      <c r="BK12" s="312" t="s">
        <v>1291</v>
      </c>
      <c r="BL12" s="313"/>
      <c r="BM12" s="312" t="s">
        <v>1298</v>
      </c>
      <c r="BN12" s="313"/>
      <c r="BO12" s="312" t="s">
        <v>1299</v>
      </c>
      <c r="BP12" s="313"/>
      <c r="BQ12" s="312" t="s">
        <v>1300</v>
      </c>
      <c r="BR12" s="313"/>
      <c r="BS12" s="79"/>
      <c r="BT12" s="314" t="s">
        <v>1291</v>
      </c>
      <c r="BU12" s="313"/>
      <c r="BV12" s="312" t="s">
        <v>1298</v>
      </c>
      <c r="BW12" s="313"/>
      <c r="BX12" s="312" t="s">
        <v>1299</v>
      </c>
      <c r="BY12" s="313"/>
      <c r="BZ12" s="312" t="s">
        <v>1300</v>
      </c>
      <c r="CA12" s="313"/>
      <c r="CB12" s="373"/>
      <c r="CC12" s="771"/>
      <c r="CD12" s="769"/>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99" s="374" customFormat="1" ht="46.5" customHeight="1">
      <c r="A13" s="410"/>
      <c r="B13" s="769"/>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2"/>
      <c r="V13" s="769"/>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2"/>
      <c r="AP13" s="769"/>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72"/>
      <c r="BJ13" s="769"/>
      <c r="BK13" s="612"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72"/>
      <c r="CD13" s="769"/>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row>
    <row r="14" spans="1:99" ht="15.75" customHeight="1">
      <c r="A14" s="16" t="s">
        <v>1293</v>
      </c>
      <c r="B14" s="140"/>
      <c r="C14" s="642">
        <f>SUM('Schedule 3B_Income_Eastern:Schedule 3D_Income_The Cape'!C14)</f>
        <v>165</v>
      </c>
      <c r="D14" s="642">
        <f>SUM('Schedule 3B_Income_Eastern:Schedule 3D_Income_The Cape'!D14)</f>
        <v>1290</v>
      </c>
      <c r="E14" s="642">
        <f>SUM('Schedule 3B_Income_Eastern:Schedule 3D_Income_The Cape'!E14)</f>
        <v>243</v>
      </c>
      <c r="F14" s="642">
        <f>SUM('Schedule 3B_Income_Eastern:Schedule 3D_Income_The Cape'!F14)</f>
        <v>1776</v>
      </c>
      <c r="G14" s="642">
        <f>SUM('Schedule 3B_Income_Eastern:Schedule 3D_Income_The Cape'!G14)</f>
        <v>294</v>
      </c>
      <c r="H14" s="642">
        <f>SUM('Schedule 3B_Income_Eastern:Schedule 3D_Income_The Cape'!H14)</f>
        <v>1818</v>
      </c>
      <c r="I14" s="642">
        <f>SUM('Schedule 3B_Income_Eastern:Schedule 3D_Income_The Cape'!I14)</f>
        <v>270</v>
      </c>
      <c r="J14" s="642">
        <f>SUM('Schedule 3B_Income_Eastern:Schedule 3D_Income_The Cape'!J14)</f>
        <v>1764</v>
      </c>
      <c r="K14" s="642">
        <f>SUM('Schedule 3B_Income_Eastern:Schedule 3D_Income_The Cape'!K14)</f>
        <v>7620</v>
      </c>
      <c r="L14" s="643">
        <f>SUM('Schedule 3B_Income_Eastern:Schedule 3D_Income_The Cape'!L14)</f>
        <v>165</v>
      </c>
      <c r="M14" s="642">
        <f>SUM('Schedule 3B_Income_Eastern:Schedule 3D_Income_The Cape'!M14)</f>
        <v>1290</v>
      </c>
      <c r="N14" s="642">
        <f>SUM('Schedule 3B_Income_Eastern:Schedule 3D_Income_The Cape'!N14)</f>
        <v>243</v>
      </c>
      <c r="O14" s="642">
        <f>SUM('Schedule 3B_Income_Eastern:Schedule 3D_Income_The Cape'!O14)</f>
        <v>1776</v>
      </c>
      <c r="P14" s="642">
        <f>SUM('Schedule 3B_Income_Eastern:Schedule 3D_Income_The Cape'!P14)</f>
        <v>294</v>
      </c>
      <c r="Q14" s="642">
        <f>SUM('Schedule 3B_Income_Eastern:Schedule 3D_Income_The Cape'!Q14)</f>
        <v>1818</v>
      </c>
      <c r="R14" s="642">
        <f>SUM('Schedule 3B_Income_Eastern:Schedule 3D_Income_The Cape'!R14)</f>
        <v>270</v>
      </c>
      <c r="S14" s="642">
        <f>SUM('Schedule 3B_Income_Eastern:Schedule 3D_Income_The Cape'!S14)</f>
        <v>1764</v>
      </c>
      <c r="T14" s="642">
        <f>SUM('Schedule 3B_Income_Eastern:Schedule 3D_Income_The Cape'!T14)</f>
        <v>7620</v>
      </c>
      <c r="U14" s="644">
        <f>SUM('Schedule 3B_Income_Eastern:Schedule 3D_Income_The Cape'!U14)</f>
        <v>7620</v>
      </c>
      <c r="V14" s="641"/>
      <c r="W14" s="642">
        <f>SUM('Schedule 3B_Income_Eastern:Schedule 3D_Income_The Cape'!W14)</f>
        <v>0</v>
      </c>
      <c r="X14" s="642">
        <f>SUM('Schedule 3B_Income_Eastern:Schedule 3D_Income_The Cape'!X14)</f>
        <v>372</v>
      </c>
      <c r="Y14" s="642">
        <f>SUM('Schedule 3B_Income_Eastern:Schedule 3D_Income_The Cape'!Y14)</f>
        <v>6</v>
      </c>
      <c r="Z14" s="642">
        <f>SUM('Schedule 3B_Income_Eastern:Schedule 3D_Income_The Cape'!Z14)</f>
        <v>276</v>
      </c>
      <c r="AA14" s="642">
        <f>SUM('Schedule 3B_Income_Eastern:Schedule 3D_Income_The Cape'!AA14)</f>
        <v>24</v>
      </c>
      <c r="AB14" s="642">
        <f>SUM('Schedule 3B_Income_Eastern:Schedule 3D_Income_The Cape'!AB14)</f>
        <v>273</v>
      </c>
      <c r="AC14" s="642">
        <f>SUM('Schedule 3B_Income_Eastern:Schedule 3D_Income_The Cape'!AC14)</f>
        <v>27</v>
      </c>
      <c r="AD14" s="642">
        <f>SUM('Schedule 3B_Income_Eastern:Schedule 3D_Income_The Cape'!AD14)</f>
        <v>282</v>
      </c>
      <c r="AE14" s="642">
        <f>SUM('Schedule 3B_Income_Eastern:Schedule 3D_Income_The Cape'!AE14)</f>
        <v>1260</v>
      </c>
      <c r="AF14" s="643">
        <f>SUM('Schedule 3B_Income_Eastern:Schedule 3D_Income_The Cape'!AF14)</f>
        <v>0</v>
      </c>
      <c r="AG14" s="642">
        <f>SUM('Schedule 3B_Income_Eastern:Schedule 3D_Income_The Cape'!AG14)</f>
        <v>372</v>
      </c>
      <c r="AH14" s="642">
        <f>SUM('Schedule 3B_Income_Eastern:Schedule 3D_Income_The Cape'!AH14)</f>
        <v>6</v>
      </c>
      <c r="AI14" s="642">
        <f>SUM('Schedule 3B_Income_Eastern:Schedule 3D_Income_The Cape'!AI14)</f>
        <v>276</v>
      </c>
      <c r="AJ14" s="642">
        <f>SUM('Schedule 3B_Income_Eastern:Schedule 3D_Income_The Cape'!AJ14)</f>
        <v>24</v>
      </c>
      <c r="AK14" s="642">
        <f>SUM('Schedule 3B_Income_Eastern:Schedule 3D_Income_The Cape'!AK14)</f>
        <v>273</v>
      </c>
      <c r="AL14" s="642">
        <f>SUM('Schedule 3B_Income_Eastern:Schedule 3D_Income_The Cape'!AL14)</f>
        <v>27</v>
      </c>
      <c r="AM14" s="642">
        <f>SUM('Schedule 3B_Income_Eastern:Schedule 3D_Income_The Cape'!AM14)</f>
        <v>282</v>
      </c>
      <c r="AN14" s="642">
        <f>SUM('Schedule 3B_Income_Eastern:Schedule 3D_Income_The Cape'!AN14)</f>
        <v>1260</v>
      </c>
      <c r="AO14" s="644">
        <f>SUM('Schedule 3B_Income_Eastern:Schedule 3D_Income_The Cape'!AO14)</f>
        <v>1260</v>
      </c>
      <c r="AP14" s="641"/>
      <c r="AQ14" s="642">
        <f>SUM('Schedule 3B_Income_Eastern:Schedule 3D_Income_The Cape'!AQ14)</f>
        <v>894</v>
      </c>
      <c r="AR14" s="642">
        <f>SUM('Schedule 3B_Income_Eastern:Schedule 3D_Income_The Cape'!AR14)</f>
        <v>3249</v>
      </c>
      <c r="AS14" s="642">
        <f>SUM('Schedule 3B_Income_Eastern:Schedule 3D_Income_The Cape'!AS14)</f>
        <v>903</v>
      </c>
      <c r="AT14" s="642">
        <f>SUM('Schedule 3B_Income_Eastern:Schedule 3D_Income_The Cape'!AT14)</f>
        <v>3177</v>
      </c>
      <c r="AU14" s="642">
        <f>SUM('Schedule 3B_Income_Eastern:Schedule 3D_Income_The Cape'!AU14)</f>
        <v>990</v>
      </c>
      <c r="AV14" s="642">
        <f>SUM('Schedule 3B_Income_Eastern:Schedule 3D_Income_The Cape'!AV14)</f>
        <v>3627</v>
      </c>
      <c r="AW14" s="642">
        <f>SUM('Schedule 3B_Income_Eastern:Schedule 3D_Income_The Cape'!AW14)</f>
        <v>1110</v>
      </c>
      <c r="AX14" s="642">
        <f>SUM('Schedule 3B_Income_Eastern:Schedule 3D_Income_The Cape'!AX14)</f>
        <v>4161</v>
      </c>
      <c r="AY14" s="642">
        <f>SUM('Schedule 3B_Income_Eastern:Schedule 3D_Income_The Cape'!AY14)</f>
        <v>18111</v>
      </c>
      <c r="AZ14" s="643">
        <f>SUM('Schedule 3B_Income_Eastern:Schedule 3D_Income_The Cape'!AZ14)</f>
        <v>894</v>
      </c>
      <c r="BA14" s="642">
        <f>SUM('Schedule 3B_Income_Eastern:Schedule 3D_Income_The Cape'!BA14)</f>
        <v>3249</v>
      </c>
      <c r="BB14" s="642">
        <f>SUM('Schedule 3B_Income_Eastern:Schedule 3D_Income_The Cape'!BB14)</f>
        <v>903</v>
      </c>
      <c r="BC14" s="642">
        <f>SUM('Schedule 3B_Income_Eastern:Schedule 3D_Income_The Cape'!BC14)</f>
        <v>3177</v>
      </c>
      <c r="BD14" s="642">
        <f>SUM('Schedule 3B_Income_Eastern:Schedule 3D_Income_The Cape'!BD14)</f>
        <v>990</v>
      </c>
      <c r="BE14" s="642">
        <f>SUM('Schedule 3B_Income_Eastern:Schedule 3D_Income_The Cape'!BE14)</f>
        <v>3627</v>
      </c>
      <c r="BF14" s="642">
        <f>SUM('Schedule 3B_Income_Eastern:Schedule 3D_Income_The Cape'!BF14)</f>
        <v>1110</v>
      </c>
      <c r="BG14" s="642">
        <f>SUM('Schedule 3B_Income_Eastern:Schedule 3D_Income_The Cape'!BG14)</f>
        <v>4161</v>
      </c>
      <c r="BH14" s="642">
        <f>SUM('Schedule 3B_Income_Eastern:Schedule 3D_Income_The Cape'!BH14)</f>
        <v>18111</v>
      </c>
      <c r="BI14" s="644">
        <f>SUM('Schedule 3B_Income_Eastern:Schedule 3D_Income_The Cape'!BI14)</f>
        <v>18111</v>
      </c>
      <c r="BJ14" s="641"/>
      <c r="BK14" s="642">
        <f>SUM('Schedule 3B_Income_Eastern:Schedule 3D_Income_The Cape'!BK14)</f>
        <v>9</v>
      </c>
      <c r="BL14" s="642">
        <f>SUM('Schedule 3B_Income_Eastern:Schedule 3D_Income_The Cape'!BL14)</f>
        <v>156</v>
      </c>
      <c r="BM14" s="642">
        <f>SUM('Schedule 3B_Income_Eastern:Schedule 3D_Income_The Cape'!BM14)</f>
        <v>9</v>
      </c>
      <c r="BN14" s="642">
        <f>SUM('Schedule 3B_Income_Eastern:Schedule 3D_Income_The Cape'!BN14)</f>
        <v>129</v>
      </c>
      <c r="BO14" s="642">
        <f>SUM('Schedule 3B_Income_Eastern:Schedule 3D_Income_The Cape'!BO14)</f>
        <v>6</v>
      </c>
      <c r="BP14" s="642">
        <f>SUM('Schedule 3B_Income_Eastern:Schedule 3D_Income_The Cape'!BP14)</f>
        <v>147</v>
      </c>
      <c r="BQ14" s="642">
        <f>SUM('Schedule 3B_Income_Eastern:Schedule 3D_Income_The Cape'!BQ14)</f>
        <v>0</v>
      </c>
      <c r="BR14" s="642">
        <f>SUM('Schedule 3B_Income_Eastern:Schedule 3D_Income_The Cape'!BR14)</f>
        <v>129</v>
      </c>
      <c r="BS14" s="642">
        <f>SUM('Schedule 3B_Income_Eastern:Schedule 3D_Income_The Cape'!BS14)</f>
        <v>585</v>
      </c>
      <c r="BT14" s="643">
        <f>SUM('Schedule 3B_Income_Eastern:Schedule 3D_Income_The Cape'!BT14)</f>
        <v>9</v>
      </c>
      <c r="BU14" s="642">
        <f>SUM('Schedule 3B_Income_Eastern:Schedule 3D_Income_The Cape'!BU14)</f>
        <v>156</v>
      </c>
      <c r="BV14" s="642">
        <f>SUM('Schedule 3B_Income_Eastern:Schedule 3D_Income_The Cape'!BV14)</f>
        <v>9</v>
      </c>
      <c r="BW14" s="642">
        <f>SUM('Schedule 3B_Income_Eastern:Schedule 3D_Income_The Cape'!BW14)</f>
        <v>129</v>
      </c>
      <c r="BX14" s="642">
        <f>SUM('Schedule 3B_Income_Eastern:Schedule 3D_Income_The Cape'!BX14)</f>
        <v>6</v>
      </c>
      <c r="BY14" s="642">
        <f>SUM('Schedule 3B_Income_Eastern:Schedule 3D_Income_The Cape'!BY14)</f>
        <v>147</v>
      </c>
      <c r="BZ14" s="642">
        <f>SUM('Schedule 3B_Income_Eastern:Schedule 3D_Income_The Cape'!BZ14)</f>
        <v>0</v>
      </c>
      <c r="CA14" s="642">
        <f>SUM('Schedule 3B_Income_Eastern:Schedule 3D_Income_The Cape'!CA14)</f>
        <v>129</v>
      </c>
      <c r="CB14" s="642">
        <f>SUM('Schedule 3B_Income_Eastern:Schedule 3D_Income_The Cape'!CB14)</f>
        <v>585</v>
      </c>
      <c r="CC14" s="644">
        <f>SUM('Schedule 3B_Income_Eastern:Schedule 3D_Income_The Cape'!CC14)</f>
        <v>585</v>
      </c>
      <c r="CD14" s="641"/>
      <c r="CE14" s="637">
        <f>+C14+D14+W14+X14+AQ14+AR14+BK14+BL14</f>
        <v>6135</v>
      </c>
      <c r="CF14" s="637">
        <f>+E14+F14+Y14+Z14+AS14+AT14+BM14+BN14</f>
        <v>6519</v>
      </c>
      <c r="CG14" s="637">
        <f>+G14+H14+AA14+AB14+AU14+AV14+BO14+BP14</f>
        <v>7179</v>
      </c>
      <c r="CH14" s="637">
        <f>+I14+J14+AC14+AD14+AW14+AX14+BQ14+BR14</f>
        <v>7743</v>
      </c>
      <c r="CI14" s="638">
        <f>SUM(K14,AE14,AY14,BS14)</f>
        <v>27576</v>
      </c>
      <c r="CJ14" s="637">
        <f>L14+M14+AF14+AG14+AZ14+BA14+BT14+BU14</f>
        <v>6135</v>
      </c>
      <c r="CK14" s="637">
        <f>N14+O14+AH14+AI14+BB14+BC14+BV14+BW14</f>
        <v>6519</v>
      </c>
      <c r="CL14" s="637">
        <f>P14+Q14+AJ14+AK14+BD14+BE14+BX14+BY14</f>
        <v>7179</v>
      </c>
      <c r="CM14" s="637">
        <f>+R14+S14+AL14+AM14+BF14+BG14+BZ14+CA14</f>
        <v>7743</v>
      </c>
      <c r="CN14" s="638">
        <f>SUM(T14,AN14,BH14,CB14)</f>
        <v>27576</v>
      </c>
      <c r="CO14" s="637">
        <f>+C14+D14+W14+X14+AQ14+AR14+BK14+BL14</f>
        <v>6135</v>
      </c>
      <c r="CP14" s="637">
        <f>+E14+F14+Y14+Z14+AS14+AT14+BM14+BN14</f>
        <v>6519</v>
      </c>
      <c r="CQ14" s="637">
        <f>+G14+H14+AA14+AB14+AU14+AV14+BO14+BP14</f>
        <v>7179</v>
      </c>
      <c r="CR14" s="637">
        <f>+I14+J14+AC14+AD14+AW14+AX14+BQ14+BR14</f>
        <v>7743</v>
      </c>
      <c r="CS14" s="638">
        <f t="shared" ref="CS14" si="0">SUM(CC14,BI14,AO14,U14)</f>
        <v>27576</v>
      </c>
    </row>
    <row r="15" spans="1:99"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7"/>
      <c r="V15" s="193"/>
      <c r="W15" s="104"/>
      <c r="X15" s="104"/>
      <c r="Y15" s="104"/>
      <c r="Z15" s="104"/>
      <c r="AA15" s="104"/>
      <c r="AB15" s="104"/>
      <c r="AC15" s="104"/>
      <c r="AD15" s="104"/>
      <c r="AE15" s="375"/>
      <c r="AF15" s="376"/>
      <c r="AG15" s="104"/>
      <c r="AH15" s="104"/>
      <c r="AI15" s="104"/>
      <c r="AJ15" s="104"/>
      <c r="AK15" s="104"/>
      <c r="AL15" s="104"/>
      <c r="AM15" s="104"/>
      <c r="AN15" s="104"/>
      <c r="AO15" s="377"/>
      <c r="AP15" s="193"/>
      <c r="AQ15" s="104"/>
      <c r="AR15" s="104"/>
      <c r="AS15" s="104"/>
      <c r="AT15" s="104"/>
      <c r="AU15" s="104"/>
      <c r="AV15" s="104"/>
      <c r="AW15" s="104"/>
      <c r="AX15" s="104"/>
      <c r="AY15" s="375"/>
      <c r="AZ15" s="376"/>
      <c r="BA15" s="104"/>
      <c r="BB15" s="104"/>
      <c r="BC15" s="104"/>
      <c r="BD15" s="104"/>
      <c r="BE15" s="104"/>
      <c r="BF15" s="104"/>
      <c r="BG15" s="104"/>
      <c r="BH15" s="104"/>
      <c r="BI15" s="377"/>
      <c r="BJ15" s="193"/>
      <c r="BK15" s="178"/>
      <c r="BL15" s="178"/>
      <c r="BM15" s="178"/>
      <c r="BN15" s="178"/>
      <c r="BO15" s="178"/>
      <c r="BP15" s="178"/>
      <c r="BQ15" s="104"/>
      <c r="BR15" s="104"/>
      <c r="BS15" s="375"/>
      <c r="BT15" s="376"/>
      <c r="BU15" s="104"/>
      <c r="BV15" s="104"/>
      <c r="BW15" s="104"/>
      <c r="BX15" s="104"/>
      <c r="BY15" s="104"/>
      <c r="BZ15" s="104"/>
      <c r="CA15" s="104"/>
      <c r="CB15" s="104"/>
      <c r="CC15" s="377"/>
      <c r="CD15" s="193"/>
      <c r="CE15" s="199"/>
      <c r="CF15" s="199"/>
      <c r="CG15" s="199"/>
      <c r="CH15" s="199"/>
      <c r="CI15" s="193"/>
      <c r="CJ15" s="199"/>
      <c r="CK15" s="199"/>
      <c r="CL15" s="199"/>
      <c r="CM15" s="199"/>
      <c r="CN15" s="193"/>
      <c r="CO15" s="199"/>
      <c r="CP15" s="199"/>
      <c r="CQ15" s="199"/>
      <c r="CR15" s="199"/>
      <c r="CS15" s="193"/>
    </row>
    <row r="16" spans="1:99" ht="15.75" customHeight="1">
      <c r="A16" s="135" t="s">
        <v>171</v>
      </c>
      <c r="B16" s="300">
        <v>1</v>
      </c>
      <c r="C16" s="585">
        <f>SUM('Schedule 3B_Income_Eastern:Schedule 3D_Income_The Cape'!C16)</f>
        <v>1307175.47000003</v>
      </c>
      <c r="D16" s="585">
        <f>SUM('Schedule 3B_Income_Eastern:Schedule 3D_Income_The Cape'!D16)</f>
        <v>2746298.3100002413</v>
      </c>
      <c r="E16" s="585">
        <f>SUM('Schedule 3B_Income_Eastern:Schedule 3D_Income_The Cape'!E16)</f>
        <v>1353484.5800000299</v>
      </c>
      <c r="F16" s="585">
        <f>SUM('Schedule 3B_Income_Eastern:Schedule 3D_Income_The Cape'!F16)</f>
        <v>2837490.8200002611</v>
      </c>
      <c r="G16" s="585">
        <f>SUM('Schedule 3B_Income_Eastern:Schedule 3D_Income_The Cape'!G16)</f>
        <v>1406455.43000004</v>
      </c>
      <c r="H16" s="585">
        <f>SUM('Schedule 3B_Income_Eastern:Schedule 3D_Income_The Cape'!H16)</f>
        <v>2976550.2100002831</v>
      </c>
      <c r="I16" s="585">
        <f>SUM('Schedule 3B_Income_Eastern:Schedule 3D_Income_The Cape'!I16)</f>
        <v>1472297.3000000401</v>
      </c>
      <c r="J16" s="585">
        <f>SUM('Schedule 3B_Income_Eastern:Schedule 3D_Income_The Cape'!J16)</f>
        <v>3016804.8000002834</v>
      </c>
      <c r="K16" s="586">
        <f t="shared" ref="K16:K23" si="1">SUM(C16:J16)</f>
        <v>17116556.920001209</v>
      </c>
      <c r="L16" s="587">
        <f>SUM('Schedule 3B_Income_Eastern:Schedule 3D_Income_The Cape'!L16)</f>
        <v>0</v>
      </c>
      <c r="M16" s="585">
        <f>SUM('Schedule 3B_Income_Eastern:Schedule 3D_Income_The Cape'!M16)</f>
        <v>0</v>
      </c>
      <c r="N16" s="585">
        <f>SUM('Schedule 3B_Income_Eastern:Schedule 3D_Income_The Cape'!N16)</f>
        <v>0</v>
      </c>
      <c r="O16" s="585">
        <f>SUM('Schedule 3B_Income_Eastern:Schedule 3D_Income_The Cape'!O16)</f>
        <v>0</v>
      </c>
      <c r="P16" s="585">
        <f>SUM('Schedule 3B_Income_Eastern:Schedule 3D_Income_The Cape'!P16)</f>
        <v>0</v>
      </c>
      <c r="Q16" s="585">
        <f>SUM('Schedule 3B_Income_Eastern:Schedule 3D_Income_The Cape'!Q16)</f>
        <v>0</v>
      </c>
      <c r="R16" s="585">
        <f>SUM('Schedule 3B_Income_Eastern:Schedule 3D_Income_The Cape'!R16)</f>
        <v>0</v>
      </c>
      <c r="S16" s="585">
        <f>SUM('Schedule 3B_Income_Eastern:Schedule 3D_Income_The Cape'!S16)</f>
        <v>0</v>
      </c>
      <c r="T16" s="588">
        <f t="shared" ref="T16:T23" si="2">SUM(L16:S16)</f>
        <v>0</v>
      </c>
      <c r="U16" s="589">
        <f t="shared" ref="U16:U23" si="3">SUM(K16,T16)</f>
        <v>17116556.920001209</v>
      </c>
      <c r="V16" s="300">
        <v>1</v>
      </c>
      <c r="W16" s="585">
        <f>SUM('Schedule 3B_Income_Eastern:Schedule 3D_Income_The Cape'!W16)</f>
        <v>211537.86</v>
      </c>
      <c r="X16" s="585">
        <f>SUM('Schedule 3B_Income_Eastern:Schedule 3D_Income_The Cape'!X16)</f>
        <v>1419351.3100000189</v>
      </c>
      <c r="Y16" s="585">
        <f>SUM('Schedule 3B_Income_Eastern:Schedule 3D_Income_The Cape'!Y16)</f>
        <v>209881.93</v>
      </c>
      <c r="Z16" s="585">
        <f>SUM('Schedule 3B_Income_Eastern:Schedule 3D_Income_The Cape'!Z16)</f>
        <v>1356663.7700000182</v>
      </c>
      <c r="AA16" s="585">
        <f>SUM('Schedule 3B_Income_Eastern:Schedule 3D_Income_The Cape'!AA16)</f>
        <v>208417.22999999998</v>
      </c>
      <c r="AB16" s="585">
        <f>SUM('Schedule 3B_Income_Eastern:Schedule 3D_Income_The Cape'!AB16)</f>
        <v>1366160.390000019</v>
      </c>
      <c r="AC16" s="585">
        <f>SUM('Schedule 3B_Income_Eastern:Schedule 3D_Income_The Cape'!AC16)</f>
        <v>234610.53</v>
      </c>
      <c r="AD16" s="585">
        <f>SUM('Schedule 3B_Income_Eastern:Schedule 3D_Income_The Cape'!AD16)</f>
        <v>1416501.0300000201</v>
      </c>
      <c r="AE16" s="586">
        <f t="shared" ref="AE16:AE23" si="4">SUM(W16:AD16)</f>
        <v>6423124.0500000762</v>
      </c>
      <c r="AF16" s="587">
        <f>SUM('Schedule 3B_Income_Eastern:Schedule 3D_Income_The Cape'!AF16)</f>
        <v>0</v>
      </c>
      <c r="AG16" s="585">
        <f>SUM('Schedule 3B_Income_Eastern:Schedule 3D_Income_The Cape'!AG16)</f>
        <v>0</v>
      </c>
      <c r="AH16" s="585">
        <f>SUM('Schedule 3B_Income_Eastern:Schedule 3D_Income_The Cape'!AH16)</f>
        <v>0</v>
      </c>
      <c r="AI16" s="585">
        <f>SUM('Schedule 3B_Income_Eastern:Schedule 3D_Income_The Cape'!AI16)</f>
        <v>0</v>
      </c>
      <c r="AJ16" s="585">
        <f>SUM('Schedule 3B_Income_Eastern:Schedule 3D_Income_The Cape'!AJ16)</f>
        <v>0</v>
      </c>
      <c r="AK16" s="585">
        <f>SUM('Schedule 3B_Income_Eastern:Schedule 3D_Income_The Cape'!AK16)</f>
        <v>0</v>
      </c>
      <c r="AL16" s="585">
        <f>SUM('Schedule 3B_Income_Eastern:Schedule 3D_Income_The Cape'!AL16)</f>
        <v>0</v>
      </c>
      <c r="AM16" s="585">
        <f>SUM('Schedule 3B_Income_Eastern:Schedule 3D_Income_The Cape'!AM16)</f>
        <v>0</v>
      </c>
      <c r="AN16" s="588">
        <f t="shared" ref="AN16:AN23" si="5">SUM(AF16:AM16)</f>
        <v>0</v>
      </c>
      <c r="AO16" s="589">
        <f t="shared" ref="AO16:AO23" si="6">SUM(AE16,AN16)</f>
        <v>6423124.0500000762</v>
      </c>
      <c r="AP16" s="300">
        <v>1</v>
      </c>
      <c r="AQ16" s="585">
        <f>SUM('Schedule 3B_Income_Eastern:Schedule 3D_Income_The Cape'!AQ16)</f>
        <v>23418528.329998188</v>
      </c>
      <c r="AR16" s="585">
        <f>SUM('Schedule 3B_Income_Eastern:Schedule 3D_Income_The Cape'!AR16)</f>
        <v>55292293.500006221</v>
      </c>
      <c r="AS16" s="585">
        <f>SUM('Schedule 3B_Income_Eastern:Schedule 3D_Income_The Cape'!AS16)</f>
        <v>25063089.909998</v>
      </c>
      <c r="AT16" s="585">
        <f>SUM('Schedule 3B_Income_Eastern:Schedule 3D_Income_The Cape'!AT16)</f>
        <v>58185271.930009231</v>
      </c>
      <c r="AU16" s="585">
        <f>SUM('Schedule 3B_Income_Eastern:Schedule 3D_Income_The Cape'!AU16)</f>
        <v>26431821.770000603</v>
      </c>
      <c r="AV16" s="585">
        <f>SUM('Schedule 3B_Income_Eastern:Schedule 3D_Income_The Cape'!AV16)</f>
        <v>61460590.620016634</v>
      </c>
      <c r="AW16" s="585">
        <f>SUM('Schedule 3B_Income_Eastern:Schedule 3D_Income_The Cape'!AW16)</f>
        <v>28628666.670001198</v>
      </c>
      <c r="AX16" s="585">
        <f>SUM('Schedule 3B_Income_Eastern:Schedule 3D_Income_The Cape'!AX16)</f>
        <v>64215480.53001941</v>
      </c>
      <c r="AY16" s="586">
        <f t="shared" ref="AY16:AY23" si="7">SUM(AQ16:AX16)</f>
        <v>342695743.26004946</v>
      </c>
      <c r="AZ16" s="587">
        <f>SUM('Schedule 3B_Income_Eastern:Schedule 3D_Income_The Cape'!AZ16)</f>
        <v>0</v>
      </c>
      <c r="BA16" s="585">
        <f>SUM('Schedule 3B_Income_Eastern:Schedule 3D_Income_The Cape'!BA16)</f>
        <v>0</v>
      </c>
      <c r="BB16" s="585">
        <f>SUM('Schedule 3B_Income_Eastern:Schedule 3D_Income_The Cape'!BB16)</f>
        <v>0</v>
      </c>
      <c r="BC16" s="585">
        <f>SUM('Schedule 3B_Income_Eastern:Schedule 3D_Income_The Cape'!BC16)</f>
        <v>0</v>
      </c>
      <c r="BD16" s="585">
        <f>SUM('Schedule 3B_Income_Eastern:Schedule 3D_Income_The Cape'!BD16)</f>
        <v>0</v>
      </c>
      <c r="BE16" s="585">
        <f>SUM('Schedule 3B_Income_Eastern:Schedule 3D_Income_The Cape'!BE16)</f>
        <v>0</v>
      </c>
      <c r="BF16" s="585">
        <f>SUM('Schedule 3B_Income_Eastern:Schedule 3D_Income_The Cape'!BF16)</f>
        <v>0</v>
      </c>
      <c r="BG16" s="585">
        <f>SUM('Schedule 3B_Income_Eastern:Schedule 3D_Income_The Cape'!BG16)</f>
        <v>0</v>
      </c>
      <c r="BH16" s="588">
        <f t="shared" ref="BH16:BH23" si="8">SUM(AZ16:BG16)</f>
        <v>0</v>
      </c>
      <c r="BI16" s="589">
        <f t="shared" ref="BI16:BI23" si="9">SUM(AY16,BH16)</f>
        <v>342695743.26004946</v>
      </c>
      <c r="BJ16" s="300">
        <v>1</v>
      </c>
      <c r="BK16" s="585">
        <f>SUM('Schedule 3B_Income_Eastern:Schedule 3D_Income_The Cape'!BK16)</f>
        <v>528941.00000000012</v>
      </c>
      <c r="BL16" s="585">
        <f>SUM('Schedule 3B_Income_Eastern:Schedule 3D_Income_The Cape'!BL16)</f>
        <v>5770205.2399999993</v>
      </c>
      <c r="BM16" s="585">
        <f>SUM('Schedule 3B_Income_Eastern:Schedule 3D_Income_The Cape'!BM16)</f>
        <v>504604.16000000009</v>
      </c>
      <c r="BN16" s="585">
        <f>SUM('Schedule 3B_Income_Eastern:Schedule 3D_Income_The Cape'!BN16)</f>
        <v>5554823.3200000003</v>
      </c>
      <c r="BO16" s="585">
        <f>SUM('Schedule 3B_Income_Eastern:Schedule 3D_Income_The Cape'!BO16)</f>
        <v>479600.67000000004</v>
      </c>
      <c r="BP16" s="585">
        <f>SUM('Schedule 3B_Income_Eastern:Schedule 3D_Income_The Cape'!BP16)</f>
        <v>5332706.8100000015</v>
      </c>
      <c r="BQ16" s="585">
        <f>SUM('Schedule 3B_Income_Eastern:Schedule 3D_Income_The Cape'!BQ16)</f>
        <v>531472.94000000006</v>
      </c>
      <c r="BR16" s="585">
        <f>SUM('Schedule 3B_Income_Eastern:Schedule 3D_Income_The Cape'!BR16)</f>
        <v>5568984.9300000006</v>
      </c>
      <c r="BS16" s="586">
        <f t="shared" ref="BS16:BS23" si="10">SUM(BK16:BR16)</f>
        <v>24271339.07</v>
      </c>
      <c r="BT16" s="587">
        <f>SUM('Schedule 3B_Income_Eastern:Schedule 3D_Income_The Cape'!BT16)</f>
        <v>0</v>
      </c>
      <c r="BU16" s="585">
        <f>SUM('Schedule 3B_Income_Eastern:Schedule 3D_Income_The Cape'!BU16)</f>
        <v>0</v>
      </c>
      <c r="BV16" s="585">
        <f>SUM('Schedule 3B_Income_Eastern:Schedule 3D_Income_The Cape'!BV16)</f>
        <v>0</v>
      </c>
      <c r="BW16" s="585">
        <f>SUM('Schedule 3B_Income_Eastern:Schedule 3D_Income_The Cape'!BW16)</f>
        <v>0</v>
      </c>
      <c r="BX16" s="585">
        <f>SUM('Schedule 3B_Income_Eastern:Schedule 3D_Income_The Cape'!BX16)</f>
        <v>0</v>
      </c>
      <c r="BY16" s="585">
        <f>SUM('Schedule 3B_Income_Eastern:Schedule 3D_Income_The Cape'!BY16)</f>
        <v>0</v>
      </c>
      <c r="BZ16" s="585">
        <f>SUM('Schedule 3B_Income_Eastern:Schedule 3D_Income_The Cape'!BZ16)</f>
        <v>0</v>
      </c>
      <c r="CA16" s="585">
        <f>SUM('Schedule 3B_Income_Eastern:Schedule 3D_Income_The Cape'!CA16)</f>
        <v>0</v>
      </c>
      <c r="CB16" s="588">
        <f t="shared" ref="CB16:CB23" si="11">SUM(BT16:CA16)</f>
        <v>0</v>
      </c>
      <c r="CC16" s="589">
        <f t="shared" ref="CC16:CC23" si="12">SUM(BS16,CB16)</f>
        <v>24271339.07</v>
      </c>
      <c r="CD16" s="300">
        <v>1</v>
      </c>
      <c r="CE16" s="414">
        <f>+C16+D16+W16+X16+AQ16+AR16+BK16+BL16</f>
        <v>90694331.02000469</v>
      </c>
      <c r="CF16" s="414">
        <f>+E16+F16+Y16+Z16+AS16+AT16+BM16+BN16</f>
        <v>95065310.420007527</v>
      </c>
      <c r="CG16" s="414">
        <f>+G16+H16+AA16+AB16+AU16+AV16+BO16+BP16</f>
        <v>99662303.130017594</v>
      </c>
      <c r="CH16" s="414">
        <f>+I16+J16+AC16+AD16+AW16+AX16+BQ16+BR16</f>
        <v>105084818.73002096</v>
      </c>
      <c r="CI16" s="416">
        <f>SUM(K16,AE16,AY16,BS16)</f>
        <v>390506763.30005074</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90694331.02000469</v>
      </c>
      <c r="CP16" s="414">
        <f>+E16+F16+N16+O16+Y16+Z16+AH16+AI16+AS16+AT16+BB16+BC16+BM16+BN16+BV16+BW16</f>
        <v>95065310.420007527</v>
      </c>
      <c r="CQ16" s="414">
        <f>+G16+H16+P16+Q16+AA16+AB16+AJ16+AK16+AU16+AV16+BD16+BE16+BO16+BP16+BX16+BY16</f>
        <v>99662303.130017594</v>
      </c>
      <c r="CR16" s="414">
        <f>+I16+J16+R16+S16+AC16+AD16+AL16+AM16+AW16+AX16+BF16+BG16+BQ16+BR16+BZ16+CA16</f>
        <v>105084818.73002096</v>
      </c>
      <c r="CS16" s="416">
        <f t="shared" ref="CS16:CS23" si="13">SUM(CC16,BI16,AO16,U16)</f>
        <v>390506763.30005074</v>
      </c>
    </row>
    <row r="17" spans="1:99" ht="15.75" customHeight="1">
      <c r="A17" s="88" t="s">
        <v>1337</v>
      </c>
      <c r="B17" s="300"/>
      <c r="C17" s="585">
        <f>SUM('Schedule 3B_Income_Eastern:Schedule 3D_Income_The Cape'!C17)</f>
        <v>0</v>
      </c>
      <c r="D17" s="585">
        <f>SUM('Schedule 3B_Income_Eastern:Schedule 3D_Income_The Cape'!D17)</f>
        <v>0</v>
      </c>
      <c r="E17" s="585">
        <f>SUM('Schedule 3B_Income_Eastern:Schedule 3D_Income_The Cape'!E17)</f>
        <v>0</v>
      </c>
      <c r="F17" s="585">
        <f>SUM('Schedule 3B_Income_Eastern:Schedule 3D_Income_The Cape'!F17)</f>
        <v>0</v>
      </c>
      <c r="G17" s="585">
        <f>SUM('Schedule 3B_Income_Eastern:Schedule 3D_Income_The Cape'!G17)</f>
        <v>0</v>
      </c>
      <c r="H17" s="585">
        <f>SUM('Schedule 3B_Income_Eastern:Schedule 3D_Income_The Cape'!H17)</f>
        <v>0</v>
      </c>
      <c r="I17" s="585">
        <f>SUM('Schedule 3B_Income_Eastern:Schedule 3D_Income_The Cape'!I17)</f>
        <v>0</v>
      </c>
      <c r="J17" s="585">
        <f>SUM('Schedule 3B_Income_Eastern:Schedule 3D_Income_The Cape'!J17)</f>
        <v>0</v>
      </c>
      <c r="K17" s="586">
        <f t="shared" si="1"/>
        <v>0</v>
      </c>
      <c r="L17" s="587">
        <f>SUM('Schedule 3B_Income_Eastern:Schedule 3D_Income_The Cape'!L17)</f>
        <v>0</v>
      </c>
      <c r="M17" s="585">
        <f>SUM('Schedule 3B_Income_Eastern:Schedule 3D_Income_The Cape'!M17)</f>
        <v>6445356.5609999793</v>
      </c>
      <c r="N17" s="585">
        <f>SUM('Schedule 3B_Income_Eastern:Schedule 3D_Income_The Cape'!N17)</f>
        <v>0</v>
      </c>
      <c r="O17" s="585">
        <f>SUM('Schedule 3B_Income_Eastern:Schedule 3D_Income_The Cape'!O17)</f>
        <v>5813501.2081999891</v>
      </c>
      <c r="P17" s="585">
        <f>SUM('Schedule 3B_Income_Eastern:Schedule 3D_Income_The Cape'!P17)</f>
        <v>0</v>
      </c>
      <c r="Q17" s="585">
        <f>SUM('Schedule 3B_Income_Eastern:Schedule 3D_Income_The Cape'!Q17)</f>
        <v>6324669.1493999632</v>
      </c>
      <c r="R17" s="585">
        <f>SUM('Schedule 3B_Income_Eastern:Schedule 3D_Income_The Cape'!R17)</f>
        <v>0</v>
      </c>
      <c r="S17" s="585">
        <f>SUM('Schedule 3B_Income_Eastern:Schedule 3D_Income_The Cape'!S17)</f>
        <v>6348305.2303999923</v>
      </c>
      <c r="T17" s="588">
        <f t="shared" si="2"/>
        <v>24931832.148999922</v>
      </c>
      <c r="U17" s="589">
        <f t="shared" si="3"/>
        <v>24931832.148999922</v>
      </c>
      <c r="V17" s="300"/>
      <c r="W17" s="585">
        <f>SUM('Schedule 3B_Income_Eastern:Schedule 3D_Income_The Cape'!W17)</f>
        <v>0</v>
      </c>
      <c r="X17" s="585">
        <f>SUM('Schedule 3B_Income_Eastern:Schedule 3D_Income_The Cape'!X17)</f>
        <v>0</v>
      </c>
      <c r="Y17" s="585">
        <f>SUM('Schedule 3B_Income_Eastern:Schedule 3D_Income_The Cape'!Y17)</f>
        <v>0</v>
      </c>
      <c r="Z17" s="585">
        <f>SUM('Schedule 3B_Income_Eastern:Schedule 3D_Income_The Cape'!Z17)</f>
        <v>0</v>
      </c>
      <c r="AA17" s="585">
        <f>SUM('Schedule 3B_Income_Eastern:Schedule 3D_Income_The Cape'!AA17)</f>
        <v>0</v>
      </c>
      <c r="AB17" s="585">
        <f>SUM('Schedule 3B_Income_Eastern:Schedule 3D_Income_The Cape'!AB17)</f>
        <v>0</v>
      </c>
      <c r="AC17" s="585">
        <f>SUM('Schedule 3B_Income_Eastern:Schedule 3D_Income_The Cape'!AC17)</f>
        <v>0</v>
      </c>
      <c r="AD17" s="585">
        <f>SUM('Schedule 3B_Income_Eastern:Schedule 3D_Income_The Cape'!AD17)</f>
        <v>0</v>
      </c>
      <c r="AE17" s="586">
        <f t="shared" si="4"/>
        <v>0</v>
      </c>
      <c r="AF17" s="587">
        <f>SUM('Schedule 3B_Income_Eastern:Schedule 3D_Income_The Cape'!AF17)</f>
        <v>0</v>
      </c>
      <c r="AG17" s="585">
        <f>SUM('Schedule 3B_Income_Eastern:Schedule 3D_Income_The Cape'!AG17)</f>
        <v>2148703.3315999997</v>
      </c>
      <c r="AH17" s="585">
        <f>SUM('Schedule 3B_Income_Eastern:Schedule 3D_Income_The Cape'!AH17)</f>
        <v>0</v>
      </c>
      <c r="AI17" s="585">
        <f>SUM('Schedule 3B_Income_Eastern:Schedule 3D_Income_The Cape'!AI17)</f>
        <v>1743578.0152</v>
      </c>
      <c r="AJ17" s="585">
        <f>SUM('Schedule 3B_Income_Eastern:Schedule 3D_Income_The Cape'!AJ17)</f>
        <v>0</v>
      </c>
      <c r="AK17" s="585">
        <f>SUM('Schedule 3B_Income_Eastern:Schedule 3D_Income_The Cape'!AK17)</f>
        <v>1846847.0832</v>
      </c>
      <c r="AL17" s="585">
        <f>SUM('Schedule 3B_Income_Eastern:Schedule 3D_Income_The Cape'!AL17)</f>
        <v>0</v>
      </c>
      <c r="AM17" s="585">
        <f>SUM('Schedule 3B_Income_Eastern:Schedule 3D_Income_The Cape'!AM17)</f>
        <v>1871613.9274000002</v>
      </c>
      <c r="AN17" s="588">
        <f t="shared" si="5"/>
        <v>7610742.3574000001</v>
      </c>
      <c r="AO17" s="589">
        <f t="shared" si="6"/>
        <v>7610742.3574000001</v>
      </c>
      <c r="AP17" s="300"/>
      <c r="AQ17" s="585">
        <f>SUM('Schedule 3B_Income_Eastern:Schedule 3D_Income_The Cape'!AQ17)</f>
        <v>0</v>
      </c>
      <c r="AR17" s="585">
        <f>SUM('Schedule 3B_Income_Eastern:Schedule 3D_Income_The Cape'!AR17)</f>
        <v>0</v>
      </c>
      <c r="AS17" s="585">
        <f>SUM('Schedule 3B_Income_Eastern:Schedule 3D_Income_The Cape'!AS17)</f>
        <v>0</v>
      </c>
      <c r="AT17" s="585">
        <f>SUM('Schedule 3B_Income_Eastern:Schedule 3D_Income_The Cape'!AT17)</f>
        <v>0</v>
      </c>
      <c r="AU17" s="585">
        <f>SUM('Schedule 3B_Income_Eastern:Schedule 3D_Income_The Cape'!AU17)</f>
        <v>0</v>
      </c>
      <c r="AV17" s="585">
        <f>SUM('Schedule 3B_Income_Eastern:Schedule 3D_Income_The Cape'!AV17)</f>
        <v>0</v>
      </c>
      <c r="AW17" s="585">
        <f>SUM('Schedule 3B_Income_Eastern:Schedule 3D_Income_The Cape'!AW17)</f>
        <v>0</v>
      </c>
      <c r="AX17" s="585">
        <f>SUM('Schedule 3B_Income_Eastern:Schedule 3D_Income_The Cape'!AX17)</f>
        <v>0</v>
      </c>
      <c r="AY17" s="586">
        <f t="shared" si="7"/>
        <v>0</v>
      </c>
      <c r="AZ17" s="587">
        <f>SUM('Schedule 3B_Income_Eastern:Schedule 3D_Income_The Cape'!AZ17)</f>
        <v>0</v>
      </c>
      <c r="BA17" s="585">
        <f>SUM('Schedule 3B_Income_Eastern:Schedule 3D_Income_The Cape'!BA17)</f>
        <v>50267148.917999581</v>
      </c>
      <c r="BB17" s="585">
        <f>SUM('Schedule 3B_Income_Eastern:Schedule 3D_Income_The Cape'!BB17)</f>
        <v>0</v>
      </c>
      <c r="BC17" s="585">
        <f>SUM('Schedule 3B_Income_Eastern:Schedule 3D_Income_The Cape'!BC17)</f>
        <v>40441778.11939922</v>
      </c>
      <c r="BD17" s="585">
        <f>SUM('Schedule 3B_Income_Eastern:Schedule 3D_Income_The Cape'!BD17)</f>
        <v>0</v>
      </c>
      <c r="BE17" s="585">
        <f>SUM('Schedule 3B_Income_Eastern:Schedule 3D_Income_The Cape'!BE17)</f>
        <v>46128507.223399937</v>
      </c>
      <c r="BF17" s="585">
        <f>SUM('Schedule 3B_Income_Eastern:Schedule 3D_Income_The Cape'!BF17)</f>
        <v>0</v>
      </c>
      <c r="BG17" s="585">
        <f>SUM('Schedule 3B_Income_Eastern:Schedule 3D_Income_The Cape'!BG17)</f>
        <v>46384401.893199846</v>
      </c>
      <c r="BH17" s="588">
        <f t="shared" si="8"/>
        <v>183221836.15399861</v>
      </c>
      <c r="BI17" s="589">
        <f t="shared" si="9"/>
        <v>183221836.15399861</v>
      </c>
      <c r="BJ17" s="300"/>
      <c r="BK17" s="585">
        <f>SUM('Schedule 3B_Income_Eastern:Schedule 3D_Income_The Cape'!BK17)</f>
        <v>0</v>
      </c>
      <c r="BL17" s="585">
        <f>SUM('Schedule 3B_Income_Eastern:Schedule 3D_Income_The Cape'!BL17)</f>
        <v>0</v>
      </c>
      <c r="BM17" s="585">
        <f>SUM('Schedule 3B_Income_Eastern:Schedule 3D_Income_The Cape'!BM17)</f>
        <v>0</v>
      </c>
      <c r="BN17" s="585">
        <f>SUM('Schedule 3B_Income_Eastern:Schedule 3D_Income_The Cape'!BN17)</f>
        <v>0</v>
      </c>
      <c r="BO17" s="585">
        <f>SUM('Schedule 3B_Income_Eastern:Schedule 3D_Income_The Cape'!BO17)</f>
        <v>0</v>
      </c>
      <c r="BP17" s="585">
        <f>SUM('Schedule 3B_Income_Eastern:Schedule 3D_Income_The Cape'!BP17)</f>
        <v>0</v>
      </c>
      <c r="BQ17" s="585">
        <f>SUM('Schedule 3B_Income_Eastern:Schedule 3D_Income_The Cape'!BQ17)</f>
        <v>0</v>
      </c>
      <c r="BR17" s="585">
        <f>SUM('Schedule 3B_Income_Eastern:Schedule 3D_Income_The Cape'!BR17)</f>
        <v>0</v>
      </c>
      <c r="BS17" s="586">
        <f t="shared" si="10"/>
        <v>0</v>
      </c>
      <c r="BT17" s="587">
        <f>SUM('Schedule 3B_Income_Eastern:Schedule 3D_Income_The Cape'!BT17)</f>
        <v>0</v>
      </c>
      <c r="BU17" s="585">
        <f>SUM('Schedule 3B_Income_Eastern:Schedule 3D_Income_The Cape'!BU17)</f>
        <v>1884906.9414000001</v>
      </c>
      <c r="BV17" s="585">
        <f>SUM('Schedule 3B_Income_Eastern:Schedule 3D_Income_The Cape'!BV17)</f>
        <v>0</v>
      </c>
      <c r="BW17" s="585">
        <f>SUM('Schedule 3B_Income_Eastern:Schedule 3D_Income_The Cape'!BW17)</f>
        <v>1631666.9544000002</v>
      </c>
      <c r="BX17" s="585">
        <f>SUM('Schedule 3B_Income_Eastern:Schedule 3D_Income_The Cape'!BX17)</f>
        <v>0</v>
      </c>
      <c r="BY17" s="585">
        <f>SUM('Schedule 3B_Income_Eastern:Schedule 3D_Income_The Cape'!BY17)</f>
        <v>1722834.4042</v>
      </c>
      <c r="BZ17" s="585">
        <f>SUM('Schedule 3B_Income_Eastern:Schedule 3D_Income_The Cape'!BZ17)</f>
        <v>0</v>
      </c>
      <c r="CA17" s="585">
        <f>SUM('Schedule 3B_Income_Eastern:Schedule 3D_Income_The Cape'!CA17)</f>
        <v>2020692.3114</v>
      </c>
      <c r="CB17" s="588">
        <f t="shared" si="11"/>
        <v>7260100.6113999998</v>
      </c>
      <c r="CC17" s="589">
        <f t="shared" si="12"/>
        <v>7260100.6113999998</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60746115.751999557</v>
      </c>
      <c r="CK17" s="414">
        <f t="shared" ref="CK17:CK23" si="20">N17+O17+AH17+AI17+BB17+BC17+BV17+BW17</f>
        <v>49630524.297199212</v>
      </c>
      <c r="CL17" s="414">
        <f t="shared" ref="CL17:CL23" si="21">P17+Q17+AJ17+AK17+BD17+BE17+BX17+BY17</f>
        <v>56022857.860199906</v>
      </c>
      <c r="CM17" s="414">
        <f t="shared" ref="CM17:CM23" si="22">+R17+S17+AL17+AM17+BF17+BG17+BZ17+CA17</f>
        <v>56625013.362399831</v>
      </c>
      <c r="CN17" s="416">
        <f t="shared" ref="CN17:CN23" si="23">SUM(T17,AN17,BH17,CB17)</f>
        <v>223024511.27179855</v>
      </c>
      <c r="CO17" s="414">
        <f t="shared" ref="CO17:CO23" si="24">+C17+D17+L17+M17+W17+X17+AF17+AG17+AQ17+AR17+AZ17+BA17+BK17+BL17+BT17+BU17</f>
        <v>60746115.751999557</v>
      </c>
      <c r="CP17" s="414">
        <f t="shared" ref="CP17:CP23" si="25">+E17+F17+N17+O17+Y17+Z17+AH17+AI17+AS17+AT17+BB17+BC17+BM17+BN17+BV17+BW17</f>
        <v>49630524.297199212</v>
      </c>
      <c r="CQ17" s="414">
        <f t="shared" ref="CQ17:CQ23" si="26">+G17+H17+P17+Q17+AA17+AB17+AJ17+AK17+AU17+AV17+BD17+BE17+BO17+BP17+BX17+BY17</f>
        <v>56022857.860199906</v>
      </c>
      <c r="CR17" s="414">
        <f t="shared" ref="CR17:CR23" si="27">+I17+J17+R17+S17+AC17+AD17+AL17+AM17+AW17+AX17+BF17+BG17+BQ17+BR17+BZ17+CA17</f>
        <v>56625013.362399831</v>
      </c>
      <c r="CS17" s="416">
        <f t="shared" si="13"/>
        <v>223024511.27179855</v>
      </c>
    </row>
    <row r="18" spans="1:99" ht="15.75" customHeight="1">
      <c r="A18" s="88" t="s">
        <v>1338</v>
      </c>
      <c r="B18" s="300"/>
      <c r="C18" s="585">
        <f>SUM('Schedule 3B_Income_Eastern:Schedule 3D_Income_The Cape'!C18)</f>
        <v>0</v>
      </c>
      <c r="D18" s="585">
        <f>SUM('Schedule 3B_Income_Eastern:Schedule 3D_Income_The Cape'!D18)</f>
        <v>0</v>
      </c>
      <c r="E18" s="585">
        <f>SUM('Schedule 3B_Income_Eastern:Schedule 3D_Income_The Cape'!E18)</f>
        <v>0</v>
      </c>
      <c r="F18" s="585">
        <f>SUM('Schedule 3B_Income_Eastern:Schedule 3D_Income_The Cape'!F18)</f>
        <v>0</v>
      </c>
      <c r="G18" s="585">
        <f>SUM('Schedule 3B_Income_Eastern:Schedule 3D_Income_The Cape'!G18)</f>
        <v>0</v>
      </c>
      <c r="H18" s="585">
        <f>SUM('Schedule 3B_Income_Eastern:Schedule 3D_Income_The Cape'!H18)</f>
        <v>0</v>
      </c>
      <c r="I18" s="585">
        <f>SUM('Schedule 3B_Income_Eastern:Schedule 3D_Income_The Cape'!I18)</f>
        <v>0</v>
      </c>
      <c r="J18" s="585">
        <f>SUM('Schedule 3B_Income_Eastern:Schedule 3D_Income_The Cape'!J18)</f>
        <v>0</v>
      </c>
      <c r="K18" s="586">
        <f t="shared" si="1"/>
        <v>0</v>
      </c>
      <c r="L18" s="587">
        <f>SUM('Schedule 3B_Income_Eastern:Schedule 3D_Income_The Cape'!L18)</f>
        <v>0</v>
      </c>
      <c r="M18" s="585">
        <f>SUM('Schedule 3B_Income_Eastern:Schedule 3D_Income_The Cape'!M18)</f>
        <v>198821.70419999899</v>
      </c>
      <c r="N18" s="585">
        <f>SUM('Schedule 3B_Income_Eastern:Schedule 3D_Income_The Cape'!N18)</f>
        <v>0</v>
      </c>
      <c r="O18" s="585">
        <f>SUM('Schedule 3B_Income_Eastern:Schedule 3D_Income_The Cape'!O18)</f>
        <v>146224.00660000101</v>
      </c>
      <c r="P18" s="585">
        <f>SUM('Schedule 3B_Income_Eastern:Schedule 3D_Income_The Cape'!P18)</f>
        <v>0</v>
      </c>
      <c r="Q18" s="585">
        <f>SUM('Schedule 3B_Income_Eastern:Schedule 3D_Income_The Cape'!Q18)</f>
        <v>167514.79080000101</v>
      </c>
      <c r="R18" s="585">
        <f>SUM('Schedule 3B_Income_Eastern:Schedule 3D_Income_The Cape'!R18)</f>
        <v>0</v>
      </c>
      <c r="S18" s="585">
        <f>SUM('Schedule 3B_Income_Eastern:Schedule 3D_Income_The Cape'!S18)</f>
        <v>158100.234600002</v>
      </c>
      <c r="T18" s="588">
        <f t="shared" si="2"/>
        <v>670660.73620000295</v>
      </c>
      <c r="U18" s="589">
        <f t="shared" si="3"/>
        <v>670660.73620000295</v>
      </c>
      <c r="V18" s="300"/>
      <c r="W18" s="585">
        <f>SUM('Schedule 3B_Income_Eastern:Schedule 3D_Income_The Cape'!W18)</f>
        <v>0</v>
      </c>
      <c r="X18" s="585">
        <f>SUM('Schedule 3B_Income_Eastern:Schedule 3D_Income_The Cape'!X18)</f>
        <v>0</v>
      </c>
      <c r="Y18" s="585">
        <f>SUM('Schedule 3B_Income_Eastern:Schedule 3D_Income_The Cape'!Y18)</f>
        <v>0</v>
      </c>
      <c r="Z18" s="585">
        <f>SUM('Schedule 3B_Income_Eastern:Schedule 3D_Income_The Cape'!Z18)</f>
        <v>0</v>
      </c>
      <c r="AA18" s="585">
        <f>SUM('Schedule 3B_Income_Eastern:Schedule 3D_Income_The Cape'!AA18)</f>
        <v>0</v>
      </c>
      <c r="AB18" s="585">
        <f>SUM('Schedule 3B_Income_Eastern:Schedule 3D_Income_The Cape'!AB18)</f>
        <v>0</v>
      </c>
      <c r="AC18" s="585">
        <f>SUM('Schedule 3B_Income_Eastern:Schedule 3D_Income_The Cape'!AC18)</f>
        <v>0</v>
      </c>
      <c r="AD18" s="585">
        <f>SUM('Schedule 3B_Income_Eastern:Schedule 3D_Income_The Cape'!AD18)</f>
        <v>0</v>
      </c>
      <c r="AE18" s="586">
        <f t="shared" si="4"/>
        <v>0</v>
      </c>
      <c r="AF18" s="587">
        <f>SUM('Schedule 3B_Income_Eastern:Schedule 3D_Income_The Cape'!AF18)</f>
        <v>0</v>
      </c>
      <c r="AG18" s="585">
        <f>SUM('Schedule 3B_Income_Eastern:Schedule 3D_Income_The Cape'!AG18)</f>
        <v>80161.177599999908</v>
      </c>
      <c r="AH18" s="585">
        <f>SUM('Schedule 3B_Income_Eastern:Schedule 3D_Income_The Cape'!AH18)</f>
        <v>0</v>
      </c>
      <c r="AI18" s="585">
        <f>SUM('Schedule 3B_Income_Eastern:Schedule 3D_Income_The Cape'!AI18)</f>
        <v>58738.455999999904</v>
      </c>
      <c r="AJ18" s="585">
        <f>SUM('Schedule 3B_Income_Eastern:Schedule 3D_Income_The Cape'!AJ18)</f>
        <v>0</v>
      </c>
      <c r="AK18" s="585">
        <f>SUM('Schedule 3B_Income_Eastern:Schedule 3D_Income_The Cape'!AK18)</f>
        <v>64120.067199999903</v>
      </c>
      <c r="AL18" s="585">
        <f>SUM('Schedule 3B_Income_Eastern:Schedule 3D_Income_The Cape'!AL18)</f>
        <v>0</v>
      </c>
      <c r="AM18" s="585">
        <f>SUM('Schedule 3B_Income_Eastern:Schedule 3D_Income_The Cape'!AM18)</f>
        <v>62529.576199999807</v>
      </c>
      <c r="AN18" s="588">
        <f t="shared" si="5"/>
        <v>265549.27699999954</v>
      </c>
      <c r="AO18" s="589">
        <f t="shared" si="6"/>
        <v>265549.27699999954</v>
      </c>
      <c r="AP18" s="300"/>
      <c r="AQ18" s="585">
        <f>SUM('Schedule 3B_Income_Eastern:Schedule 3D_Income_The Cape'!AQ18)</f>
        <v>0</v>
      </c>
      <c r="AR18" s="585">
        <f>SUM('Schedule 3B_Income_Eastern:Schedule 3D_Income_The Cape'!AR18)</f>
        <v>0</v>
      </c>
      <c r="AS18" s="585">
        <f>SUM('Schedule 3B_Income_Eastern:Schedule 3D_Income_The Cape'!AS18)</f>
        <v>0</v>
      </c>
      <c r="AT18" s="585">
        <f>SUM('Schedule 3B_Income_Eastern:Schedule 3D_Income_The Cape'!AT18)</f>
        <v>0</v>
      </c>
      <c r="AU18" s="585">
        <f>SUM('Schedule 3B_Income_Eastern:Schedule 3D_Income_The Cape'!AU18)</f>
        <v>0</v>
      </c>
      <c r="AV18" s="585">
        <f>SUM('Schedule 3B_Income_Eastern:Schedule 3D_Income_The Cape'!AV18)</f>
        <v>0</v>
      </c>
      <c r="AW18" s="585">
        <f>SUM('Schedule 3B_Income_Eastern:Schedule 3D_Income_The Cape'!AW18)</f>
        <v>0</v>
      </c>
      <c r="AX18" s="585">
        <f>SUM('Schedule 3B_Income_Eastern:Schedule 3D_Income_The Cape'!AX18)</f>
        <v>0</v>
      </c>
      <c r="AY18" s="586">
        <f t="shared" si="7"/>
        <v>0</v>
      </c>
      <c r="AZ18" s="587">
        <f>SUM('Schedule 3B_Income_Eastern:Schedule 3D_Income_The Cape'!AZ18)</f>
        <v>0</v>
      </c>
      <c r="BA18" s="585">
        <f>SUM('Schedule 3B_Income_Eastern:Schedule 3D_Income_The Cape'!BA18)</f>
        <v>1497739.6742000002</v>
      </c>
      <c r="BB18" s="585">
        <f>SUM('Schedule 3B_Income_Eastern:Schedule 3D_Income_The Cape'!BB18)</f>
        <v>0</v>
      </c>
      <c r="BC18" s="585">
        <f>SUM('Schedule 3B_Income_Eastern:Schedule 3D_Income_The Cape'!BC18)</f>
        <v>1167652.4482000032</v>
      </c>
      <c r="BD18" s="585">
        <f>SUM('Schedule 3B_Income_Eastern:Schedule 3D_Income_The Cape'!BD18)</f>
        <v>0</v>
      </c>
      <c r="BE18" s="585">
        <f>SUM('Schedule 3B_Income_Eastern:Schedule 3D_Income_The Cape'!BE18)</f>
        <v>1316591.7310000013</v>
      </c>
      <c r="BF18" s="585">
        <f>SUM('Schedule 3B_Income_Eastern:Schedule 3D_Income_The Cape'!BF18)</f>
        <v>0</v>
      </c>
      <c r="BG18" s="585">
        <f>SUM('Schedule 3B_Income_Eastern:Schedule 3D_Income_The Cape'!BG18)</f>
        <v>1287249.4040000024</v>
      </c>
      <c r="BH18" s="588">
        <f t="shared" si="8"/>
        <v>5269233.2574000079</v>
      </c>
      <c r="BI18" s="589">
        <f t="shared" si="9"/>
        <v>5269233.2574000079</v>
      </c>
      <c r="BJ18" s="300"/>
      <c r="BK18" s="585">
        <f>SUM('Schedule 3B_Income_Eastern:Schedule 3D_Income_The Cape'!BK18)</f>
        <v>0</v>
      </c>
      <c r="BL18" s="585">
        <f>SUM('Schedule 3B_Income_Eastern:Schedule 3D_Income_The Cape'!BL18)</f>
        <v>0</v>
      </c>
      <c r="BM18" s="585">
        <f>SUM('Schedule 3B_Income_Eastern:Schedule 3D_Income_The Cape'!BM18)</f>
        <v>0</v>
      </c>
      <c r="BN18" s="585">
        <f>SUM('Schedule 3B_Income_Eastern:Schedule 3D_Income_The Cape'!BN18)</f>
        <v>0</v>
      </c>
      <c r="BO18" s="585">
        <f>SUM('Schedule 3B_Income_Eastern:Schedule 3D_Income_The Cape'!BO18)</f>
        <v>0</v>
      </c>
      <c r="BP18" s="585">
        <f>SUM('Schedule 3B_Income_Eastern:Schedule 3D_Income_The Cape'!BP18)</f>
        <v>0</v>
      </c>
      <c r="BQ18" s="585">
        <f>SUM('Schedule 3B_Income_Eastern:Schedule 3D_Income_The Cape'!BQ18)</f>
        <v>0</v>
      </c>
      <c r="BR18" s="585">
        <f>SUM('Schedule 3B_Income_Eastern:Schedule 3D_Income_The Cape'!BR18)</f>
        <v>0</v>
      </c>
      <c r="BS18" s="586">
        <f t="shared" si="10"/>
        <v>0</v>
      </c>
      <c r="BT18" s="587">
        <f>SUM('Schedule 3B_Income_Eastern:Schedule 3D_Income_The Cape'!BT18)</f>
        <v>0</v>
      </c>
      <c r="BU18" s="585">
        <f>SUM('Schedule 3B_Income_Eastern:Schedule 3D_Income_The Cape'!BU18)</f>
        <v>65284.150400000006</v>
      </c>
      <c r="BV18" s="585">
        <f>SUM('Schedule 3B_Income_Eastern:Schedule 3D_Income_The Cape'!BV18)</f>
        <v>0</v>
      </c>
      <c r="BW18" s="585">
        <f>SUM('Schedule 3B_Income_Eastern:Schedule 3D_Income_The Cape'!BW18)</f>
        <v>55519.548000000003</v>
      </c>
      <c r="BX18" s="585">
        <f>SUM('Schedule 3B_Income_Eastern:Schedule 3D_Income_The Cape'!BX18)</f>
        <v>0</v>
      </c>
      <c r="BY18" s="585">
        <f>SUM('Schedule 3B_Income_Eastern:Schedule 3D_Income_The Cape'!BY18)</f>
        <v>56913.421600000001</v>
      </c>
      <c r="BZ18" s="585">
        <f>SUM('Schedule 3B_Income_Eastern:Schedule 3D_Income_The Cape'!BZ18)</f>
        <v>0</v>
      </c>
      <c r="CA18" s="585">
        <f>SUM('Schedule 3B_Income_Eastern:Schedule 3D_Income_The Cape'!CA18)</f>
        <v>52432.567600000002</v>
      </c>
      <c r="CB18" s="588">
        <f t="shared" si="11"/>
        <v>230149.6876</v>
      </c>
      <c r="CC18" s="589">
        <f t="shared" si="12"/>
        <v>230149.6876</v>
      </c>
      <c r="CD18" s="300"/>
      <c r="CE18" s="414">
        <f t="shared" si="14"/>
        <v>0</v>
      </c>
      <c r="CF18" s="414">
        <f t="shared" si="15"/>
        <v>0</v>
      </c>
      <c r="CG18" s="414">
        <f t="shared" si="16"/>
        <v>0</v>
      </c>
      <c r="CH18" s="414">
        <f t="shared" si="17"/>
        <v>0</v>
      </c>
      <c r="CI18" s="416">
        <f t="shared" si="18"/>
        <v>0</v>
      </c>
      <c r="CJ18" s="414">
        <f t="shared" si="19"/>
        <v>1842006.7063999991</v>
      </c>
      <c r="CK18" s="414">
        <f t="shared" si="20"/>
        <v>1428134.4588000041</v>
      </c>
      <c r="CL18" s="414">
        <f t="shared" si="21"/>
        <v>1605140.0106000022</v>
      </c>
      <c r="CM18" s="414">
        <f t="shared" si="22"/>
        <v>1560311.7824000041</v>
      </c>
      <c r="CN18" s="416">
        <f t="shared" si="23"/>
        <v>6435592.9582000105</v>
      </c>
      <c r="CO18" s="414">
        <f t="shared" si="24"/>
        <v>1842006.7063999991</v>
      </c>
      <c r="CP18" s="414">
        <f t="shared" si="25"/>
        <v>1428134.4588000041</v>
      </c>
      <c r="CQ18" s="414">
        <f t="shared" si="26"/>
        <v>1605140.0106000022</v>
      </c>
      <c r="CR18" s="414">
        <f t="shared" si="27"/>
        <v>1560311.7824000041</v>
      </c>
      <c r="CS18" s="416">
        <f t="shared" si="13"/>
        <v>6435592.9582000105</v>
      </c>
    </row>
    <row r="19" spans="1:99" ht="15.75" customHeight="1">
      <c r="A19" s="88" t="s">
        <v>1339</v>
      </c>
      <c r="B19" s="300"/>
      <c r="C19" s="585">
        <f>SUM('Schedule 3B_Income_Eastern:Schedule 3D_Income_The Cape'!C19)</f>
        <v>0</v>
      </c>
      <c r="D19" s="585">
        <f>SUM('Schedule 3B_Income_Eastern:Schedule 3D_Income_The Cape'!D19)</f>
        <v>0</v>
      </c>
      <c r="E19" s="585">
        <f>SUM('Schedule 3B_Income_Eastern:Schedule 3D_Income_The Cape'!E19)</f>
        <v>0</v>
      </c>
      <c r="F19" s="585">
        <f>SUM('Schedule 3B_Income_Eastern:Schedule 3D_Income_The Cape'!F19)</f>
        <v>0</v>
      </c>
      <c r="G19" s="585">
        <f>SUM('Schedule 3B_Income_Eastern:Schedule 3D_Income_The Cape'!G19)</f>
        <v>0</v>
      </c>
      <c r="H19" s="585">
        <f>SUM('Schedule 3B_Income_Eastern:Schedule 3D_Income_The Cape'!H19)</f>
        <v>0</v>
      </c>
      <c r="I19" s="585">
        <f>SUM('Schedule 3B_Income_Eastern:Schedule 3D_Income_The Cape'!I19)</f>
        <v>0</v>
      </c>
      <c r="J19" s="585">
        <f>SUM('Schedule 3B_Income_Eastern:Schedule 3D_Income_The Cape'!J19)</f>
        <v>0</v>
      </c>
      <c r="K19" s="586">
        <f t="shared" si="1"/>
        <v>0</v>
      </c>
      <c r="L19" s="587">
        <f>SUM('Schedule 3B_Income_Eastern:Schedule 3D_Income_The Cape'!L19)</f>
        <v>0</v>
      </c>
      <c r="M19" s="585">
        <f>SUM('Schedule 3B_Income_Eastern:Schedule 3D_Income_The Cape'!M19)</f>
        <v>612494</v>
      </c>
      <c r="N19" s="585">
        <f>SUM('Schedule 3B_Income_Eastern:Schedule 3D_Income_The Cape'!N19)</f>
        <v>0</v>
      </c>
      <c r="O19" s="585">
        <f>SUM('Schedule 3B_Income_Eastern:Schedule 3D_Income_The Cape'!O19)</f>
        <v>892080</v>
      </c>
      <c r="P19" s="585">
        <f>SUM('Schedule 3B_Income_Eastern:Schedule 3D_Income_The Cape'!P19)</f>
        <v>0</v>
      </c>
      <c r="Q19" s="585">
        <f>SUM('Schedule 3B_Income_Eastern:Schedule 3D_Income_The Cape'!Q19)</f>
        <v>1233886</v>
      </c>
      <c r="R19" s="585">
        <f>SUM('Schedule 3B_Income_Eastern:Schedule 3D_Income_The Cape'!R19)</f>
        <v>0</v>
      </c>
      <c r="S19" s="585">
        <f>SUM('Schedule 3B_Income_Eastern:Schedule 3D_Income_The Cape'!S19)</f>
        <v>1356407</v>
      </c>
      <c r="T19" s="588">
        <f t="shared" si="2"/>
        <v>4094867</v>
      </c>
      <c r="U19" s="589">
        <f t="shared" si="3"/>
        <v>4094867</v>
      </c>
      <c r="V19" s="300"/>
      <c r="W19" s="585">
        <f>SUM('Schedule 3B_Income_Eastern:Schedule 3D_Income_The Cape'!W19)</f>
        <v>0</v>
      </c>
      <c r="X19" s="585">
        <f>SUM('Schedule 3B_Income_Eastern:Schedule 3D_Income_The Cape'!X19)</f>
        <v>0</v>
      </c>
      <c r="Y19" s="585">
        <f>SUM('Schedule 3B_Income_Eastern:Schedule 3D_Income_The Cape'!Y19)</f>
        <v>0</v>
      </c>
      <c r="Z19" s="585">
        <f>SUM('Schedule 3B_Income_Eastern:Schedule 3D_Income_The Cape'!Z19)</f>
        <v>0</v>
      </c>
      <c r="AA19" s="585">
        <f>SUM('Schedule 3B_Income_Eastern:Schedule 3D_Income_The Cape'!AA19)</f>
        <v>0</v>
      </c>
      <c r="AB19" s="585">
        <f>SUM('Schedule 3B_Income_Eastern:Schedule 3D_Income_The Cape'!AB19)</f>
        <v>0</v>
      </c>
      <c r="AC19" s="585">
        <f>SUM('Schedule 3B_Income_Eastern:Schedule 3D_Income_The Cape'!AC19)</f>
        <v>0</v>
      </c>
      <c r="AD19" s="585">
        <f>SUM('Schedule 3B_Income_Eastern:Schedule 3D_Income_The Cape'!AD19)</f>
        <v>0</v>
      </c>
      <c r="AE19" s="586">
        <f t="shared" si="4"/>
        <v>0</v>
      </c>
      <c r="AF19" s="587">
        <f>SUM('Schedule 3B_Income_Eastern:Schedule 3D_Income_The Cape'!AF19)</f>
        <v>0</v>
      </c>
      <c r="AG19" s="585">
        <f>SUM('Schedule 3B_Income_Eastern:Schedule 3D_Income_The Cape'!AG19)</f>
        <v>289434</v>
      </c>
      <c r="AH19" s="585">
        <f>SUM('Schedule 3B_Income_Eastern:Schedule 3D_Income_The Cape'!AH19)</f>
        <v>0</v>
      </c>
      <c r="AI19" s="585">
        <f>SUM('Schedule 3B_Income_Eastern:Schedule 3D_Income_The Cape'!AI19)</f>
        <v>272164</v>
      </c>
      <c r="AJ19" s="585">
        <f>SUM('Schedule 3B_Income_Eastern:Schedule 3D_Income_The Cape'!AJ19)</f>
        <v>0</v>
      </c>
      <c r="AK19" s="585">
        <f>SUM('Schedule 3B_Income_Eastern:Schedule 3D_Income_The Cape'!AK19)</f>
        <v>306648</v>
      </c>
      <c r="AL19" s="585">
        <f>SUM('Schedule 3B_Income_Eastern:Schedule 3D_Income_The Cape'!AL19)</f>
        <v>0</v>
      </c>
      <c r="AM19" s="585">
        <f>SUM('Schedule 3B_Income_Eastern:Schedule 3D_Income_The Cape'!AM19)</f>
        <v>320873</v>
      </c>
      <c r="AN19" s="588">
        <f t="shared" si="5"/>
        <v>1189119</v>
      </c>
      <c r="AO19" s="589">
        <f t="shared" si="6"/>
        <v>1189119</v>
      </c>
      <c r="AP19" s="300"/>
      <c r="AQ19" s="585">
        <f>SUM('Schedule 3B_Income_Eastern:Schedule 3D_Income_The Cape'!AQ19)</f>
        <v>0</v>
      </c>
      <c r="AR19" s="585">
        <f>SUM('Schedule 3B_Income_Eastern:Schedule 3D_Income_The Cape'!AR19)</f>
        <v>0</v>
      </c>
      <c r="AS19" s="585">
        <f>SUM('Schedule 3B_Income_Eastern:Schedule 3D_Income_The Cape'!AS19)</f>
        <v>0</v>
      </c>
      <c r="AT19" s="585">
        <f>SUM('Schedule 3B_Income_Eastern:Schedule 3D_Income_The Cape'!AT19)</f>
        <v>0</v>
      </c>
      <c r="AU19" s="585">
        <f>SUM('Schedule 3B_Income_Eastern:Schedule 3D_Income_The Cape'!AU19)</f>
        <v>0</v>
      </c>
      <c r="AV19" s="585">
        <f>SUM('Schedule 3B_Income_Eastern:Schedule 3D_Income_The Cape'!AV19)</f>
        <v>0</v>
      </c>
      <c r="AW19" s="585">
        <f>SUM('Schedule 3B_Income_Eastern:Schedule 3D_Income_The Cape'!AW19)</f>
        <v>0</v>
      </c>
      <c r="AX19" s="585">
        <f>SUM('Schedule 3B_Income_Eastern:Schedule 3D_Income_The Cape'!AX19)</f>
        <v>0</v>
      </c>
      <c r="AY19" s="586">
        <f t="shared" si="7"/>
        <v>0</v>
      </c>
      <c r="AZ19" s="587">
        <f>SUM('Schedule 3B_Income_Eastern:Schedule 3D_Income_The Cape'!AZ19)</f>
        <v>0</v>
      </c>
      <c r="BA19" s="585">
        <f>SUM('Schedule 3B_Income_Eastern:Schedule 3D_Income_The Cape'!BA19)</f>
        <v>8825431</v>
      </c>
      <c r="BB19" s="585">
        <f>SUM('Schedule 3B_Income_Eastern:Schedule 3D_Income_The Cape'!BB19)</f>
        <v>0</v>
      </c>
      <c r="BC19" s="585">
        <f>SUM('Schedule 3B_Income_Eastern:Schedule 3D_Income_The Cape'!BC19)</f>
        <v>8697399</v>
      </c>
      <c r="BD19" s="585">
        <f>SUM('Schedule 3B_Income_Eastern:Schedule 3D_Income_The Cape'!BD19)</f>
        <v>0</v>
      </c>
      <c r="BE19" s="585">
        <f>SUM('Schedule 3B_Income_Eastern:Schedule 3D_Income_The Cape'!BE19)</f>
        <v>9121647</v>
      </c>
      <c r="BF19" s="585">
        <f>SUM('Schedule 3B_Income_Eastern:Schedule 3D_Income_The Cape'!BF19)</f>
        <v>0</v>
      </c>
      <c r="BG19" s="585">
        <f>SUM('Schedule 3B_Income_Eastern:Schedule 3D_Income_The Cape'!BG19)</f>
        <v>8991499</v>
      </c>
      <c r="BH19" s="588">
        <f t="shared" si="8"/>
        <v>35635976</v>
      </c>
      <c r="BI19" s="589">
        <f t="shared" si="9"/>
        <v>35635976</v>
      </c>
      <c r="BJ19" s="300"/>
      <c r="BK19" s="585">
        <f>SUM('Schedule 3B_Income_Eastern:Schedule 3D_Income_The Cape'!BK19)</f>
        <v>0</v>
      </c>
      <c r="BL19" s="585">
        <f>SUM('Schedule 3B_Income_Eastern:Schedule 3D_Income_The Cape'!BL19)</f>
        <v>0</v>
      </c>
      <c r="BM19" s="585">
        <f>SUM('Schedule 3B_Income_Eastern:Schedule 3D_Income_The Cape'!BM19)</f>
        <v>0</v>
      </c>
      <c r="BN19" s="585">
        <f>SUM('Schedule 3B_Income_Eastern:Schedule 3D_Income_The Cape'!BN19)</f>
        <v>0</v>
      </c>
      <c r="BO19" s="585">
        <f>SUM('Schedule 3B_Income_Eastern:Schedule 3D_Income_The Cape'!BO19)</f>
        <v>0</v>
      </c>
      <c r="BP19" s="585">
        <f>SUM('Schedule 3B_Income_Eastern:Schedule 3D_Income_The Cape'!BP19)</f>
        <v>0</v>
      </c>
      <c r="BQ19" s="585">
        <f>SUM('Schedule 3B_Income_Eastern:Schedule 3D_Income_The Cape'!BQ19)</f>
        <v>0</v>
      </c>
      <c r="BR19" s="585">
        <f>SUM('Schedule 3B_Income_Eastern:Schedule 3D_Income_The Cape'!BR19)</f>
        <v>0</v>
      </c>
      <c r="BS19" s="586">
        <f t="shared" si="10"/>
        <v>0</v>
      </c>
      <c r="BT19" s="587">
        <f>SUM('Schedule 3B_Income_Eastern:Schedule 3D_Income_The Cape'!BT19)</f>
        <v>0</v>
      </c>
      <c r="BU19" s="585">
        <f>SUM('Schedule 3B_Income_Eastern:Schedule 3D_Income_The Cape'!BU19)</f>
        <v>743283</v>
      </c>
      <c r="BV19" s="585">
        <f>SUM('Schedule 3B_Income_Eastern:Schedule 3D_Income_The Cape'!BV19)</f>
        <v>0</v>
      </c>
      <c r="BW19" s="585">
        <f>SUM('Schedule 3B_Income_Eastern:Schedule 3D_Income_The Cape'!BW19)</f>
        <v>512472</v>
      </c>
      <c r="BX19" s="585">
        <f>SUM('Schedule 3B_Income_Eastern:Schedule 3D_Income_The Cape'!BX19)</f>
        <v>0</v>
      </c>
      <c r="BY19" s="585">
        <f>SUM('Schedule 3B_Income_Eastern:Schedule 3D_Income_The Cape'!BY19)</f>
        <v>388138</v>
      </c>
      <c r="BZ19" s="585">
        <f>SUM('Schedule 3B_Income_Eastern:Schedule 3D_Income_The Cape'!BZ19)</f>
        <v>0</v>
      </c>
      <c r="CA19" s="585">
        <f>SUM('Schedule 3B_Income_Eastern:Schedule 3D_Income_The Cape'!CA19)</f>
        <v>292385</v>
      </c>
      <c r="CB19" s="588">
        <f t="shared" si="11"/>
        <v>1936278</v>
      </c>
      <c r="CC19" s="589">
        <f t="shared" si="12"/>
        <v>1936278</v>
      </c>
      <c r="CD19" s="300"/>
      <c r="CE19" s="414">
        <f t="shared" si="14"/>
        <v>0</v>
      </c>
      <c r="CF19" s="414">
        <f t="shared" si="15"/>
        <v>0</v>
      </c>
      <c r="CG19" s="414">
        <f t="shared" si="16"/>
        <v>0</v>
      </c>
      <c r="CH19" s="414">
        <f t="shared" si="17"/>
        <v>0</v>
      </c>
      <c r="CI19" s="416">
        <f t="shared" si="18"/>
        <v>0</v>
      </c>
      <c r="CJ19" s="414">
        <f t="shared" si="19"/>
        <v>10470642</v>
      </c>
      <c r="CK19" s="414">
        <f t="shared" si="20"/>
        <v>10374115</v>
      </c>
      <c r="CL19" s="414">
        <f t="shared" si="21"/>
        <v>11050319</v>
      </c>
      <c r="CM19" s="414">
        <f t="shared" si="22"/>
        <v>10961164</v>
      </c>
      <c r="CN19" s="416">
        <f t="shared" si="23"/>
        <v>42856240</v>
      </c>
      <c r="CO19" s="414">
        <f t="shared" si="24"/>
        <v>10470642</v>
      </c>
      <c r="CP19" s="414">
        <f t="shared" si="25"/>
        <v>10374115</v>
      </c>
      <c r="CQ19" s="414">
        <f t="shared" si="26"/>
        <v>11050319</v>
      </c>
      <c r="CR19" s="414">
        <f t="shared" si="27"/>
        <v>10961164</v>
      </c>
      <c r="CS19" s="416">
        <f t="shared" si="13"/>
        <v>42856240</v>
      </c>
    </row>
    <row r="20" spans="1:99" ht="15.75" customHeight="1">
      <c r="A20" s="135" t="s">
        <v>173</v>
      </c>
      <c r="B20" s="300">
        <v>2</v>
      </c>
      <c r="C20" s="585">
        <f t="shared" ref="C20" si="28">SUM(C17:C19)</f>
        <v>0</v>
      </c>
      <c r="D20" s="585">
        <f t="shared" ref="D20:J20" si="29">SUM(D17:D19)</f>
        <v>0</v>
      </c>
      <c r="E20" s="585">
        <f t="shared" si="29"/>
        <v>0</v>
      </c>
      <c r="F20" s="585">
        <f t="shared" si="29"/>
        <v>0</v>
      </c>
      <c r="G20" s="585">
        <f t="shared" si="29"/>
        <v>0</v>
      </c>
      <c r="H20" s="585">
        <f t="shared" si="29"/>
        <v>0</v>
      </c>
      <c r="I20" s="585">
        <f t="shared" si="29"/>
        <v>0</v>
      </c>
      <c r="J20" s="585">
        <f t="shared" si="29"/>
        <v>0</v>
      </c>
      <c r="K20" s="586">
        <f t="shared" si="1"/>
        <v>0</v>
      </c>
      <c r="L20" s="587">
        <f t="shared" ref="L20:S20" si="30">SUM(L17:L19)</f>
        <v>0</v>
      </c>
      <c r="M20" s="585">
        <f t="shared" si="30"/>
        <v>7256672.2651999779</v>
      </c>
      <c r="N20" s="585">
        <f t="shared" si="30"/>
        <v>0</v>
      </c>
      <c r="O20" s="585">
        <f t="shared" si="30"/>
        <v>6851805.2147999899</v>
      </c>
      <c r="P20" s="585">
        <f t="shared" si="30"/>
        <v>0</v>
      </c>
      <c r="Q20" s="585">
        <f t="shared" si="30"/>
        <v>7726069.9401999637</v>
      </c>
      <c r="R20" s="585">
        <f t="shared" si="30"/>
        <v>0</v>
      </c>
      <c r="S20" s="585">
        <f t="shared" si="30"/>
        <v>7862812.4649999943</v>
      </c>
      <c r="T20" s="588">
        <f t="shared" si="2"/>
        <v>29697359.885199927</v>
      </c>
      <c r="U20" s="589">
        <f t="shared" si="3"/>
        <v>29697359.885199927</v>
      </c>
      <c r="V20" s="300">
        <v>2</v>
      </c>
      <c r="W20" s="585">
        <f t="shared" ref="W20:AD20" si="31">SUM(W17:W19)</f>
        <v>0</v>
      </c>
      <c r="X20" s="585">
        <f t="shared" si="31"/>
        <v>0</v>
      </c>
      <c r="Y20" s="585">
        <f t="shared" si="31"/>
        <v>0</v>
      </c>
      <c r="Z20" s="585">
        <f t="shared" si="31"/>
        <v>0</v>
      </c>
      <c r="AA20" s="585">
        <f t="shared" si="31"/>
        <v>0</v>
      </c>
      <c r="AB20" s="585">
        <f t="shared" si="31"/>
        <v>0</v>
      </c>
      <c r="AC20" s="585">
        <f t="shared" si="31"/>
        <v>0</v>
      </c>
      <c r="AD20" s="585">
        <f t="shared" si="31"/>
        <v>0</v>
      </c>
      <c r="AE20" s="586">
        <f t="shared" si="4"/>
        <v>0</v>
      </c>
      <c r="AF20" s="587">
        <f t="shared" ref="AF20:AM20" si="32">SUM(AF17:AF19)</f>
        <v>0</v>
      </c>
      <c r="AG20" s="585">
        <f t="shared" si="32"/>
        <v>2518298.5091999997</v>
      </c>
      <c r="AH20" s="585">
        <f t="shared" si="32"/>
        <v>0</v>
      </c>
      <c r="AI20" s="585">
        <f t="shared" si="32"/>
        <v>2074480.4712</v>
      </c>
      <c r="AJ20" s="585">
        <f t="shared" si="32"/>
        <v>0</v>
      </c>
      <c r="AK20" s="585">
        <f t="shared" si="32"/>
        <v>2217615.1503999997</v>
      </c>
      <c r="AL20" s="585">
        <f t="shared" si="32"/>
        <v>0</v>
      </c>
      <c r="AM20" s="585">
        <f t="shared" si="32"/>
        <v>2255016.5035999999</v>
      </c>
      <c r="AN20" s="588">
        <f t="shared" si="5"/>
        <v>9065410.6343999989</v>
      </c>
      <c r="AO20" s="589">
        <f t="shared" si="6"/>
        <v>9065410.6343999989</v>
      </c>
      <c r="AP20" s="300">
        <v>2</v>
      </c>
      <c r="AQ20" s="585">
        <f t="shared" ref="AQ20:AX20" si="33">SUM(AQ17:AQ19)</f>
        <v>0</v>
      </c>
      <c r="AR20" s="585">
        <f t="shared" si="33"/>
        <v>0</v>
      </c>
      <c r="AS20" s="585">
        <f t="shared" si="33"/>
        <v>0</v>
      </c>
      <c r="AT20" s="585">
        <f t="shared" si="33"/>
        <v>0</v>
      </c>
      <c r="AU20" s="585">
        <f t="shared" si="33"/>
        <v>0</v>
      </c>
      <c r="AV20" s="585">
        <f t="shared" si="33"/>
        <v>0</v>
      </c>
      <c r="AW20" s="585">
        <f t="shared" si="33"/>
        <v>0</v>
      </c>
      <c r="AX20" s="585">
        <f t="shared" si="33"/>
        <v>0</v>
      </c>
      <c r="AY20" s="586">
        <f t="shared" si="7"/>
        <v>0</v>
      </c>
      <c r="AZ20" s="587">
        <f t="shared" ref="AZ20:BG20" si="34">SUM(AZ17:AZ19)</f>
        <v>0</v>
      </c>
      <c r="BA20" s="585">
        <f t="shared" si="34"/>
        <v>60590319.592199579</v>
      </c>
      <c r="BB20" s="585">
        <f t="shared" si="34"/>
        <v>0</v>
      </c>
      <c r="BC20" s="585">
        <f t="shared" si="34"/>
        <v>50306829.567599222</v>
      </c>
      <c r="BD20" s="585">
        <f t="shared" si="34"/>
        <v>0</v>
      </c>
      <c r="BE20" s="585">
        <f t="shared" si="34"/>
        <v>56566745.954399936</v>
      </c>
      <c r="BF20" s="585">
        <f t="shared" si="34"/>
        <v>0</v>
      </c>
      <c r="BG20" s="585">
        <f t="shared" si="34"/>
        <v>56663150.297199845</v>
      </c>
      <c r="BH20" s="588">
        <f t="shared" si="8"/>
        <v>224127045.41139859</v>
      </c>
      <c r="BI20" s="589">
        <f t="shared" si="9"/>
        <v>224127045.41139859</v>
      </c>
      <c r="BJ20" s="300">
        <v>2</v>
      </c>
      <c r="BK20" s="585">
        <f t="shared" ref="BK20:BR20" si="35">SUM(BK17:BK19)</f>
        <v>0</v>
      </c>
      <c r="BL20" s="585">
        <f t="shared" si="35"/>
        <v>0</v>
      </c>
      <c r="BM20" s="585">
        <f t="shared" si="35"/>
        <v>0</v>
      </c>
      <c r="BN20" s="585">
        <f t="shared" si="35"/>
        <v>0</v>
      </c>
      <c r="BO20" s="585">
        <f t="shared" si="35"/>
        <v>0</v>
      </c>
      <c r="BP20" s="585">
        <f t="shared" si="35"/>
        <v>0</v>
      </c>
      <c r="BQ20" s="585">
        <f t="shared" si="35"/>
        <v>0</v>
      </c>
      <c r="BR20" s="585">
        <f t="shared" si="35"/>
        <v>0</v>
      </c>
      <c r="BS20" s="586">
        <f t="shared" si="10"/>
        <v>0</v>
      </c>
      <c r="BT20" s="587">
        <f t="shared" ref="BT20:CA20" si="36">SUM(BT17:BT19)</f>
        <v>0</v>
      </c>
      <c r="BU20" s="585">
        <f t="shared" si="36"/>
        <v>2693474.0918000001</v>
      </c>
      <c r="BV20" s="585">
        <f t="shared" si="36"/>
        <v>0</v>
      </c>
      <c r="BW20" s="585">
        <f t="shared" si="36"/>
        <v>2199658.5024000001</v>
      </c>
      <c r="BX20" s="585">
        <f t="shared" si="36"/>
        <v>0</v>
      </c>
      <c r="BY20" s="585">
        <f t="shared" si="36"/>
        <v>2167885.8257999998</v>
      </c>
      <c r="BZ20" s="585">
        <f t="shared" si="36"/>
        <v>0</v>
      </c>
      <c r="CA20" s="585">
        <f t="shared" si="36"/>
        <v>2365509.8789999997</v>
      </c>
      <c r="CB20" s="588">
        <f t="shared" si="11"/>
        <v>9426528.2989999987</v>
      </c>
      <c r="CC20" s="589">
        <f t="shared" si="12"/>
        <v>9426528.2989999987</v>
      </c>
      <c r="CD20" s="300">
        <v>2</v>
      </c>
      <c r="CE20" s="414">
        <f t="shared" si="14"/>
        <v>0</v>
      </c>
      <c r="CF20" s="414">
        <f t="shared" si="15"/>
        <v>0</v>
      </c>
      <c r="CG20" s="414">
        <f t="shared" si="16"/>
        <v>0</v>
      </c>
      <c r="CH20" s="414">
        <f t="shared" si="17"/>
        <v>0</v>
      </c>
      <c r="CI20" s="416">
        <f t="shared" si="18"/>
        <v>0</v>
      </c>
      <c r="CJ20" s="414">
        <f t="shared" si="19"/>
        <v>73058764.458399564</v>
      </c>
      <c r="CK20" s="414">
        <f t="shared" si="20"/>
        <v>61432773.755999215</v>
      </c>
      <c r="CL20" s="414">
        <f t="shared" si="21"/>
        <v>68678316.870799899</v>
      </c>
      <c r="CM20" s="414">
        <f t="shared" si="22"/>
        <v>69146489.144799829</v>
      </c>
      <c r="CN20" s="416">
        <f t="shared" si="23"/>
        <v>272316344.22999853</v>
      </c>
      <c r="CO20" s="414">
        <f t="shared" si="24"/>
        <v>73058764.458399564</v>
      </c>
      <c r="CP20" s="414">
        <f t="shared" si="25"/>
        <v>61432773.755999215</v>
      </c>
      <c r="CQ20" s="414">
        <f t="shared" si="26"/>
        <v>68678316.870799899</v>
      </c>
      <c r="CR20" s="414">
        <f t="shared" si="27"/>
        <v>69146489.144799829</v>
      </c>
      <c r="CS20" s="416">
        <f t="shared" si="13"/>
        <v>272316344.22999853</v>
      </c>
    </row>
    <row r="21" spans="1:99" ht="15.75" customHeight="1">
      <c r="A21" s="88" t="s">
        <v>175</v>
      </c>
      <c r="B21" s="300">
        <v>3</v>
      </c>
      <c r="C21" s="585">
        <f>SUM('Schedule 3B_Income_Eastern:Schedule 3D_Income_The Cape'!C21)</f>
        <v>0</v>
      </c>
      <c r="D21" s="585">
        <f>SUM('Schedule 3B_Income_Eastern:Schedule 3D_Income_The Cape'!D21)</f>
        <v>0</v>
      </c>
      <c r="E21" s="585">
        <f>SUM('Schedule 3B_Income_Eastern:Schedule 3D_Income_The Cape'!E21)</f>
        <v>0</v>
      </c>
      <c r="F21" s="585">
        <f>SUM('Schedule 3B_Income_Eastern:Schedule 3D_Income_The Cape'!F21)</f>
        <v>0</v>
      </c>
      <c r="G21" s="585">
        <f>SUM('Schedule 3B_Income_Eastern:Schedule 3D_Income_The Cape'!G21)</f>
        <v>0</v>
      </c>
      <c r="H21" s="585">
        <f>SUM('Schedule 3B_Income_Eastern:Schedule 3D_Income_The Cape'!H21)</f>
        <v>0</v>
      </c>
      <c r="I21" s="585">
        <f>SUM('Schedule 3B_Income_Eastern:Schedule 3D_Income_The Cape'!I21)</f>
        <v>0</v>
      </c>
      <c r="J21" s="585">
        <f>SUM('Schedule 3B_Income_Eastern:Schedule 3D_Income_The Cape'!J21)</f>
        <v>0</v>
      </c>
      <c r="K21" s="586">
        <f t="shared" si="1"/>
        <v>0</v>
      </c>
      <c r="L21" s="587">
        <f>SUM('Schedule 3B_Income_Eastern:Schedule 3D_Income_The Cape'!L21)</f>
        <v>0</v>
      </c>
      <c r="M21" s="585">
        <f>SUM('Schedule 3B_Income_Eastern:Schedule 3D_Income_The Cape'!M21)</f>
        <v>0</v>
      </c>
      <c r="N21" s="585">
        <f>SUM('Schedule 3B_Income_Eastern:Schedule 3D_Income_The Cape'!N21)</f>
        <v>0</v>
      </c>
      <c r="O21" s="585">
        <f>SUM('Schedule 3B_Income_Eastern:Schedule 3D_Income_The Cape'!O21)</f>
        <v>0</v>
      </c>
      <c r="P21" s="585">
        <f>SUM('Schedule 3B_Income_Eastern:Schedule 3D_Income_The Cape'!P21)</f>
        <v>0</v>
      </c>
      <c r="Q21" s="585">
        <f>SUM('Schedule 3B_Income_Eastern:Schedule 3D_Income_The Cape'!Q21)</f>
        <v>0</v>
      </c>
      <c r="R21" s="585">
        <f>SUM('Schedule 3B_Income_Eastern:Schedule 3D_Income_The Cape'!R21)</f>
        <v>0</v>
      </c>
      <c r="S21" s="585">
        <f>SUM('Schedule 3B_Income_Eastern:Schedule 3D_Income_The Cape'!S21)</f>
        <v>0</v>
      </c>
      <c r="T21" s="588">
        <f t="shared" si="2"/>
        <v>0</v>
      </c>
      <c r="U21" s="589">
        <f t="shared" si="3"/>
        <v>0</v>
      </c>
      <c r="V21" s="300">
        <v>3</v>
      </c>
      <c r="W21" s="585">
        <f>SUM('Schedule 3B_Income_Eastern:Schedule 3D_Income_The Cape'!W21)</f>
        <v>0</v>
      </c>
      <c r="X21" s="585">
        <f>SUM('Schedule 3B_Income_Eastern:Schedule 3D_Income_The Cape'!X21)</f>
        <v>0</v>
      </c>
      <c r="Y21" s="585">
        <f>SUM('Schedule 3B_Income_Eastern:Schedule 3D_Income_The Cape'!Y21)</f>
        <v>0</v>
      </c>
      <c r="Z21" s="585">
        <f>SUM('Schedule 3B_Income_Eastern:Schedule 3D_Income_The Cape'!Z21)</f>
        <v>0</v>
      </c>
      <c r="AA21" s="585">
        <f>SUM('Schedule 3B_Income_Eastern:Schedule 3D_Income_The Cape'!AA21)</f>
        <v>0</v>
      </c>
      <c r="AB21" s="585">
        <f>SUM('Schedule 3B_Income_Eastern:Schedule 3D_Income_The Cape'!AB21)</f>
        <v>0</v>
      </c>
      <c r="AC21" s="585">
        <f>SUM('Schedule 3B_Income_Eastern:Schedule 3D_Income_The Cape'!AC21)</f>
        <v>0</v>
      </c>
      <c r="AD21" s="585">
        <f>SUM('Schedule 3B_Income_Eastern:Schedule 3D_Income_The Cape'!AD21)</f>
        <v>0</v>
      </c>
      <c r="AE21" s="586">
        <f t="shared" si="4"/>
        <v>0</v>
      </c>
      <c r="AF21" s="587">
        <f>SUM('Schedule 3B_Income_Eastern:Schedule 3D_Income_The Cape'!AF21)</f>
        <v>0</v>
      </c>
      <c r="AG21" s="585">
        <f>SUM('Schedule 3B_Income_Eastern:Schedule 3D_Income_The Cape'!AG21)</f>
        <v>0</v>
      </c>
      <c r="AH21" s="585">
        <f>SUM('Schedule 3B_Income_Eastern:Schedule 3D_Income_The Cape'!AH21)</f>
        <v>0</v>
      </c>
      <c r="AI21" s="585">
        <f>SUM('Schedule 3B_Income_Eastern:Schedule 3D_Income_The Cape'!AI21)</f>
        <v>0</v>
      </c>
      <c r="AJ21" s="585">
        <f>SUM('Schedule 3B_Income_Eastern:Schedule 3D_Income_The Cape'!AJ21)</f>
        <v>0</v>
      </c>
      <c r="AK21" s="585">
        <f>SUM('Schedule 3B_Income_Eastern:Schedule 3D_Income_The Cape'!AK21)</f>
        <v>0</v>
      </c>
      <c r="AL21" s="585">
        <f>SUM('Schedule 3B_Income_Eastern:Schedule 3D_Income_The Cape'!AL21)</f>
        <v>0</v>
      </c>
      <c r="AM21" s="585">
        <f>SUM('Schedule 3B_Income_Eastern:Schedule 3D_Income_The Cape'!AM21)</f>
        <v>0</v>
      </c>
      <c r="AN21" s="588">
        <f t="shared" si="5"/>
        <v>0</v>
      </c>
      <c r="AO21" s="589">
        <f t="shared" si="6"/>
        <v>0</v>
      </c>
      <c r="AP21" s="300">
        <v>3</v>
      </c>
      <c r="AQ21" s="585">
        <f>SUM('Schedule 3B_Income_Eastern:Schedule 3D_Income_The Cape'!AQ21)</f>
        <v>0</v>
      </c>
      <c r="AR21" s="585">
        <f>SUM('Schedule 3B_Income_Eastern:Schedule 3D_Income_The Cape'!AR21)</f>
        <v>0</v>
      </c>
      <c r="AS21" s="585">
        <f>SUM('Schedule 3B_Income_Eastern:Schedule 3D_Income_The Cape'!AS21)</f>
        <v>0</v>
      </c>
      <c r="AT21" s="585">
        <f>SUM('Schedule 3B_Income_Eastern:Schedule 3D_Income_The Cape'!AT21)</f>
        <v>0</v>
      </c>
      <c r="AU21" s="585">
        <f>SUM('Schedule 3B_Income_Eastern:Schedule 3D_Income_The Cape'!AU21)</f>
        <v>0</v>
      </c>
      <c r="AV21" s="585">
        <f>SUM('Schedule 3B_Income_Eastern:Schedule 3D_Income_The Cape'!AV21)</f>
        <v>0</v>
      </c>
      <c r="AW21" s="585">
        <f>SUM('Schedule 3B_Income_Eastern:Schedule 3D_Income_The Cape'!AW21)</f>
        <v>0</v>
      </c>
      <c r="AX21" s="585">
        <f>SUM('Schedule 3B_Income_Eastern:Schedule 3D_Income_The Cape'!AX21)</f>
        <v>0</v>
      </c>
      <c r="AY21" s="586">
        <f t="shared" si="7"/>
        <v>0</v>
      </c>
      <c r="AZ21" s="587">
        <f>SUM('Schedule 3B_Income_Eastern:Schedule 3D_Income_The Cape'!AZ21)</f>
        <v>0</v>
      </c>
      <c r="BA21" s="585">
        <f>SUM('Schedule 3B_Income_Eastern:Schedule 3D_Income_The Cape'!BA21)</f>
        <v>0</v>
      </c>
      <c r="BB21" s="585">
        <f>SUM('Schedule 3B_Income_Eastern:Schedule 3D_Income_The Cape'!BB21)</f>
        <v>0</v>
      </c>
      <c r="BC21" s="585">
        <f>SUM('Schedule 3B_Income_Eastern:Schedule 3D_Income_The Cape'!BC21)</f>
        <v>0</v>
      </c>
      <c r="BD21" s="585">
        <f>SUM('Schedule 3B_Income_Eastern:Schedule 3D_Income_The Cape'!BD21)</f>
        <v>0</v>
      </c>
      <c r="BE21" s="585">
        <f>SUM('Schedule 3B_Income_Eastern:Schedule 3D_Income_The Cape'!BE21)</f>
        <v>0</v>
      </c>
      <c r="BF21" s="585">
        <f>SUM('Schedule 3B_Income_Eastern:Schedule 3D_Income_The Cape'!BF21)</f>
        <v>0</v>
      </c>
      <c r="BG21" s="585">
        <f>SUM('Schedule 3B_Income_Eastern:Schedule 3D_Income_The Cape'!BG21)</f>
        <v>0</v>
      </c>
      <c r="BH21" s="588">
        <f t="shared" si="8"/>
        <v>0</v>
      </c>
      <c r="BI21" s="589">
        <f t="shared" si="9"/>
        <v>0</v>
      </c>
      <c r="BJ21" s="300">
        <v>3</v>
      </c>
      <c r="BK21" s="585">
        <f>SUM('Schedule 3B_Income_Eastern:Schedule 3D_Income_The Cape'!BK21)</f>
        <v>0</v>
      </c>
      <c r="BL21" s="585">
        <f>SUM('Schedule 3B_Income_Eastern:Schedule 3D_Income_The Cape'!BL21)</f>
        <v>0</v>
      </c>
      <c r="BM21" s="585">
        <f>SUM('Schedule 3B_Income_Eastern:Schedule 3D_Income_The Cape'!BM21)</f>
        <v>0</v>
      </c>
      <c r="BN21" s="585">
        <f>SUM('Schedule 3B_Income_Eastern:Schedule 3D_Income_The Cape'!BN21)</f>
        <v>0</v>
      </c>
      <c r="BO21" s="585">
        <f>SUM('Schedule 3B_Income_Eastern:Schedule 3D_Income_The Cape'!BO21)</f>
        <v>0</v>
      </c>
      <c r="BP21" s="585">
        <f>SUM('Schedule 3B_Income_Eastern:Schedule 3D_Income_The Cape'!BP21)</f>
        <v>0</v>
      </c>
      <c r="BQ21" s="585">
        <f>SUM('Schedule 3B_Income_Eastern:Schedule 3D_Income_The Cape'!BQ21)</f>
        <v>0</v>
      </c>
      <c r="BR21" s="585">
        <f>SUM('Schedule 3B_Income_Eastern:Schedule 3D_Income_The Cape'!BR21)</f>
        <v>0</v>
      </c>
      <c r="BS21" s="586">
        <f t="shared" si="10"/>
        <v>0</v>
      </c>
      <c r="BT21" s="587">
        <f>SUM('Schedule 3B_Income_Eastern:Schedule 3D_Income_The Cape'!BT21)</f>
        <v>0</v>
      </c>
      <c r="BU21" s="585">
        <f>SUM('Schedule 3B_Income_Eastern:Schedule 3D_Income_The Cape'!BU21)</f>
        <v>0</v>
      </c>
      <c r="BV21" s="585">
        <f>SUM('Schedule 3B_Income_Eastern:Schedule 3D_Income_The Cape'!BV21)</f>
        <v>0</v>
      </c>
      <c r="BW21" s="585">
        <f>SUM('Schedule 3B_Income_Eastern:Schedule 3D_Income_The Cape'!BW21)</f>
        <v>0</v>
      </c>
      <c r="BX21" s="585">
        <f>SUM('Schedule 3B_Income_Eastern:Schedule 3D_Income_The Cape'!BX21)</f>
        <v>0</v>
      </c>
      <c r="BY21" s="585">
        <f>SUM('Schedule 3B_Income_Eastern:Schedule 3D_Income_The Cape'!BY21)</f>
        <v>0</v>
      </c>
      <c r="BZ21" s="585">
        <f>SUM('Schedule 3B_Income_Eastern:Schedule 3D_Income_The Cape'!BZ21)</f>
        <v>0</v>
      </c>
      <c r="CA21" s="585">
        <f>SUM('Schedule 3B_Income_Eastern:Schedule 3D_Income_The Cape'!CA21)</f>
        <v>0</v>
      </c>
      <c r="CB21" s="588">
        <f t="shared" si="11"/>
        <v>0</v>
      </c>
      <c r="CC21" s="589">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13"/>
        <v>0</v>
      </c>
    </row>
    <row r="22" spans="1:99" ht="15.75" customHeight="1">
      <c r="A22" s="88" t="s">
        <v>177</v>
      </c>
      <c r="B22" s="300">
        <v>4</v>
      </c>
      <c r="C22" s="585">
        <f>SUM('Schedule 3B_Income_Eastern:Schedule 3D_Income_The Cape'!C22)</f>
        <v>0</v>
      </c>
      <c r="D22" s="585">
        <f>SUM('Schedule 3B_Income_Eastern:Schedule 3D_Income_The Cape'!D22)</f>
        <v>0</v>
      </c>
      <c r="E22" s="585">
        <f>SUM('Schedule 3B_Income_Eastern:Schedule 3D_Income_The Cape'!E22)</f>
        <v>0</v>
      </c>
      <c r="F22" s="585">
        <f>SUM('Schedule 3B_Income_Eastern:Schedule 3D_Income_The Cape'!F22)</f>
        <v>0</v>
      </c>
      <c r="G22" s="585">
        <f>SUM('Schedule 3B_Income_Eastern:Schedule 3D_Income_The Cape'!G22)</f>
        <v>0</v>
      </c>
      <c r="H22" s="585">
        <f>SUM('Schedule 3B_Income_Eastern:Schedule 3D_Income_The Cape'!H22)</f>
        <v>0</v>
      </c>
      <c r="I22" s="585">
        <f>SUM('Schedule 3B_Income_Eastern:Schedule 3D_Income_The Cape'!I22)</f>
        <v>0</v>
      </c>
      <c r="J22" s="585">
        <f>SUM('Schedule 3B_Income_Eastern:Schedule 3D_Income_The Cape'!J22)</f>
        <v>0</v>
      </c>
      <c r="K22" s="586">
        <f t="shared" si="1"/>
        <v>0</v>
      </c>
      <c r="L22" s="587">
        <f>SUM('Schedule 3B_Income_Eastern:Schedule 3D_Income_The Cape'!L22)</f>
        <v>0</v>
      </c>
      <c r="M22" s="585">
        <f>SUM('Schedule 3B_Income_Eastern:Schedule 3D_Income_The Cape'!M22)</f>
        <v>119896.45187823223</v>
      </c>
      <c r="N22" s="585">
        <f>SUM('Schedule 3B_Income_Eastern:Schedule 3D_Income_The Cape'!N22)</f>
        <v>0</v>
      </c>
      <c r="O22" s="585">
        <f>SUM('Schedule 3B_Income_Eastern:Schedule 3D_Income_The Cape'!O22)</f>
        <v>95641.304974887433</v>
      </c>
      <c r="P22" s="585">
        <f>SUM('Schedule 3B_Income_Eastern:Schedule 3D_Income_The Cape'!P22)</f>
        <v>0</v>
      </c>
      <c r="Q22" s="585">
        <f>SUM('Schedule 3B_Income_Eastern:Schedule 3D_Income_The Cape'!Q22)</f>
        <v>107882.83353089841</v>
      </c>
      <c r="R22" s="585">
        <f>SUM('Schedule 3B_Income_Eastern:Schedule 3D_Income_The Cape'!R22)</f>
        <v>0</v>
      </c>
      <c r="S22" s="585">
        <f>SUM('Schedule 3B_Income_Eastern:Schedule 3D_Income_The Cape'!S22)</f>
        <v>104924.14793791738</v>
      </c>
      <c r="T22" s="588">
        <f t="shared" si="2"/>
        <v>428344.73832193541</v>
      </c>
      <c r="U22" s="589">
        <f t="shared" si="3"/>
        <v>428344.73832193541</v>
      </c>
      <c r="V22" s="300">
        <v>4</v>
      </c>
      <c r="W22" s="585">
        <f>SUM('Schedule 3B_Income_Eastern:Schedule 3D_Income_The Cape'!W22)</f>
        <v>0</v>
      </c>
      <c r="X22" s="585">
        <f>SUM('Schedule 3B_Income_Eastern:Schedule 3D_Income_The Cape'!X22)</f>
        <v>0</v>
      </c>
      <c r="Y22" s="585">
        <f>SUM('Schedule 3B_Income_Eastern:Schedule 3D_Income_The Cape'!Y22)</f>
        <v>0</v>
      </c>
      <c r="Z22" s="585">
        <f>SUM('Schedule 3B_Income_Eastern:Schedule 3D_Income_The Cape'!Z22)</f>
        <v>0</v>
      </c>
      <c r="AA22" s="585">
        <f>SUM('Schedule 3B_Income_Eastern:Schedule 3D_Income_The Cape'!AA22)</f>
        <v>0</v>
      </c>
      <c r="AB22" s="585">
        <f>SUM('Schedule 3B_Income_Eastern:Schedule 3D_Income_The Cape'!AB22)</f>
        <v>0</v>
      </c>
      <c r="AC22" s="585">
        <f>SUM('Schedule 3B_Income_Eastern:Schedule 3D_Income_The Cape'!AC22)</f>
        <v>0</v>
      </c>
      <c r="AD22" s="585">
        <f>SUM('Schedule 3B_Income_Eastern:Schedule 3D_Income_The Cape'!AD22)</f>
        <v>0</v>
      </c>
      <c r="AE22" s="586">
        <f t="shared" si="4"/>
        <v>0</v>
      </c>
      <c r="AF22" s="587">
        <f>SUM('Schedule 3B_Income_Eastern:Schedule 3D_Income_The Cape'!AF22)</f>
        <v>0</v>
      </c>
      <c r="AG22" s="585">
        <f>SUM('Schedule 3B_Income_Eastern:Schedule 3D_Income_The Cape'!AG22)</f>
        <v>48635.527659045823</v>
      </c>
      <c r="AH22" s="585">
        <f>SUM('Schedule 3B_Income_Eastern:Schedule 3D_Income_The Cape'!AH22)</f>
        <v>0</v>
      </c>
      <c r="AI22" s="585">
        <f>SUM('Schedule 3B_Income_Eastern:Schedule 3D_Income_The Cape'!AI22)</f>
        <v>38364.658691832621</v>
      </c>
      <c r="AJ22" s="585">
        <f>SUM('Schedule 3B_Income_Eastern:Schedule 3D_Income_The Cape'!AJ22)</f>
        <v>0</v>
      </c>
      <c r="AK22" s="585">
        <f>SUM('Schedule 3B_Income_Eastern:Schedule 3D_Income_The Cape'!AK22)</f>
        <v>40807.210019104619</v>
      </c>
      <c r="AL22" s="585">
        <f>SUM('Schedule 3B_Income_Eastern:Schedule 3D_Income_The Cape'!AL22)</f>
        <v>0</v>
      </c>
      <c r="AM22" s="585">
        <f>SUM('Schedule 3B_Income_Eastern:Schedule 3D_Income_The Cape'!AM22)</f>
        <v>41425.697614581019</v>
      </c>
      <c r="AN22" s="588">
        <f t="shared" si="5"/>
        <v>169233.09398456407</v>
      </c>
      <c r="AO22" s="589">
        <f t="shared" si="6"/>
        <v>169233.09398456407</v>
      </c>
      <c r="AP22" s="300">
        <v>4</v>
      </c>
      <c r="AQ22" s="585">
        <f>SUM('Schedule 3B_Income_Eastern:Schedule 3D_Income_The Cape'!AQ22)</f>
        <v>0</v>
      </c>
      <c r="AR22" s="585">
        <f>SUM('Schedule 3B_Income_Eastern:Schedule 3D_Income_The Cape'!AR22)</f>
        <v>0</v>
      </c>
      <c r="AS22" s="585">
        <f>SUM('Schedule 3B_Income_Eastern:Schedule 3D_Income_The Cape'!AS22)</f>
        <v>0</v>
      </c>
      <c r="AT22" s="585">
        <f>SUM('Schedule 3B_Income_Eastern:Schedule 3D_Income_The Cape'!AT22)</f>
        <v>0</v>
      </c>
      <c r="AU22" s="585">
        <f>SUM('Schedule 3B_Income_Eastern:Schedule 3D_Income_The Cape'!AU22)</f>
        <v>0</v>
      </c>
      <c r="AV22" s="585">
        <f>SUM('Schedule 3B_Income_Eastern:Schedule 3D_Income_The Cape'!AV22)</f>
        <v>0</v>
      </c>
      <c r="AW22" s="585">
        <f>SUM('Schedule 3B_Income_Eastern:Schedule 3D_Income_The Cape'!AW22)</f>
        <v>0</v>
      </c>
      <c r="AX22" s="585">
        <f>SUM('Schedule 3B_Income_Eastern:Schedule 3D_Income_The Cape'!AX22)</f>
        <v>0</v>
      </c>
      <c r="AY22" s="586">
        <f t="shared" si="7"/>
        <v>0</v>
      </c>
      <c r="AZ22" s="587">
        <f>SUM('Schedule 3B_Income_Eastern:Schedule 3D_Income_The Cape'!AZ22)</f>
        <v>0</v>
      </c>
      <c r="BA22" s="585">
        <f>SUM('Schedule 3B_Income_Eastern:Schedule 3D_Income_The Cape'!BA22)</f>
        <v>878735.58586864965</v>
      </c>
      <c r="BB22" s="585">
        <f>SUM('Schedule 3B_Income_Eastern:Schedule 3D_Income_The Cape'!BB22)</f>
        <v>0</v>
      </c>
      <c r="BC22" s="585">
        <f>SUM('Schedule 3B_Income_Eastern:Schedule 3D_Income_The Cape'!BC22)</f>
        <v>754739.86915778415</v>
      </c>
      <c r="BD22" s="585">
        <f>SUM('Schedule 3B_Income_Eastern:Schedule 3D_Income_The Cape'!BD22)</f>
        <v>0</v>
      </c>
      <c r="BE22" s="585">
        <f>SUM('Schedule 3B_Income_Eastern:Schedule 3D_Income_The Cape'!BE22)</f>
        <v>833868.8712914784</v>
      </c>
      <c r="BF22" s="585">
        <f>SUM('Schedule 3B_Income_Eastern:Schedule 3D_Income_The Cape'!BF22)</f>
        <v>0</v>
      </c>
      <c r="BG22" s="585">
        <f>SUM('Schedule 3B_Income_Eastern:Schedule 3D_Income_The Cape'!BG22)</f>
        <v>853476.58287772397</v>
      </c>
      <c r="BH22" s="588">
        <f t="shared" si="8"/>
        <v>3320820.9091956359</v>
      </c>
      <c r="BI22" s="589">
        <f t="shared" si="9"/>
        <v>3320820.9091956359</v>
      </c>
      <c r="BJ22" s="300">
        <v>4</v>
      </c>
      <c r="BK22" s="585">
        <f>SUM('Schedule 3B_Income_Eastern:Schedule 3D_Income_The Cape'!BK22)</f>
        <v>0</v>
      </c>
      <c r="BL22" s="585">
        <f>SUM('Schedule 3B_Income_Eastern:Schedule 3D_Income_The Cape'!BL22)</f>
        <v>0</v>
      </c>
      <c r="BM22" s="585">
        <f>SUM('Schedule 3B_Income_Eastern:Schedule 3D_Income_The Cape'!BM22)</f>
        <v>0</v>
      </c>
      <c r="BN22" s="585">
        <f>SUM('Schedule 3B_Income_Eastern:Schedule 3D_Income_The Cape'!BN22)</f>
        <v>0</v>
      </c>
      <c r="BO22" s="585">
        <f>SUM('Schedule 3B_Income_Eastern:Schedule 3D_Income_The Cape'!BO22)</f>
        <v>0</v>
      </c>
      <c r="BP22" s="585">
        <f>SUM('Schedule 3B_Income_Eastern:Schedule 3D_Income_The Cape'!BP22)</f>
        <v>0</v>
      </c>
      <c r="BQ22" s="585">
        <f>SUM('Schedule 3B_Income_Eastern:Schedule 3D_Income_The Cape'!BQ22)</f>
        <v>0</v>
      </c>
      <c r="BR22" s="585">
        <f>SUM('Schedule 3B_Income_Eastern:Schedule 3D_Income_The Cape'!BR22)</f>
        <v>0</v>
      </c>
      <c r="BS22" s="586">
        <f t="shared" si="10"/>
        <v>0</v>
      </c>
      <c r="BT22" s="587">
        <f>SUM('Schedule 3B_Income_Eastern:Schedule 3D_Income_The Cape'!BT22)</f>
        <v>0</v>
      </c>
      <c r="BU22" s="585">
        <f>SUM('Schedule 3B_Income_Eastern:Schedule 3D_Income_The Cape'!BU22)</f>
        <v>41891.041976261986</v>
      </c>
      <c r="BV22" s="585">
        <f>SUM('Schedule 3B_Income_Eastern:Schedule 3D_Income_The Cape'!BV22)</f>
        <v>0</v>
      </c>
      <c r="BW22" s="585">
        <f>SUM('Schedule 3B_Income_Eastern:Schedule 3D_Income_The Cape'!BW22)</f>
        <v>34782.057129339024</v>
      </c>
      <c r="BX22" s="585">
        <f>SUM('Schedule 3B_Income_Eastern:Schedule 3D_Income_The Cape'!BX22)</f>
        <v>0</v>
      </c>
      <c r="BY22" s="585">
        <f>SUM('Schedule 3B_Income_Eastern:Schedule 3D_Income_The Cape'!BY22)</f>
        <v>34950.50405792291</v>
      </c>
      <c r="BZ22" s="585">
        <f>SUM('Schedule 3B_Income_Eastern:Schedule 3D_Income_The Cape'!BZ22)</f>
        <v>0</v>
      </c>
      <c r="CA22" s="585">
        <f>SUM('Schedule 3B_Income_Eastern:Schedule 3D_Income_The Cape'!CA22)</f>
        <v>34015.944526175175</v>
      </c>
      <c r="CB22" s="588">
        <f t="shared" si="11"/>
        <v>145639.5476896991</v>
      </c>
      <c r="CC22" s="589">
        <f t="shared" si="12"/>
        <v>145639.5476896991</v>
      </c>
      <c r="CD22" s="300">
        <v>4</v>
      </c>
      <c r="CE22" s="414">
        <f t="shared" si="14"/>
        <v>0</v>
      </c>
      <c r="CF22" s="414">
        <f t="shared" si="15"/>
        <v>0</v>
      </c>
      <c r="CG22" s="414">
        <f t="shared" si="16"/>
        <v>0</v>
      </c>
      <c r="CH22" s="414">
        <f t="shared" si="17"/>
        <v>0</v>
      </c>
      <c r="CI22" s="416">
        <f t="shared" si="18"/>
        <v>0</v>
      </c>
      <c r="CJ22" s="414">
        <f t="shared" si="19"/>
        <v>1089158.6073821897</v>
      </c>
      <c r="CK22" s="414">
        <f t="shared" si="20"/>
        <v>923527.88995384332</v>
      </c>
      <c r="CL22" s="414">
        <f t="shared" si="21"/>
        <v>1017509.4188994044</v>
      </c>
      <c r="CM22" s="414">
        <f t="shared" si="22"/>
        <v>1033842.3729563976</v>
      </c>
      <c r="CN22" s="416">
        <f t="shared" si="23"/>
        <v>4064038.2891918346</v>
      </c>
      <c r="CO22" s="414">
        <f t="shared" si="24"/>
        <v>1089158.6073821897</v>
      </c>
      <c r="CP22" s="414">
        <f t="shared" si="25"/>
        <v>923527.88995384332</v>
      </c>
      <c r="CQ22" s="414">
        <f t="shared" si="26"/>
        <v>1017509.4188994044</v>
      </c>
      <c r="CR22" s="414">
        <f t="shared" si="27"/>
        <v>1033842.3729563976</v>
      </c>
      <c r="CS22" s="416">
        <f t="shared" si="13"/>
        <v>4064038.2891918342</v>
      </c>
    </row>
    <row r="23" spans="1:99" ht="15.75" customHeight="1">
      <c r="A23" s="135" t="s">
        <v>179</v>
      </c>
      <c r="B23" s="300">
        <v>5</v>
      </c>
      <c r="C23" s="585">
        <f t="shared" ref="C23" si="37">SUM(C20:C22)+C16</f>
        <v>1307175.47000003</v>
      </c>
      <c r="D23" s="585">
        <f t="shared" ref="D23:J23" si="38">SUM(D20:D22)+D16</f>
        <v>2746298.3100002413</v>
      </c>
      <c r="E23" s="585">
        <f t="shared" si="38"/>
        <v>1353484.5800000299</v>
      </c>
      <c r="F23" s="585">
        <f t="shared" si="38"/>
        <v>2837490.8200002611</v>
      </c>
      <c r="G23" s="585">
        <f t="shared" si="38"/>
        <v>1406455.43000004</v>
      </c>
      <c r="H23" s="585">
        <f t="shared" si="38"/>
        <v>2976550.2100002831</v>
      </c>
      <c r="I23" s="585">
        <f t="shared" si="38"/>
        <v>1472297.3000000401</v>
      </c>
      <c r="J23" s="585">
        <f t="shared" si="38"/>
        <v>3016804.8000002834</v>
      </c>
      <c r="K23" s="586">
        <f t="shared" si="1"/>
        <v>17116556.920001209</v>
      </c>
      <c r="L23" s="587">
        <f t="shared" ref="L23:S23" si="39">SUM(L20:L22)+L16</f>
        <v>0</v>
      </c>
      <c r="M23" s="585">
        <f t="shared" si="39"/>
        <v>7376568.7170782099</v>
      </c>
      <c r="N23" s="585">
        <f t="shared" si="39"/>
        <v>0</v>
      </c>
      <c r="O23" s="585">
        <f t="shared" si="39"/>
        <v>6947446.5197748775</v>
      </c>
      <c r="P23" s="585">
        <f t="shared" si="39"/>
        <v>0</v>
      </c>
      <c r="Q23" s="585">
        <f t="shared" si="39"/>
        <v>7833952.773730862</v>
      </c>
      <c r="R23" s="585">
        <f t="shared" si="39"/>
        <v>0</v>
      </c>
      <c r="S23" s="585">
        <f t="shared" si="39"/>
        <v>7967736.6129379114</v>
      </c>
      <c r="T23" s="588">
        <f t="shared" si="2"/>
        <v>30125704.623521861</v>
      </c>
      <c r="U23" s="217">
        <f t="shared" si="3"/>
        <v>47242261.543523073</v>
      </c>
      <c r="V23" s="300">
        <v>5</v>
      </c>
      <c r="W23" s="585">
        <f t="shared" ref="W23:AD23" si="40">SUM(W20:W22)+W16</f>
        <v>211537.86</v>
      </c>
      <c r="X23" s="585">
        <f t="shared" si="40"/>
        <v>1419351.3100000189</v>
      </c>
      <c r="Y23" s="585">
        <f t="shared" si="40"/>
        <v>209881.93</v>
      </c>
      <c r="Z23" s="585">
        <f t="shared" si="40"/>
        <v>1356663.7700000182</v>
      </c>
      <c r="AA23" s="585">
        <f t="shared" si="40"/>
        <v>208417.22999999998</v>
      </c>
      <c r="AB23" s="585">
        <f t="shared" si="40"/>
        <v>1366160.390000019</v>
      </c>
      <c r="AC23" s="585">
        <f t="shared" si="40"/>
        <v>234610.53</v>
      </c>
      <c r="AD23" s="585">
        <f t="shared" si="40"/>
        <v>1416501.0300000201</v>
      </c>
      <c r="AE23" s="586">
        <f t="shared" si="4"/>
        <v>6423124.0500000762</v>
      </c>
      <c r="AF23" s="587">
        <f t="shared" ref="AF23:AM23" si="41">SUM(AF20:AF22)+AF16</f>
        <v>0</v>
      </c>
      <c r="AG23" s="585">
        <f t="shared" si="41"/>
        <v>2566934.0368590457</v>
      </c>
      <c r="AH23" s="585">
        <f t="shared" si="41"/>
        <v>0</v>
      </c>
      <c r="AI23" s="585">
        <f t="shared" si="41"/>
        <v>2112845.1298918328</v>
      </c>
      <c r="AJ23" s="585">
        <f t="shared" si="41"/>
        <v>0</v>
      </c>
      <c r="AK23" s="585">
        <f t="shared" si="41"/>
        <v>2258422.3604191043</v>
      </c>
      <c r="AL23" s="585">
        <f t="shared" si="41"/>
        <v>0</v>
      </c>
      <c r="AM23" s="585">
        <f t="shared" si="41"/>
        <v>2296442.2012145808</v>
      </c>
      <c r="AN23" s="588">
        <f t="shared" si="5"/>
        <v>9234643.7283845618</v>
      </c>
      <c r="AO23" s="217">
        <f t="shared" si="6"/>
        <v>15657767.778384637</v>
      </c>
      <c r="AP23" s="300">
        <v>5</v>
      </c>
      <c r="AQ23" s="585">
        <f t="shared" ref="AQ23:AX23" si="42">SUM(AQ20:AQ22)+AQ16</f>
        <v>23418528.329998188</v>
      </c>
      <c r="AR23" s="585">
        <f t="shared" si="42"/>
        <v>55292293.500006221</v>
      </c>
      <c r="AS23" s="585">
        <f t="shared" si="42"/>
        <v>25063089.909998</v>
      </c>
      <c r="AT23" s="585">
        <f t="shared" si="42"/>
        <v>58185271.930009231</v>
      </c>
      <c r="AU23" s="585">
        <f t="shared" si="42"/>
        <v>26431821.770000603</v>
      </c>
      <c r="AV23" s="585">
        <f t="shared" si="42"/>
        <v>61460590.620016634</v>
      </c>
      <c r="AW23" s="585">
        <f t="shared" si="42"/>
        <v>28628666.670001198</v>
      </c>
      <c r="AX23" s="585">
        <f t="shared" si="42"/>
        <v>64215480.53001941</v>
      </c>
      <c r="AY23" s="586">
        <f t="shared" si="7"/>
        <v>342695743.26004946</v>
      </c>
      <c r="AZ23" s="587">
        <f t="shared" ref="AZ23:BG23" si="43">SUM(AZ20:AZ22)+AZ16</f>
        <v>0</v>
      </c>
      <c r="BA23" s="585">
        <f t="shared" si="43"/>
        <v>61469055.178068228</v>
      </c>
      <c r="BB23" s="585">
        <f t="shared" si="43"/>
        <v>0</v>
      </c>
      <c r="BC23" s="585">
        <f t="shared" si="43"/>
        <v>51061569.436757006</v>
      </c>
      <c r="BD23" s="585">
        <f t="shared" si="43"/>
        <v>0</v>
      </c>
      <c r="BE23" s="585">
        <f t="shared" si="43"/>
        <v>57400614.825691417</v>
      </c>
      <c r="BF23" s="585">
        <f t="shared" si="43"/>
        <v>0</v>
      </c>
      <c r="BG23" s="585">
        <f t="shared" si="43"/>
        <v>57516626.880077571</v>
      </c>
      <c r="BH23" s="588">
        <f t="shared" si="8"/>
        <v>227447866.32059422</v>
      </c>
      <c r="BI23" s="217">
        <f t="shared" si="9"/>
        <v>570143609.58064365</v>
      </c>
      <c r="BJ23" s="300">
        <v>5</v>
      </c>
      <c r="BK23" s="585">
        <f t="shared" ref="BK23:BR23" si="44">SUM(BK20:BK22)+BK16</f>
        <v>528941.00000000012</v>
      </c>
      <c r="BL23" s="585">
        <f t="shared" si="44"/>
        <v>5770205.2399999993</v>
      </c>
      <c r="BM23" s="585">
        <f t="shared" si="44"/>
        <v>504604.16000000009</v>
      </c>
      <c r="BN23" s="585">
        <f t="shared" si="44"/>
        <v>5554823.3200000003</v>
      </c>
      <c r="BO23" s="585">
        <f t="shared" si="44"/>
        <v>479600.67000000004</v>
      </c>
      <c r="BP23" s="585">
        <f t="shared" si="44"/>
        <v>5332706.8100000015</v>
      </c>
      <c r="BQ23" s="585">
        <f t="shared" si="44"/>
        <v>531472.94000000006</v>
      </c>
      <c r="BR23" s="585">
        <f t="shared" si="44"/>
        <v>5568984.9300000006</v>
      </c>
      <c r="BS23" s="586">
        <f t="shared" si="10"/>
        <v>24271339.07</v>
      </c>
      <c r="BT23" s="587">
        <f t="shared" ref="BT23:CA23" si="45">SUM(BT20:BT22)+BT16</f>
        <v>0</v>
      </c>
      <c r="BU23" s="585">
        <f t="shared" si="45"/>
        <v>2735365.1337762619</v>
      </c>
      <c r="BV23" s="585">
        <f t="shared" si="45"/>
        <v>0</v>
      </c>
      <c r="BW23" s="585">
        <f t="shared" si="45"/>
        <v>2234440.559529339</v>
      </c>
      <c r="BX23" s="585">
        <f t="shared" si="45"/>
        <v>0</v>
      </c>
      <c r="BY23" s="585">
        <f t="shared" si="45"/>
        <v>2202836.3298579226</v>
      </c>
      <c r="BZ23" s="585">
        <f t="shared" si="45"/>
        <v>0</v>
      </c>
      <c r="CA23" s="585">
        <f t="shared" si="45"/>
        <v>2399525.8235261748</v>
      </c>
      <c r="CB23" s="588">
        <f t="shared" si="11"/>
        <v>9572167.8466896974</v>
      </c>
      <c r="CC23" s="217">
        <f t="shared" si="12"/>
        <v>33843506.916689694</v>
      </c>
      <c r="CD23" s="300">
        <v>5</v>
      </c>
      <c r="CE23" s="414">
        <f t="shared" si="14"/>
        <v>90694331.02000469</v>
      </c>
      <c r="CF23" s="414">
        <f t="shared" si="15"/>
        <v>95065310.420007527</v>
      </c>
      <c r="CG23" s="414">
        <f t="shared" si="16"/>
        <v>99662303.130017594</v>
      </c>
      <c r="CH23" s="414">
        <f t="shared" si="17"/>
        <v>105084818.73002096</v>
      </c>
      <c r="CI23" s="416">
        <f t="shared" si="18"/>
        <v>390506763.30005074</v>
      </c>
      <c r="CJ23" s="414">
        <f t="shared" si="19"/>
        <v>74147923.065781742</v>
      </c>
      <c r="CK23" s="414">
        <f t="shared" si="20"/>
        <v>62356301.645953059</v>
      </c>
      <c r="CL23" s="414">
        <f t="shared" si="21"/>
        <v>69695826.289699301</v>
      </c>
      <c r="CM23" s="414">
        <f t="shared" si="22"/>
        <v>70180331.517756239</v>
      </c>
      <c r="CN23" s="416">
        <f t="shared" si="23"/>
        <v>276380382.51919031</v>
      </c>
      <c r="CO23" s="414">
        <f t="shared" si="24"/>
        <v>164842254.08578643</v>
      </c>
      <c r="CP23" s="414">
        <f t="shared" si="25"/>
        <v>157421612.06596059</v>
      </c>
      <c r="CQ23" s="414">
        <f t="shared" si="26"/>
        <v>169358129.41971686</v>
      </c>
      <c r="CR23" s="414">
        <f t="shared" si="27"/>
        <v>175265150.24777719</v>
      </c>
      <c r="CS23" s="416">
        <f t="shared" si="13"/>
        <v>666887145.81924105</v>
      </c>
    </row>
    <row r="24" spans="1:99" ht="15.75" customHeight="1">
      <c r="A24" s="135" t="s">
        <v>1340</v>
      </c>
      <c r="B24" s="193"/>
      <c r="C24" s="104"/>
      <c r="D24" s="104"/>
      <c r="E24" s="104"/>
      <c r="F24" s="104"/>
      <c r="G24" s="104"/>
      <c r="H24" s="104"/>
      <c r="I24" s="104"/>
      <c r="J24" s="104"/>
      <c r="K24" s="375"/>
      <c r="L24" s="376"/>
      <c r="M24" s="104"/>
      <c r="N24" s="104"/>
      <c r="O24" s="104"/>
      <c r="P24" s="104"/>
      <c r="Q24" s="104"/>
      <c r="R24" s="104"/>
      <c r="S24" s="104"/>
      <c r="T24" s="104"/>
      <c r="U24" s="377"/>
      <c r="V24" s="193"/>
      <c r="W24" s="104"/>
      <c r="X24" s="104"/>
      <c r="Y24" s="104"/>
      <c r="Z24" s="104"/>
      <c r="AA24" s="104"/>
      <c r="AB24" s="104"/>
      <c r="AC24" s="104"/>
      <c r="AD24" s="104"/>
      <c r="AE24" s="375"/>
      <c r="AF24" s="376"/>
      <c r="AG24" s="104"/>
      <c r="AH24" s="104"/>
      <c r="AI24" s="104"/>
      <c r="AJ24" s="104"/>
      <c r="AK24" s="104"/>
      <c r="AL24" s="104"/>
      <c r="AM24" s="104"/>
      <c r="AN24" s="104"/>
      <c r="AO24" s="377"/>
      <c r="AP24" s="193"/>
      <c r="AQ24" s="104"/>
      <c r="AR24" s="104"/>
      <c r="AS24" s="104"/>
      <c r="AT24" s="104"/>
      <c r="AU24" s="104"/>
      <c r="AV24" s="104"/>
      <c r="AW24" s="104"/>
      <c r="AX24" s="104"/>
      <c r="AY24" s="375"/>
      <c r="AZ24" s="376"/>
      <c r="BA24" s="104"/>
      <c r="BB24" s="104"/>
      <c r="BC24" s="104"/>
      <c r="BD24" s="104"/>
      <c r="BE24" s="104"/>
      <c r="BF24" s="104"/>
      <c r="BG24" s="104"/>
      <c r="BH24" s="104"/>
      <c r="BI24" s="377"/>
      <c r="BJ24" s="193"/>
      <c r="BK24" s="104"/>
      <c r="BL24" s="104"/>
      <c r="BM24" s="104"/>
      <c r="BN24" s="104"/>
      <c r="BO24" s="104"/>
      <c r="BP24" s="104"/>
      <c r="BQ24" s="104"/>
      <c r="BR24" s="104"/>
      <c r="BS24" s="375"/>
      <c r="BT24" s="376"/>
      <c r="BU24" s="104"/>
      <c r="BV24" s="104"/>
      <c r="BW24" s="104"/>
      <c r="BX24" s="104"/>
      <c r="BY24" s="104"/>
      <c r="BZ24" s="104"/>
      <c r="CA24" s="104"/>
      <c r="CB24" s="104"/>
      <c r="CC24" s="377"/>
      <c r="CD24" s="193"/>
      <c r="CE24" s="178"/>
      <c r="CF24" s="178"/>
      <c r="CG24" s="178"/>
      <c r="CH24" s="178"/>
      <c r="CI24" s="419"/>
      <c r="CJ24" s="178"/>
      <c r="CK24" s="178"/>
      <c r="CL24" s="178"/>
      <c r="CM24" s="178"/>
      <c r="CN24" s="419"/>
      <c r="CO24" s="178"/>
      <c r="CP24" s="178"/>
      <c r="CQ24" s="178"/>
      <c r="CR24" s="178"/>
      <c r="CS24" s="419"/>
    </row>
    <row r="25" spans="1:99" ht="15.75" customHeight="1">
      <c r="A25" s="88" t="s">
        <v>181</v>
      </c>
      <c r="B25" s="300">
        <v>6</v>
      </c>
      <c r="C25" s="585">
        <f>SUM('Schedule 3B_Income_Eastern:Schedule 3D_Income_The Cape'!C25)</f>
        <v>0</v>
      </c>
      <c r="D25" s="585">
        <f>SUM('Schedule 3B_Income_Eastern:Schedule 3D_Income_The Cape'!D25)</f>
        <v>0</v>
      </c>
      <c r="E25" s="585">
        <f>SUM('Schedule 3B_Income_Eastern:Schedule 3D_Income_The Cape'!E25)</f>
        <v>0</v>
      </c>
      <c r="F25" s="585">
        <f>SUM('Schedule 3B_Income_Eastern:Schedule 3D_Income_The Cape'!F25)</f>
        <v>0</v>
      </c>
      <c r="G25" s="585">
        <f>SUM('Schedule 3B_Income_Eastern:Schedule 3D_Income_The Cape'!G25)</f>
        <v>0</v>
      </c>
      <c r="H25" s="585">
        <f>SUM('Schedule 3B_Income_Eastern:Schedule 3D_Income_The Cape'!H25)</f>
        <v>0</v>
      </c>
      <c r="I25" s="585">
        <f>SUM('Schedule 3B_Income_Eastern:Schedule 3D_Income_The Cape'!I25)</f>
        <v>0</v>
      </c>
      <c r="J25" s="585">
        <f>SUM('Schedule 3B_Income_Eastern:Schedule 3D_Income_The Cape'!J25)</f>
        <v>0</v>
      </c>
      <c r="K25" s="586">
        <f t="shared" ref="K25:K30" si="46">SUM(C25:J25)</f>
        <v>0</v>
      </c>
      <c r="L25" s="587">
        <f>SUM('Schedule 3B_Income_Eastern:Schedule 3D_Income_The Cape'!L25)</f>
        <v>0</v>
      </c>
      <c r="M25" s="585">
        <f>SUM('Schedule 3B_Income_Eastern:Schedule 3D_Income_The Cape'!M25)</f>
        <v>0</v>
      </c>
      <c r="N25" s="585">
        <f>SUM('Schedule 3B_Income_Eastern:Schedule 3D_Income_The Cape'!N25)</f>
        <v>0</v>
      </c>
      <c r="O25" s="585">
        <f>SUM('Schedule 3B_Income_Eastern:Schedule 3D_Income_The Cape'!O25)</f>
        <v>0</v>
      </c>
      <c r="P25" s="585">
        <f>SUM('Schedule 3B_Income_Eastern:Schedule 3D_Income_The Cape'!P25)</f>
        <v>0</v>
      </c>
      <c r="Q25" s="585">
        <f>SUM('Schedule 3B_Income_Eastern:Schedule 3D_Income_The Cape'!Q25)</f>
        <v>0</v>
      </c>
      <c r="R25" s="585">
        <f>SUM('Schedule 3B_Income_Eastern:Schedule 3D_Income_The Cape'!R25)</f>
        <v>0</v>
      </c>
      <c r="S25" s="585">
        <f>SUM('Schedule 3B_Income_Eastern:Schedule 3D_Income_The Cape'!S25)</f>
        <v>0</v>
      </c>
      <c r="T25" s="588">
        <f t="shared" ref="T25:T30" si="47">SUM(L25:S25)</f>
        <v>0</v>
      </c>
      <c r="U25" s="589">
        <f t="shared" ref="U25:U30" si="48">SUM(K25,T25)</f>
        <v>0</v>
      </c>
      <c r="V25" s="300">
        <v>6</v>
      </c>
      <c r="W25" s="585">
        <f>SUM('Schedule 3B_Income_Eastern:Schedule 3D_Income_The Cape'!W25)</f>
        <v>0</v>
      </c>
      <c r="X25" s="585">
        <f>SUM('Schedule 3B_Income_Eastern:Schedule 3D_Income_The Cape'!X25)</f>
        <v>0</v>
      </c>
      <c r="Y25" s="585">
        <f>SUM('Schedule 3B_Income_Eastern:Schedule 3D_Income_The Cape'!Y25)</f>
        <v>0</v>
      </c>
      <c r="Z25" s="585">
        <f>SUM('Schedule 3B_Income_Eastern:Schedule 3D_Income_The Cape'!Z25)</f>
        <v>0</v>
      </c>
      <c r="AA25" s="585">
        <f>SUM('Schedule 3B_Income_Eastern:Schedule 3D_Income_The Cape'!AA25)</f>
        <v>0</v>
      </c>
      <c r="AB25" s="585">
        <f>SUM('Schedule 3B_Income_Eastern:Schedule 3D_Income_The Cape'!AB25)</f>
        <v>0</v>
      </c>
      <c r="AC25" s="585">
        <f>SUM('Schedule 3B_Income_Eastern:Schedule 3D_Income_The Cape'!AC25)</f>
        <v>0</v>
      </c>
      <c r="AD25" s="585">
        <f>SUM('Schedule 3B_Income_Eastern:Schedule 3D_Income_The Cape'!AD25)</f>
        <v>0</v>
      </c>
      <c r="AE25" s="586">
        <f t="shared" ref="AE25:AE30" si="49">SUM(W25:AD25)</f>
        <v>0</v>
      </c>
      <c r="AF25" s="587">
        <f>SUM('Schedule 3B_Income_Eastern:Schedule 3D_Income_The Cape'!AF25)</f>
        <v>0</v>
      </c>
      <c r="AG25" s="585">
        <f>SUM('Schedule 3B_Income_Eastern:Schedule 3D_Income_The Cape'!AG25)</f>
        <v>0</v>
      </c>
      <c r="AH25" s="585">
        <f>SUM('Schedule 3B_Income_Eastern:Schedule 3D_Income_The Cape'!AH25)</f>
        <v>0</v>
      </c>
      <c r="AI25" s="585">
        <f>SUM('Schedule 3B_Income_Eastern:Schedule 3D_Income_The Cape'!AI25)</f>
        <v>0</v>
      </c>
      <c r="AJ25" s="585">
        <f>SUM('Schedule 3B_Income_Eastern:Schedule 3D_Income_The Cape'!AJ25)</f>
        <v>0</v>
      </c>
      <c r="AK25" s="585">
        <f>SUM('Schedule 3B_Income_Eastern:Schedule 3D_Income_The Cape'!AK25)</f>
        <v>0</v>
      </c>
      <c r="AL25" s="585">
        <f>SUM('Schedule 3B_Income_Eastern:Schedule 3D_Income_The Cape'!AL25)</f>
        <v>0</v>
      </c>
      <c r="AM25" s="585">
        <f>SUM('Schedule 3B_Income_Eastern:Schedule 3D_Income_The Cape'!AM25)</f>
        <v>0</v>
      </c>
      <c r="AN25" s="588">
        <f t="shared" ref="AN25:AN30" si="50">SUM(AF25:AM25)</f>
        <v>0</v>
      </c>
      <c r="AO25" s="589">
        <f t="shared" ref="AO25:AO30" si="51">SUM(AE25,AN25)</f>
        <v>0</v>
      </c>
      <c r="AP25" s="300">
        <v>6</v>
      </c>
      <c r="AQ25" s="585">
        <f>SUM('Schedule 3B_Income_Eastern:Schedule 3D_Income_The Cape'!AQ25)</f>
        <v>0</v>
      </c>
      <c r="AR25" s="585">
        <f>SUM('Schedule 3B_Income_Eastern:Schedule 3D_Income_The Cape'!AR25)</f>
        <v>0</v>
      </c>
      <c r="AS25" s="585">
        <f>SUM('Schedule 3B_Income_Eastern:Schedule 3D_Income_The Cape'!AS25)</f>
        <v>0</v>
      </c>
      <c r="AT25" s="585">
        <f>SUM('Schedule 3B_Income_Eastern:Schedule 3D_Income_The Cape'!AT25)</f>
        <v>0</v>
      </c>
      <c r="AU25" s="585">
        <f>SUM('Schedule 3B_Income_Eastern:Schedule 3D_Income_The Cape'!AU25)</f>
        <v>0</v>
      </c>
      <c r="AV25" s="585">
        <f>SUM('Schedule 3B_Income_Eastern:Schedule 3D_Income_The Cape'!AV25)</f>
        <v>0</v>
      </c>
      <c r="AW25" s="585">
        <f>SUM('Schedule 3B_Income_Eastern:Schedule 3D_Income_The Cape'!AW25)</f>
        <v>0</v>
      </c>
      <c r="AX25" s="585">
        <f>SUM('Schedule 3B_Income_Eastern:Schedule 3D_Income_The Cape'!AX25)</f>
        <v>0</v>
      </c>
      <c r="AY25" s="586">
        <f t="shared" ref="AY25:AY30" si="52">SUM(AQ25:AX25)</f>
        <v>0</v>
      </c>
      <c r="AZ25" s="587">
        <f>SUM('Schedule 3B_Income_Eastern:Schedule 3D_Income_The Cape'!AZ25)</f>
        <v>0</v>
      </c>
      <c r="BA25" s="585">
        <f>SUM('Schedule 3B_Income_Eastern:Schedule 3D_Income_The Cape'!BA25)</f>
        <v>0</v>
      </c>
      <c r="BB25" s="585">
        <f>SUM('Schedule 3B_Income_Eastern:Schedule 3D_Income_The Cape'!BB25)</f>
        <v>0</v>
      </c>
      <c r="BC25" s="585">
        <f>SUM('Schedule 3B_Income_Eastern:Schedule 3D_Income_The Cape'!BC25)</f>
        <v>0</v>
      </c>
      <c r="BD25" s="585">
        <f>SUM('Schedule 3B_Income_Eastern:Schedule 3D_Income_The Cape'!BD25)</f>
        <v>0</v>
      </c>
      <c r="BE25" s="585">
        <f>SUM('Schedule 3B_Income_Eastern:Schedule 3D_Income_The Cape'!BE25)</f>
        <v>0</v>
      </c>
      <c r="BF25" s="585">
        <f>SUM('Schedule 3B_Income_Eastern:Schedule 3D_Income_The Cape'!BF25)</f>
        <v>0</v>
      </c>
      <c r="BG25" s="585">
        <f>SUM('Schedule 3B_Income_Eastern:Schedule 3D_Income_The Cape'!BG25)</f>
        <v>0</v>
      </c>
      <c r="BH25" s="588">
        <f t="shared" ref="BH25:BH30" si="53">SUM(AZ25:BG25)</f>
        <v>0</v>
      </c>
      <c r="BI25" s="589">
        <f t="shared" ref="BI25:BI30" si="54">SUM(AY25,BH25)</f>
        <v>0</v>
      </c>
      <c r="BJ25" s="300">
        <v>6</v>
      </c>
      <c r="BK25" s="585">
        <f>SUM('Schedule 3B_Income_Eastern:Schedule 3D_Income_The Cape'!BK25)</f>
        <v>38342.796971540418</v>
      </c>
      <c r="BL25" s="585">
        <f>SUM('Schedule 3B_Income_Eastern:Schedule 3D_Income_The Cape'!BL25)</f>
        <v>440002.21302861953</v>
      </c>
      <c r="BM25" s="585">
        <f>SUM('Schedule 3B_Income_Eastern:Schedule 3D_Income_The Cape'!BM25)</f>
        <v>37971.815825354643</v>
      </c>
      <c r="BN25" s="585">
        <f>SUM('Schedule 3B_Income_Eastern:Schedule 3D_Income_The Cape'!BN25)</f>
        <v>434738.1841746454</v>
      </c>
      <c r="BO25" s="585">
        <f>SUM('Schedule 3B_Income_Eastern:Schedule 3D_Income_The Cape'!BO25)</f>
        <v>39132.822548802324</v>
      </c>
      <c r="BP25" s="585">
        <f>SUM('Schedule 3B_Income_Eastern:Schedule 3D_Income_The Cape'!BP25)</f>
        <v>433577.1774511977</v>
      </c>
      <c r="BQ25" s="585">
        <f>SUM('Schedule 3B_Income_Eastern:Schedule 3D_Income_The Cape'!BQ25)</f>
        <v>173165.20825070716</v>
      </c>
      <c r="BR25" s="585">
        <f>SUM('Schedule 3B_Income_Eastern:Schedule 3D_Income_The Cape'!BR25)</f>
        <v>1814493.9517494529</v>
      </c>
      <c r="BS25" s="586">
        <f t="shared" ref="BS25:BS30" si="55">SUM(BK25:BR25)</f>
        <v>3411424.1700003203</v>
      </c>
      <c r="BT25" s="587">
        <f>SUM('Schedule 3B_Income_Eastern:Schedule 3D_Income_The Cape'!BT25)</f>
        <v>0</v>
      </c>
      <c r="BU25" s="585">
        <f>SUM('Schedule 3B_Income_Eastern:Schedule 3D_Income_The Cape'!BU25)</f>
        <v>0</v>
      </c>
      <c r="BV25" s="585">
        <f>SUM('Schedule 3B_Income_Eastern:Schedule 3D_Income_The Cape'!BV25)</f>
        <v>0</v>
      </c>
      <c r="BW25" s="585">
        <f>SUM('Schedule 3B_Income_Eastern:Schedule 3D_Income_The Cape'!BW25)</f>
        <v>0</v>
      </c>
      <c r="BX25" s="585">
        <f>SUM('Schedule 3B_Income_Eastern:Schedule 3D_Income_The Cape'!BX25)</f>
        <v>0</v>
      </c>
      <c r="BY25" s="585">
        <f>SUM('Schedule 3B_Income_Eastern:Schedule 3D_Income_The Cape'!BY25)</f>
        <v>0</v>
      </c>
      <c r="BZ25" s="585">
        <f>SUM('Schedule 3B_Income_Eastern:Schedule 3D_Income_The Cape'!BZ25)</f>
        <v>0</v>
      </c>
      <c r="CA25" s="585">
        <f>SUM('Schedule 3B_Income_Eastern:Schedule 3D_Income_The Cape'!CA25)</f>
        <v>0</v>
      </c>
      <c r="CB25" s="588">
        <f t="shared" ref="CB25:CB30" si="56">SUM(BT25:CA25)</f>
        <v>0</v>
      </c>
      <c r="CC25" s="589">
        <f t="shared" ref="CC25:CC30" si="57">SUM(BS25,CB25)</f>
        <v>3411424.1700003203</v>
      </c>
      <c r="CD25" s="300">
        <v>6</v>
      </c>
      <c r="CE25" s="414">
        <f t="shared" ref="CE25:CE30" si="58">+C25+D25+W25+X25+AQ25+AR25+BK25+BL25</f>
        <v>478345.01000015996</v>
      </c>
      <c r="CF25" s="414">
        <f t="shared" ref="CF25:CF30" si="59">+E25+F25+Y25+Z25+AS25+AT25+BM25+BN25</f>
        <v>472710.00000000006</v>
      </c>
      <c r="CG25" s="414">
        <f t="shared" ref="CG25:CG30" si="60">+G25+H25+AA25+AB25+AU25+AV25+BO25+BP25</f>
        <v>472710</v>
      </c>
      <c r="CH25" s="414">
        <f t="shared" ref="CH25:CH30" si="61">+I25+J25+AC25+AD25+AW25+AX25+BQ25+BR25</f>
        <v>1987659.1600001601</v>
      </c>
      <c r="CI25" s="416">
        <f t="shared" ref="CI25:CI30" si="62">SUM(K25,AE25,AY25,BS25)</f>
        <v>3411424.1700003203</v>
      </c>
      <c r="CJ25" s="414">
        <f t="shared" ref="CJ25:CJ30" si="63">L25+M25+AF25+AG25+AZ25+BA25+BT25+BU25</f>
        <v>0</v>
      </c>
      <c r="CK25" s="414">
        <f t="shared" ref="CK25:CK30" si="64">N25+O25+AH25+AI25+BB25+BC25+BV25+BW25</f>
        <v>0</v>
      </c>
      <c r="CL25" s="414">
        <f t="shared" ref="CL25:CL30" si="65">P25+Q25+AJ25+AK25+BD25+BE25+BX25+BY25</f>
        <v>0</v>
      </c>
      <c r="CM25" s="414">
        <f t="shared" ref="CM25:CM30" si="66">+R25+S25+AL25+AM25+BF25+BG25+BZ25+CA25</f>
        <v>0</v>
      </c>
      <c r="CN25" s="416">
        <f t="shared" ref="CN25:CN30" si="67">SUM(T25,AN25,BH25,CB25)</f>
        <v>0</v>
      </c>
      <c r="CO25" s="414">
        <f t="shared" ref="CO25:CO30" si="68">+C25+D25+L25+M25+W25+X25+AF25+AG25+AQ25+AR25+AZ25+BA25+BK25+BL25+BT25+BU25</f>
        <v>478345.01000015996</v>
      </c>
      <c r="CP25" s="414">
        <f t="shared" ref="CP25:CP30" si="69">+E25+F25+N25+O25+Y25+Z25+AH25+AI25+AS25+AT25+BB25+BC25+BM25+BN25+BV25+BW25</f>
        <v>472710.00000000006</v>
      </c>
      <c r="CQ25" s="414">
        <f t="shared" ref="CQ25:CQ30" si="70">+G25+H25+P25+Q25+AA25+AB25+AJ25+AK25+AU25+AV25+BD25+BE25+BO25+BP25+BX25+BY25</f>
        <v>472710</v>
      </c>
      <c r="CR25" s="414">
        <f t="shared" ref="CR25:CR30" si="71">+I25+J25+R25+S25+AC25+AD25+AL25+AM25+AW25+AX25+BF25+BG25+BQ25+BR25+BZ25+CA25</f>
        <v>1987659.1600001601</v>
      </c>
      <c r="CS25" s="416">
        <f t="shared" ref="CS25:CS30" si="72">SUM(CC25,BI25,AO25,U25)</f>
        <v>3411424.1700003203</v>
      </c>
    </row>
    <row r="26" spans="1:99" ht="15.75" customHeight="1">
      <c r="A26" s="88" t="s">
        <v>183</v>
      </c>
      <c r="B26" s="300">
        <v>7</v>
      </c>
      <c r="C26" s="585">
        <f>SUM('Schedule 3B_Income_Eastern:Schedule 3D_Income_The Cape'!C26)</f>
        <v>0</v>
      </c>
      <c r="D26" s="585">
        <f>SUM('Schedule 3B_Income_Eastern:Schedule 3D_Income_The Cape'!D26)</f>
        <v>0</v>
      </c>
      <c r="E26" s="585">
        <f>SUM('Schedule 3B_Income_Eastern:Schedule 3D_Income_The Cape'!E26)</f>
        <v>0</v>
      </c>
      <c r="F26" s="585">
        <f>SUM('Schedule 3B_Income_Eastern:Schedule 3D_Income_The Cape'!F26)</f>
        <v>0</v>
      </c>
      <c r="G26" s="585">
        <f>SUM('Schedule 3B_Income_Eastern:Schedule 3D_Income_The Cape'!G26)</f>
        <v>0</v>
      </c>
      <c r="H26" s="585">
        <f>SUM('Schedule 3B_Income_Eastern:Schedule 3D_Income_The Cape'!H26)</f>
        <v>0</v>
      </c>
      <c r="I26" s="585">
        <f>SUM('Schedule 3B_Income_Eastern:Schedule 3D_Income_The Cape'!I26)</f>
        <v>0</v>
      </c>
      <c r="J26" s="585">
        <f>SUM('Schedule 3B_Income_Eastern:Schedule 3D_Income_The Cape'!J26)</f>
        <v>0</v>
      </c>
      <c r="K26" s="586">
        <f t="shared" si="46"/>
        <v>0</v>
      </c>
      <c r="L26" s="587">
        <f>SUM('Schedule 3B_Income_Eastern:Schedule 3D_Income_The Cape'!L26)</f>
        <v>0</v>
      </c>
      <c r="M26" s="585">
        <f>SUM('Schedule 3B_Income_Eastern:Schedule 3D_Income_The Cape'!M26)</f>
        <v>0</v>
      </c>
      <c r="N26" s="585">
        <f>SUM('Schedule 3B_Income_Eastern:Schedule 3D_Income_The Cape'!N26)</f>
        <v>0</v>
      </c>
      <c r="O26" s="585">
        <f>SUM('Schedule 3B_Income_Eastern:Schedule 3D_Income_The Cape'!O26)</f>
        <v>0</v>
      </c>
      <c r="P26" s="585">
        <f>SUM('Schedule 3B_Income_Eastern:Schedule 3D_Income_The Cape'!P26)</f>
        <v>0</v>
      </c>
      <c r="Q26" s="585">
        <f>SUM('Schedule 3B_Income_Eastern:Schedule 3D_Income_The Cape'!Q26)</f>
        <v>0</v>
      </c>
      <c r="R26" s="585">
        <f>SUM('Schedule 3B_Income_Eastern:Schedule 3D_Income_The Cape'!R26)</f>
        <v>0</v>
      </c>
      <c r="S26" s="585">
        <f>SUM('Schedule 3B_Income_Eastern:Schedule 3D_Income_The Cape'!S26)</f>
        <v>0</v>
      </c>
      <c r="T26" s="588">
        <f t="shared" si="47"/>
        <v>0</v>
      </c>
      <c r="U26" s="589">
        <f t="shared" si="48"/>
        <v>0</v>
      </c>
      <c r="V26" s="300">
        <v>7</v>
      </c>
      <c r="W26" s="585">
        <f>SUM('Schedule 3B_Income_Eastern:Schedule 3D_Income_The Cape'!W26)</f>
        <v>0</v>
      </c>
      <c r="X26" s="585">
        <f>SUM('Schedule 3B_Income_Eastern:Schedule 3D_Income_The Cape'!X26)</f>
        <v>0</v>
      </c>
      <c r="Y26" s="585">
        <f>SUM('Schedule 3B_Income_Eastern:Schedule 3D_Income_The Cape'!Y26)</f>
        <v>0</v>
      </c>
      <c r="Z26" s="585">
        <f>SUM('Schedule 3B_Income_Eastern:Schedule 3D_Income_The Cape'!Z26)</f>
        <v>0</v>
      </c>
      <c r="AA26" s="585">
        <f>SUM('Schedule 3B_Income_Eastern:Schedule 3D_Income_The Cape'!AA26)</f>
        <v>0</v>
      </c>
      <c r="AB26" s="585">
        <f>SUM('Schedule 3B_Income_Eastern:Schedule 3D_Income_The Cape'!AB26)</f>
        <v>0</v>
      </c>
      <c r="AC26" s="585">
        <f>SUM('Schedule 3B_Income_Eastern:Schedule 3D_Income_The Cape'!AC26)</f>
        <v>0</v>
      </c>
      <c r="AD26" s="585">
        <f>SUM('Schedule 3B_Income_Eastern:Schedule 3D_Income_The Cape'!AD26)</f>
        <v>0</v>
      </c>
      <c r="AE26" s="586">
        <f t="shared" si="49"/>
        <v>0</v>
      </c>
      <c r="AF26" s="587">
        <f>SUM('Schedule 3B_Income_Eastern:Schedule 3D_Income_The Cape'!AF26)</f>
        <v>0</v>
      </c>
      <c r="AG26" s="585">
        <f>SUM('Schedule 3B_Income_Eastern:Schedule 3D_Income_The Cape'!AG26)</f>
        <v>0</v>
      </c>
      <c r="AH26" s="585">
        <f>SUM('Schedule 3B_Income_Eastern:Schedule 3D_Income_The Cape'!AH26)</f>
        <v>0</v>
      </c>
      <c r="AI26" s="585">
        <f>SUM('Schedule 3B_Income_Eastern:Schedule 3D_Income_The Cape'!AI26)</f>
        <v>0</v>
      </c>
      <c r="AJ26" s="585">
        <f>SUM('Schedule 3B_Income_Eastern:Schedule 3D_Income_The Cape'!AJ26)</f>
        <v>0</v>
      </c>
      <c r="AK26" s="585">
        <f>SUM('Schedule 3B_Income_Eastern:Schedule 3D_Income_The Cape'!AK26)</f>
        <v>0</v>
      </c>
      <c r="AL26" s="585">
        <f>SUM('Schedule 3B_Income_Eastern:Schedule 3D_Income_The Cape'!AL26)</f>
        <v>0</v>
      </c>
      <c r="AM26" s="585">
        <f>SUM('Schedule 3B_Income_Eastern:Schedule 3D_Income_The Cape'!AM26)</f>
        <v>0</v>
      </c>
      <c r="AN26" s="588">
        <f t="shared" si="50"/>
        <v>0</v>
      </c>
      <c r="AO26" s="589">
        <f t="shared" si="51"/>
        <v>0</v>
      </c>
      <c r="AP26" s="300">
        <v>7</v>
      </c>
      <c r="AQ26" s="585">
        <f>SUM('Schedule 3B_Income_Eastern:Schedule 3D_Income_The Cape'!AQ26)</f>
        <v>0</v>
      </c>
      <c r="AR26" s="585">
        <f>SUM('Schedule 3B_Income_Eastern:Schedule 3D_Income_The Cape'!AR26)</f>
        <v>0</v>
      </c>
      <c r="AS26" s="585">
        <f>SUM('Schedule 3B_Income_Eastern:Schedule 3D_Income_The Cape'!AS26)</f>
        <v>0</v>
      </c>
      <c r="AT26" s="585">
        <f>SUM('Schedule 3B_Income_Eastern:Schedule 3D_Income_The Cape'!AT26)</f>
        <v>0</v>
      </c>
      <c r="AU26" s="585">
        <f>SUM('Schedule 3B_Income_Eastern:Schedule 3D_Income_The Cape'!AU26)</f>
        <v>0</v>
      </c>
      <c r="AV26" s="585">
        <f>SUM('Schedule 3B_Income_Eastern:Schedule 3D_Income_The Cape'!AV26)</f>
        <v>0</v>
      </c>
      <c r="AW26" s="585">
        <f>SUM('Schedule 3B_Income_Eastern:Schedule 3D_Income_The Cape'!AW26)</f>
        <v>0</v>
      </c>
      <c r="AX26" s="585">
        <f>SUM('Schedule 3B_Income_Eastern:Schedule 3D_Income_The Cape'!AX26)</f>
        <v>0</v>
      </c>
      <c r="AY26" s="586">
        <f t="shared" si="52"/>
        <v>0</v>
      </c>
      <c r="AZ26" s="587">
        <f>SUM('Schedule 3B_Income_Eastern:Schedule 3D_Income_The Cape'!AZ26)</f>
        <v>0</v>
      </c>
      <c r="BA26" s="585">
        <f>SUM('Schedule 3B_Income_Eastern:Schedule 3D_Income_The Cape'!BA26)</f>
        <v>0</v>
      </c>
      <c r="BB26" s="585">
        <f>SUM('Schedule 3B_Income_Eastern:Schedule 3D_Income_The Cape'!BB26)</f>
        <v>0</v>
      </c>
      <c r="BC26" s="585">
        <f>SUM('Schedule 3B_Income_Eastern:Schedule 3D_Income_The Cape'!BC26)</f>
        <v>0</v>
      </c>
      <c r="BD26" s="585">
        <f>SUM('Schedule 3B_Income_Eastern:Schedule 3D_Income_The Cape'!BD26)</f>
        <v>0</v>
      </c>
      <c r="BE26" s="585">
        <f>SUM('Schedule 3B_Income_Eastern:Schedule 3D_Income_The Cape'!BE26)</f>
        <v>0</v>
      </c>
      <c r="BF26" s="585">
        <f>SUM('Schedule 3B_Income_Eastern:Schedule 3D_Income_The Cape'!BF26)</f>
        <v>0</v>
      </c>
      <c r="BG26" s="585">
        <f>SUM('Schedule 3B_Income_Eastern:Schedule 3D_Income_The Cape'!BG26)</f>
        <v>0</v>
      </c>
      <c r="BH26" s="588">
        <f t="shared" si="53"/>
        <v>0</v>
      </c>
      <c r="BI26" s="589">
        <f t="shared" si="54"/>
        <v>0</v>
      </c>
      <c r="BJ26" s="300">
        <v>7</v>
      </c>
      <c r="BK26" s="585">
        <f>SUM('Schedule 3B_Income_Eastern:Schedule 3D_Income_The Cape'!BK26)</f>
        <v>0</v>
      </c>
      <c r="BL26" s="585">
        <f>SUM('Schedule 3B_Income_Eastern:Schedule 3D_Income_The Cape'!BL26)</f>
        <v>0</v>
      </c>
      <c r="BM26" s="585">
        <f>SUM('Schedule 3B_Income_Eastern:Schedule 3D_Income_The Cape'!BM26)</f>
        <v>0</v>
      </c>
      <c r="BN26" s="585">
        <f>SUM('Schedule 3B_Income_Eastern:Schedule 3D_Income_The Cape'!BN26)</f>
        <v>0</v>
      </c>
      <c r="BO26" s="585">
        <f>SUM('Schedule 3B_Income_Eastern:Schedule 3D_Income_The Cape'!BO26)</f>
        <v>0</v>
      </c>
      <c r="BP26" s="585">
        <f>SUM('Schedule 3B_Income_Eastern:Schedule 3D_Income_The Cape'!BP26)</f>
        <v>0</v>
      </c>
      <c r="BQ26" s="585">
        <f>SUM('Schedule 3B_Income_Eastern:Schedule 3D_Income_The Cape'!BQ26)</f>
        <v>0</v>
      </c>
      <c r="BR26" s="585">
        <f>SUM('Schedule 3B_Income_Eastern:Schedule 3D_Income_The Cape'!BR26)</f>
        <v>0</v>
      </c>
      <c r="BS26" s="586">
        <f t="shared" si="55"/>
        <v>0</v>
      </c>
      <c r="BT26" s="587">
        <f>SUM('Schedule 3B_Income_Eastern:Schedule 3D_Income_The Cape'!BT26)</f>
        <v>0</v>
      </c>
      <c r="BU26" s="585">
        <f>SUM('Schedule 3B_Income_Eastern:Schedule 3D_Income_The Cape'!BU26)</f>
        <v>0</v>
      </c>
      <c r="BV26" s="585">
        <f>SUM('Schedule 3B_Income_Eastern:Schedule 3D_Income_The Cape'!BV26)</f>
        <v>0</v>
      </c>
      <c r="BW26" s="585">
        <f>SUM('Schedule 3B_Income_Eastern:Schedule 3D_Income_The Cape'!BW26)</f>
        <v>0</v>
      </c>
      <c r="BX26" s="585">
        <f>SUM('Schedule 3B_Income_Eastern:Schedule 3D_Income_The Cape'!BX26)</f>
        <v>0</v>
      </c>
      <c r="BY26" s="585">
        <f>SUM('Schedule 3B_Income_Eastern:Schedule 3D_Income_The Cape'!BY26)</f>
        <v>0</v>
      </c>
      <c r="BZ26" s="585">
        <f>SUM('Schedule 3B_Income_Eastern:Schedule 3D_Income_The Cape'!BZ26)</f>
        <v>0</v>
      </c>
      <c r="CA26" s="585">
        <f>SUM('Schedule 3B_Income_Eastern:Schedule 3D_Income_The Cape'!CA26)</f>
        <v>0</v>
      </c>
      <c r="CB26" s="588">
        <f t="shared" si="56"/>
        <v>0</v>
      </c>
      <c r="CC26" s="589">
        <f t="shared" si="57"/>
        <v>0</v>
      </c>
      <c r="CD26" s="300">
        <v>7</v>
      </c>
      <c r="CE26" s="414">
        <f t="shared" si="58"/>
        <v>0</v>
      </c>
      <c r="CF26" s="414">
        <f t="shared" si="59"/>
        <v>0</v>
      </c>
      <c r="CG26" s="414">
        <f t="shared" si="60"/>
        <v>0</v>
      </c>
      <c r="CH26" s="414">
        <f t="shared" si="61"/>
        <v>0</v>
      </c>
      <c r="CI26" s="416">
        <f t="shared" si="62"/>
        <v>0</v>
      </c>
      <c r="CJ26" s="414">
        <f t="shared" si="63"/>
        <v>0</v>
      </c>
      <c r="CK26" s="414">
        <f t="shared" si="64"/>
        <v>0</v>
      </c>
      <c r="CL26" s="414">
        <f t="shared" si="65"/>
        <v>0</v>
      </c>
      <c r="CM26" s="414">
        <f t="shared" si="66"/>
        <v>0</v>
      </c>
      <c r="CN26" s="416">
        <f t="shared" si="67"/>
        <v>0</v>
      </c>
      <c r="CO26" s="414">
        <f t="shared" si="68"/>
        <v>0</v>
      </c>
      <c r="CP26" s="414">
        <f t="shared" si="69"/>
        <v>0</v>
      </c>
      <c r="CQ26" s="414">
        <f t="shared" si="70"/>
        <v>0</v>
      </c>
      <c r="CR26" s="414">
        <f t="shared" si="71"/>
        <v>0</v>
      </c>
      <c r="CS26" s="416">
        <f t="shared" si="72"/>
        <v>0</v>
      </c>
    </row>
    <row r="27" spans="1:99" ht="15.75" customHeight="1">
      <c r="A27" s="88" t="s">
        <v>185</v>
      </c>
      <c r="B27" s="300">
        <v>8</v>
      </c>
      <c r="C27" s="585">
        <f>SUM('Schedule 3B_Income_Eastern:Schedule 3D_Income_The Cape'!C27)</f>
        <v>0</v>
      </c>
      <c r="D27" s="585">
        <f>SUM('Schedule 3B_Income_Eastern:Schedule 3D_Income_The Cape'!D27)</f>
        <v>0</v>
      </c>
      <c r="E27" s="585">
        <f>SUM('Schedule 3B_Income_Eastern:Schedule 3D_Income_The Cape'!E27)</f>
        <v>0</v>
      </c>
      <c r="F27" s="585">
        <f>SUM('Schedule 3B_Income_Eastern:Schedule 3D_Income_The Cape'!F27)</f>
        <v>0</v>
      </c>
      <c r="G27" s="585">
        <f>SUM('Schedule 3B_Income_Eastern:Schedule 3D_Income_The Cape'!G27)</f>
        <v>0</v>
      </c>
      <c r="H27" s="585">
        <f>SUM('Schedule 3B_Income_Eastern:Schedule 3D_Income_The Cape'!H27)</f>
        <v>0</v>
      </c>
      <c r="I27" s="585">
        <f>SUM('Schedule 3B_Income_Eastern:Schedule 3D_Income_The Cape'!I27)</f>
        <v>0</v>
      </c>
      <c r="J27" s="585">
        <f>SUM('Schedule 3B_Income_Eastern:Schedule 3D_Income_The Cape'!J27)</f>
        <v>0</v>
      </c>
      <c r="K27" s="586">
        <f t="shared" si="46"/>
        <v>0</v>
      </c>
      <c r="L27" s="587">
        <f>SUM('Schedule 3B_Income_Eastern:Schedule 3D_Income_The Cape'!L27)</f>
        <v>0</v>
      </c>
      <c r="M27" s="585">
        <f>SUM('Schedule 3B_Income_Eastern:Schedule 3D_Income_The Cape'!M27)</f>
        <v>0</v>
      </c>
      <c r="N27" s="585">
        <f>SUM('Schedule 3B_Income_Eastern:Schedule 3D_Income_The Cape'!N27)</f>
        <v>0</v>
      </c>
      <c r="O27" s="585">
        <f>SUM('Schedule 3B_Income_Eastern:Schedule 3D_Income_The Cape'!O27)</f>
        <v>0</v>
      </c>
      <c r="P27" s="585">
        <f>SUM('Schedule 3B_Income_Eastern:Schedule 3D_Income_The Cape'!P27)</f>
        <v>0</v>
      </c>
      <c r="Q27" s="585">
        <f>SUM('Schedule 3B_Income_Eastern:Schedule 3D_Income_The Cape'!Q27)</f>
        <v>0</v>
      </c>
      <c r="R27" s="585">
        <f>SUM('Schedule 3B_Income_Eastern:Schedule 3D_Income_The Cape'!R27)</f>
        <v>0</v>
      </c>
      <c r="S27" s="585">
        <f>SUM('Schedule 3B_Income_Eastern:Schedule 3D_Income_The Cape'!S27)</f>
        <v>0</v>
      </c>
      <c r="T27" s="588">
        <f t="shared" si="47"/>
        <v>0</v>
      </c>
      <c r="U27" s="589">
        <f t="shared" si="48"/>
        <v>0</v>
      </c>
      <c r="V27" s="300">
        <v>8</v>
      </c>
      <c r="W27" s="585">
        <f>SUM('Schedule 3B_Income_Eastern:Schedule 3D_Income_The Cape'!W27)</f>
        <v>0</v>
      </c>
      <c r="X27" s="585">
        <f>SUM('Schedule 3B_Income_Eastern:Schedule 3D_Income_The Cape'!X27)</f>
        <v>0</v>
      </c>
      <c r="Y27" s="585">
        <f>SUM('Schedule 3B_Income_Eastern:Schedule 3D_Income_The Cape'!Y27)</f>
        <v>0</v>
      </c>
      <c r="Z27" s="585">
        <f>SUM('Schedule 3B_Income_Eastern:Schedule 3D_Income_The Cape'!Z27)</f>
        <v>0</v>
      </c>
      <c r="AA27" s="585">
        <f>SUM('Schedule 3B_Income_Eastern:Schedule 3D_Income_The Cape'!AA27)</f>
        <v>0</v>
      </c>
      <c r="AB27" s="585">
        <f>SUM('Schedule 3B_Income_Eastern:Schedule 3D_Income_The Cape'!AB27)</f>
        <v>0</v>
      </c>
      <c r="AC27" s="585">
        <f>SUM('Schedule 3B_Income_Eastern:Schedule 3D_Income_The Cape'!AC27)</f>
        <v>0</v>
      </c>
      <c r="AD27" s="585">
        <f>SUM('Schedule 3B_Income_Eastern:Schedule 3D_Income_The Cape'!AD27)</f>
        <v>0</v>
      </c>
      <c r="AE27" s="586">
        <f t="shared" si="49"/>
        <v>0</v>
      </c>
      <c r="AF27" s="587">
        <f>SUM('Schedule 3B_Income_Eastern:Schedule 3D_Income_The Cape'!AF27)</f>
        <v>0</v>
      </c>
      <c r="AG27" s="585">
        <f>SUM('Schedule 3B_Income_Eastern:Schedule 3D_Income_The Cape'!AG27)</f>
        <v>0</v>
      </c>
      <c r="AH27" s="585">
        <f>SUM('Schedule 3B_Income_Eastern:Schedule 3D_Income_The Cape'!AH27)</f>
        <v>0</v>
      </c>
      <c r="AI27" s="585">
        <f>SUM('Schedule 3B_Income_Eastern:Schedule 3D_Income_The Cape'!AI27)</f>
        <v>0</v>
      </c>
      <c r="AJ27" s="585">
        <f>SUM('Schedule 3B_Income_Eastern:Schedule 3D_Income_The Cape'!AJ27)</f>
        <v>0</v>
      </c>
      <c r="AK27" s="585">
        <f>SUM('Schedule 3B_Income_Eastern:Schedule 3D_Income_The Cape'!AK27)</f>
        <v>0</v>
      </c>
      <c r="AL27" s="585">
        <f>SUM('Schedule 3B_Income_Eastern:Schedule 3D_Income_The Cape'!AL27)</f>
        <v>0</v>
      </c>
      <c r="AM27" s="585">
        <f>SUM('Schedule 3B_Income_Eastern:Schedule 3D_Income_The Cape'!AM27)</f>
        <v>0</v>
      </c>
      <c r="AN27" s="588">
        <f t="shared" si="50"/>
        <v>0</v>
      </c>
      <c r="AO27" s="589">
        <f t="shared" si="51"/>
        <v>0</v>
      </c>
      <c r="AP27" s="300">
        <v>8</v>
      </c>
      <c r="AQ27" s="585">
        <f>SUM('Schedule 3B_Income_Eastern:Schedule 3D_Income_The Cape'!AQ27)</f>
        <v>0</v>
      </c>
      <c r="AR27" s="585">
        <f>SUM('Schedule 3B_Income_Eastern:Schedule 3D_Income_The Cape'!AR27)</f>
        <v>0</v>
      </c>
      <c r="AS27" s="585">
        <f>SUM('Schedule 3B_Income_Eastern:Schedule 3D_Income_The Cape'!AS27)</f>
        <v>0</v>
      </c>
      <c r="AT27" s="585">
        <f>SUM('Schedule 3B_Income_Eastern:Schedule 3D_Income_The Cape'!AT27)</f>
        <v>0</v>
      </c>
      <c r="AU27" s="585">
        <f>SUM('Schedule 3B_Income_Eastern:Schedule 3D_Income_The Cape'!AU27)</f>
        <v>0</v>
      </c>
      <c r="AV27" s="585">
        <f>SUM('Schedule 3B_Income_Eastern:Schedule 3D_Income_The Cape'!AV27)</f>
        <v>0</v>
      </c>
      <c r="AW27" s="585">
        <f>SUM('Schedule 3B_Income_Eastern:Schedule 3D_Income_The Cape'!AW27)</f>
        <v>0</v>
      </c>
      <c r="AX27" s="585">
        <f>SUM('Schedule 3B_Income_Eastern:Schedule 3D_Income_The Cape'!AX27)</f>
        <v>0</v>
      </c>
      <c r="AY27" s="586">
        <f t="shared" si="52"/>
        <v>0</v>
      </c>
      <c r="AZ27" s="587">
        <f>SUM('Schedule 3B_Income_Eastern:Schedule 3D_Income_The Cape'!AZ27)</f>
        <v>0</v>
      </c>
      <c r="BA27" s="585">
        <f>SUM('Schedule 3B_Income_Eastern:Schedule 3D_Income_The Cape'!BA27)</f>
        <v>0</v>
      </c>
      <c r="BB27" s="585">
        <f>SUM('Schedule 3B_Income_Eastern:Schedule 3D_Income_The Cape'!BB27)</f>
        <v>0</v>
      </c>
      <c r="BC27" s="585">
        <f>SUM('Schedule 3B_Income_Eastern:Schedule 3D_Income_The Cape'!BC27)</f>
        <v>0</v>
      </c>
      <c r="BD27" s="585">
        <f>SUM('Schedule 3B_Income_Eastern:Schedule 3D_Income_The Cape'!BD27)</f>
        <v>0</v>
      </c>
      <c r="BE27" s="585">
        <f>SUM('Schedule 3B_Income_Eastern:Schedule 3D_Income_The Cape'!BE27)</f>
        <v>0</v>
      </c>
      <c r="BF27" s="585">
        <f>SUM('Schedule 3B_Income_Eastern:Schedule 3D_Income_The Cape'!BF27)</f>
        <v>0</v>
      </c>
      <c r="BG27" s="585">
        <f>SUM('Schedule 3B_Income_Eastern:Schedule 3D_Income_The Cape'!BG27)</f>
        <v>0</v>
      </c>
      <c r="BH27" s="588">
        <f t="shared" si="53"/>
        <v>0</v>
      </c>
      <c r="BI27" s="589">
        <f t="shared" si="54"/>
        <v>0</v>
      </c>
      <c r="BJ27" s="300">
        <v>8</v>
      </c>
      <c r="BK27" s="585">
        <f>SUM('Schedule 3B_Income_Eastern:Schedule 3D_Income_The Cape'!BK27)</f>
        <v>0</v>
      </c>
      <c r="BL27" s="585">
        <f>SUM('Schedule 3B_Income_Eastern:Schedule 3D_Income_The Cape'!BL27)</f>
        <v>0</v>
      </c>
      <c r="BM27" s="585">
        <f>SUM('Schedule 3B_Income_Eastern:Schedule 3D_Income_The Cape'!BM27)</f>
        <v>0</v>
      </c>
      <c r="BN27" s="585">
        <f>SUM('Schedule 3B_Income_Eastern:Schedule 3D_Income_The Cape'!BN27)</f>
        <v>0</v>
      </c>
      <c r="BO27" s="585">
        <f>SUM('Schedule 3B_Income_Eastern:Schedule 3D_Income_The Cape'!BO27)</f>
        <v>0</v>
      </c>
      <c r="BP27" s="585">
        <f>SUM('Schedule 3B_Income_Eastern:Schedule 3D_Income_The Cape'!BP27)</f>
        <v>0</v>
      </c>
      <c r="BQ27" s="585">
        <f>SUM('Schedule 3B_Income_Eastern:Schedule 3D_Income_The Cape'!BQ27)</f>
        <v>0</v>
      </c>
      <c r="BR27" s="585">
        <f>SUM('Schedule 3B_Income_Eastern:Schedule 3D_Income_The Cape'!BR27)</f>
        <v>0</v>
      </c>
      <c r="BS27" s="586">
        <f t="shared" si="55"/>
        <v>0</v>
      </c>
      <c r="BT27" s="587">
        <f>SUM('Schedule 3B_Income_Eastern:Schedule 3D_Income_The Cape'!BT27)</f>
        <v>0</v>
      </c>
      <c r="BU27" s="585">
        <f>SUM('Schedule 3B_Income_Eastern:Schedule 3D_Income_The Cape'!BU27)</f>
        <v>0</v>
      </c>
      <c r="BV27" s="585">
        <f>SUM('Schedule 3B_Income_Eastern:Schedule 3D_Income_The Cape'!BV27)</f>
        <v>0</v>
      </c>
      <c r="BW27" s="585">
        <f>SUM('Schedule 3B_Income_Eastern:Schedule 3D_Income_The Cape'!BW27)</f>
        <v>0</v>
      </c>
      <c r="BX27" s="585">
        <f>SUM('Schedule 3B_Income_Eastern:Schedule 3D_Income_The Cape'!BX27)</f>
        <v>0</v>
      </c>
      <c r="BY27" s="585">
        <f>SUM('Schedule 3B_Income_Eastern:Schedule 3D_Income_The Cape'!BY27)</f>
        <v>0</v>
      </c>
      <c r="BZ27" s="585">
        <f>SUM('Schedule 3B_Income_Eastern:Schedule 3D_Income_The Cape'!BZ27)</f>
        <v>0</v>
      </c>
      <c r="CA27" s="585">
        <f>SUM('Schedule 3B_Income_Eastern:Schedule 3D_Income_The Cape'!CA27)</f>
        <v>0</v>
      </c>
      <c r="CB27" s="588">
        <f t="shared" si="56"/>
        <v>0</v>
      </c>
      <c r="CC27" s="589">
        <f t="shared" si="57"/>
        <v>0</v>
      </c>
      <c r="CD27" s="300">
        <v>8</v>
      </c>
      <c r="CE27" s="414">
        <f t="shared" si="58"/>
        <v>0</v>
      </c>
      <c r="CF27" s="414">
        <f t="shared" si="59"/>
        <v>0</v>
      </c>
      <c r="CG27" s="414">
        <f t="shared" si="60"/>
        <v>0</v>
      </c>
      <c r="CH27" s="414">
        <f t="shared" si="61"/>
        <v>0</v>
      </c>
      <c r="CI27" s="416">
        <f t="shared" si="62"/>
        <v>0</v>
      </c>
      <c r="CJ27" s="414">
        <f t="shared" si="63"/>
        <v>0</v>
      </c>
      <c r="CK27" s="414">
        <f t="shared" si="64"/>
        <v>0</v>
      </c>
      <c r="CL27" s="414">
        <f t="shared" si="65"/>
        <v>0</v>
      </c>
      <c r="CM27" s="414">
        <f t="shared" si="66"/>
        <v>0</v>
      </c>
      <c r="CN27" s="416">
        <f t="shared" si="67"/>
        <v>0</v>
      </c>
      <c r="CO27" s="414">
        <f t="shared" si="68"/>
        <v>0</v>
      </c>
      <c r="CP27" s="414">
        <f t="shared" si="69"/>
        <v>0</v>
      </c>
      <c r="CQ27" s="414">
        <f t="shared" si="70"/>
        <v>0</v>
      </c>
      <c r="CR27" s="414">
        <f t="shared" si="71"/>
        <v>0</v>
      </c>
      <c r="CS27" s="416">
        <f t="shared" si="72"/>
        <v>0</v>
      </c>
    </row>
    <row r="28" spans="1:99" ht="15.75" customHeight="1">
      <c r="A28" s="88" t="s">
        <v>187</v>
      </c>
      <c r="B28" s="300">
        <v>9</v>
      </c>
      <c r="C28" s="585">
        <f>SUM('Schedule 3B_Income_Eastern:Schedule 3D_Income_The Cape'!C28)</f>
        <v>0</v>
      </c>
      <c r="D28" s="585">
        <f>SUM('Schedule 3B_Income_Eastern:Schedule 3D_Income_The Cape'!D28)</f>
        <v>0</v>
      </c>
      <c r="E28" s="585">
        <f>SUM('Schedule 3B_Income_Eastern:Schedule 3D_Income_The Cape'!E28)</f>
        <v>0</v>
      </c>
      <c r="F28" s="585">
        <f>SUM('Schedule 3B_Income_Eastern:Schedule 3D_Income_The Cape'!F28)</f>
        <v>0</v>
      </c>
      <c r="G28" s="585">
        <f>SUM('Schedule 3B_Income_Eastern:Schedule 3D_Income_The Cape'!G28)</f>
        <v>0</v>
      </c>
      <c r="H28" s="585">
        <f>SUM('Schedule 3B_Income_Eastern:Schedule 3D_Income_The Cape'!H28)</f>
        <v>0</v>
      </c>
      <c r="I28" s="585">
        <f>SUM('Schedule 3B_Income_Eastern:Schedule 3D_Income_The Cape'!I28)</f>
        <v>0</v>
      </c>
      <c r="J28" s="585">
        <f>SUM('Schedule 3B_Income_Eastern:Schedule 3D_Income_The Cape'!J28)</f>
        <v>0</v>
      </c>
      <c r="K28" s="586">
        <f t="shared" si="46"/>
        <v>0</v>
      </c>
      <c r="L28" s="587">
        <f>SUM('Schedule 3B_Income_Eastern:Schedule 3D_Income_The Cape'!L28)</f>
        <v>0</v>
      </c>
      <c r="M28" s="585">
        <f>SUM('Schedule 3B_Income_Eastern:Schedule 3D_Income_The Cape'!M28)</f>
        <v>0</v>
      </c>
      <c r="N28" s="585">
        <f>SUM('Schedule 3B_Income_Eastern:Schedule 3D_Income_The Cape'!N28)</f>
        <v>0</v>
      </c>
      <c r="O28" s="585">
        <f>SUM('Schedule 3B_Income_Eastern:Schedule 3D_Income_The Cape'!O28)</f>
        <v>0</v>
      </c>
      <c r="P28" s="585">
        <f>SUM('Schedule 3B_Income_Eastern:Schedule 3D_Income_The Cape'!P28)</f>
        <v>0</v>
      </c>
      <c r="Q28" s="585">
        <f>SUM('Schedule 3B_Income_Eastern:Schedule 3D_Income_The Cape'!Q28)</f>
        <v>0</v>
      </c>
      <c r="R28" s="585">
        <f>SUM('Schedule 3B_Income_Eastern:Schedule 3D_Income_The Cape'!R28)</f>
        <v>0</v>
      </c>
      <c r="S28" s="585">
        <f>SUM('Schedule 3B_Income_Eastern:Schedule 3D_Income_The Cape'!S28)</f>
        <v>0</v>
      </c>
      <c r="T28" s="588">
        <f t="shared" si="47"/>
        <v>0</v>
      </c>
      <c r="U28" s="589">
        <f t="shared" si="48"/>
        <v>0</v>
      </c>
      <c r="V28" s="300">
        <v>9</v>
      </c>
      <c r="W28" s="585">
        <f>SUM('Schedule 3B_Income_Eastern:Schedule 3D_Income_The Cape'!W28)</f>
        <v>0</v>
      </c>
      <c r="X28" s="585">
        <f>SUM('Schedule 3B_Income_Eastern:Schedule 3D_Income_The Cape'!X28)</f>
        <v>0</v>
      </c>
      <c r="Y28" s="585">
        <f>SUM('Schedule 3B_Income_Eastern:Schedule 3D_Income_The Cape'!Y28)</f>
        <v>0</v>
      </c>
      <c r="Z28" s="585">
        <f>SUM('Schedule 3B_Income_Eastern:Schedule 3D_Income_The Cape'!Z28)</f>
        <v>0</v>
      </c>
      <c r="AA28" s="585">
        <f>SUM('Schedule 3B_Income_Eastern:Schedule 3D_Income_The Cape'!AA28)</f>
        <v>0</v>
      </c>
      <c r="AB28" s="585">
        <f>SUM('Schedule 3B_Income_Eastern:Schedule 3D_Income_The Cape'!AB28)</f>
        <v>0</v>
      </c>
      <c r="AC28" s="585">
        <f>SUM('Schedule 3B_Income_Eastern:Schedule 3D_Income_The Cape'!AC28)</f>
        <v>0</v>
      </c>
      <c r="AD28" s="585">
        <f>SUM('Schedule 3B_Income_Eastern:Schedule 3D_Income_The Cape'!AD28)</f>
        <v>0</v>
      </c>
      <c r="AE28" s="586">
        <f t="shared" si="49"/>
        <v>0</v>
      </c>
      <c r="AF28" s="587">
        <f>SUM('Schedule 3B_Income_Eastern:Schedule 3D_Income_The Cape'!AF28)</f>
        <v>0</v>
      </c>
      <c r="AG28" s="585">
        <f>SUM('Schedule 3B_Income_Eastern:Schedule 3D_Income_The Cape'!AG28)</f>
        <v>0</v>
      </c>
      <c r="AH28" s="585">
        <f>SUM('Schedule 3B_Income_Eastern:Schedule 3D_Income_The Cape'!AH28)</f>
        <v>0</v>
      </c>
      <c r="AI28" s="585">
        <f>SUM('Schedule 3B_Income_Eastern:Schedule 3D_Income_The Cape'!AI28)</f>
        <v>0</v>
      </c>
      <c r="AJ28" s="585">
        <f>SUM('Schedule 3B_Income_Eastern:Schedule 3D_Income_The Cape'!AJ28)</f>
        <v>0</v>
      </c>
      <c r="AK28" s="585">
        <f>SUM('Schedule 3B_Income_Eastern:Schedule 3D_Income_The Cape'!AK28)</f>
        <v>0</v>
      </c>
      <c r="AL28" s="585">
        <f>SUM('Schedule 3B_Income_Eastern:Schedule 3D_Income_The Cape'!AL28)</f>
        <v>0</v>
      </c>
      <c r="AM28" s="585">
        <f>SUM('Schedule 3B_Income_Eastern:Schedule 3D_Income_The Cape'!AM28)</f>
        <v>0</v>
      </c>
      <c r="AN28" s="588">
        <f t="shared" si="50"/>
        <v>0</v>
      </c>
      <c r="AO28" s="589">
        <f t="shared" si="51"/>
        <v>0</v>
      </c>
      <c r="AP28" s="300">
        <v>9</v>
      </c>
      <c r="AQ28" s="585">
        <f>SUM('Schedule 3B_Income_Eastern:Schedule 3D_Income_The Cape'!AQ28)</f>
        <v>0</v>
      </c>
      <c r="AR28" s="585">
        <f>SUM('Schedule 3B_Income_Eastern:Schedule 3D_Income_The Cape'!AR28)</f>
        <v>0</v>
      </c>
      <c r="AS28" s="585">
        <f>SUM('Schedule 3B_Income_Eastern:Schedule 3D_Income_The Cape'!AS28)</f>
        <v>0</v>
      </c>
      <c r="AT28" s="585">
        <f>SUM('Schedule 3B_Income_Eastern:Schedule 3D_Income_The Cape'!AT28)</f>
        <v>0</v>
      </c>
      <c r="AU28" s="585">
        <f>SUM('Schedule 3B_Income_Eastern:Schedule 3D_Income_The Cape'!AU28)</f>
        <v>0</v>
      </c>
      <c r="AV28" s="585">
        <f>SUM('Schedule 3B_Income_Eastern:Schedule 3D_Income_The Cape'!AV28)</f>
        <v>0</v>
      </c>
      <c r="AW28" s="585">
        <f>SUM('Schedule 3B_Income_Eastern:Schedule 3D_Income_The Cape'!AW28)</f>
        <v>0</v>
      </c>
      <c r="AX28" s="585">
        <f>SUM('Schedule 3B_Income_Eastern:Schedule 3D_Income_The Cape'!AX28)</f>
        <v>0</v>
      </c>
      <c r="AY28" s="586">
        <f t="shared" si="52"/>
        <v>0</v>
      </c>
      <c r="AZ28" s="587">
        <f>SUM('Schedule 3B_Income_Eastern:Schedule 3D_Income_The Cape'!AZ28)</f>
        <v>0</v>
      </c>
      <c r="BA28" s="585">
        <f>SUM('Schedule 3B_Income_Eastern:Schedule 3D_Income_The Cape'!BA28)</f>
        <v>0</v>
      </c>
      <c r="BB28" s="585">
        <f>SUM('Schedule 3B_Income_Eastern:Schedule 3D_Income_The Cape'!BB28)</f>
        <v>0</v>
      </c>
      <c r="BC28" s="585">
        <f>SUM('Schedule 3B_Income_Eastern:Schedule 3D_Income_The Cape'!BC28)</f>
        <v>0</v>
      </c>
      <c r="BD28" s="585">
        <f>SUM('Schedule 3B_Income_Eastern:Schedule 3D_Income_The Cape'!BD28)</f>
        <v>0</v>
      </c>
      <c r="BE28" s="585">
        <f>SUM('Schedule 3B_Income_Eastern:Schedule 3D_Income_The Cape'!BE28)</f>
        <v>0</v>
      </c>
      <c r="BF28" s="585">
        <f>SUM('Schedule 3B_Income_Eastern:Schedule 3D_Income_The Cape'!BF28)</f>
        <v>0</v>
      </c>
      <c r="BG28" s="585">
        <f>SUM('Schedule 3B_Income_Eastern:Schedule 3D_Income_The Cape'!BG28)</f>
        <v>0</v>
      </c>
      <c r="BH28" s="588">
        <f t="shared" si="53"/>
        <v>0</v>
      </c>
      <c r="BI28" s="589">
        <f t="shared" si="54"/>
        <v>0</v>
      </c>
      <c r="BJ28" s="300">
        <v>9</v>
      </c>
      <c r="BK28" s="585">
        <f>SUM('Schedule 3B_Income_Eastern:Schedule 3D_Income_The Cape'!BK28)</f>
        <v>0</v>
      </c>
      <c r="BL28" s="585">
        <f>SUM('Schedule 3B_Income_Eastern:Schedule 3D_Income_The Cape'!BL28)</f>
        <v>0</v>
      </c>
      <c r="BM28" s="585">
        <f>SUM('Schedule 3B_Income_Eastern:Schedule 3D_Income_The Cape'!BM28)</f>
        <v>0</v>
      </c>
      <c r="BN28" s="585">
        <f>SUM('Schedule 3B_Income_Eastern:Schedule 3D_Income_The Cape'!BN28)</f>
        <v>0</v>
      </c>
      <c r="BO28" s="585">
        <f>SUM('Schedule 3B_Income_Eastern:Schedule 3D_Income_The Cape'!BO28)</f>
        <v>0</v>
      </c>
      <c r="BP28" s="585">
        <f>SUM('Schedule 3B_Income_Eastern:Schedule 3D_Income_The Cape'!BP28)</f>
        <v>0</v>
      </c>
      <c r="BQ28" s="585">
        <f>SUM('Schedule 3B_Income_Eastern:Schedule 3D_Income_The Cape'!BQ28)</f>
        <v>0</v>
      </c>
      <c r="BR28" s="585">
        <f>SUM('Schedule 3B_Income_Eastern:Schedule 3D_Income_The Cape'!BR28)</f>
        <v>0</v>
      </c>
      <c r="BS28" s="586">
        <f t="shared" si="55"/>
        <v>0</v>
      </c>
      <c r="BT28" s="587">
        <f>SUM('Schedule 3B_Income_Eastern:Schedule 3D_Income_The Cape'!BT28)</f>
        <v>0</v>
      </c>
      <c r="BU28" s="585">
        <f>SUM('Schedule 3B_Income_Eastern:Schedule 3D_Income_The Cape'!BU28)</f>
        <v>0</v>
      </c>
      <c r="BV28" s="585">
        <f>SUM('Schedule 3B_Income_Eastern:Schedule 3D_Income_The Cape'!BV28)</f>
        <v>0</v>
      </c>
      <c r="BW28" s="585">
        <f>SUM('Schedule 3B_Income_Eastern:Schedule 3D_Income_The Cape'!BW28)</f>
        <v>0</v>
      </c>
      <c r="BX28" s="585">
        <f>SUM('Schedule 3B_Income_Eastern:Schedule 3D_Income_The Cape'!BX28)</f>
        <v>0</v>
      </c>
      <c r="BY28" s="585">
        <f>SUM('Schedule 3B_Income_Eastern:Schedule 3D_Income_The Cape'!BY28)</f>
        <v>0</v>
      </c>
      <c r="BZ28" s="585">
        <f>SUM('Schedule 3B_Income_Eastern:Schedule 3D_Income_The Cape'!BZ28)</f>
        <v>0</v>
      </c>
      <c r="CA28" s="585">
        <f>SUM('Schedule 3B_Income_Eastern:Schedule 3D_Income_The Cape'!CA28)</f>
        <v>0</v>
      </c>
      <c r="CB28" s="588">
        <f t="shared" si="56"/>
        <v>0</v>
      </c>
      <c r="CC28" s="589">
        <f t="shared" si="57"/>
        <v>0</v>
      </c>
      <c r="CD28" s="300">
        <v>9</v>
      </c>
      <c r="CE28" s="414">
        <f t="shared" si="58"/>
        <v>0</v>
      </c>
      <c r="CF28" s="414">
        <f t="shared" si="59"/>
        <v>0</v>
      </c>
      <c r="CG28" s="414">
        <f t="shared" si="60"/>
        <v>0</v>
      </c>
      <c r="CH28" s="414">
        <f t="shared" si="61"/>
        <v>0</v>
      </c>
      <c r="CI28" s="416">
        <f t="shared" si="62"/>
        <v>0</v>
      </c>
      <c r="CJ28" s="414">
        <f t="shared" si="63"/>
        <v>0</v>
      </c>
      <c r="CK28" s="414">
        <f t="shared" si="64"/>
        <v>0</v>
      </c>
      <c r="CL28" s="414">
        <f t="shared" si="65"/>
        <v>0</v>
      </c>
      <c r="CM28" s="414">
        <f t="shared" si="66"/>
        <v>0</v>
      </c>
      <c r="CN28" s="416">
        <f t="shared" si="67"/>
        <v>0</v>
      </c>
      <c r="CO28" s="414">
        <f t="shared" si="68"/>
        <v>0</v>
      </c>
      <c r="CP28" s="414">
        <f t="shared" si="69"/>
        <v>0</v>
      </c>
      <c r="CQ28" s="414">
        <f t="shared" si="70"/>
        <v>0</v>
      </c>
      <c r="CR28" s="414">
        <f t="shared" si="71"/>
        <v>0</v>
      </c>
      <c r="CS28" s="416">
        <f t="shared" si="72"/>
        <v>0</v>
      </c>
    </row>
    <row r="29" spans="1:99" ht="15.75" customHeight="1">
      <c r="A29" s="88" t="s">
        <v>189</v>
      </c>
      <c r="B29" s="300">
        <v>10</v>
      </c>
      <c r="C29" s="585">
        <f>SUM('Schedule 3B_Income_Eastern:Schedule 3D_Income_The Cape'!C29)</f>
        <v>0</v>
      </c>
      <c r="D29" s="585">
        <f>SUM('Schedule 3B_Income_Eastern:Schedule 3D_Income_The Cape'!D29)</f>
        <v>0</v>
      </c>
      <c r="E29" s="585">
        <f>SUM('Schedule 3B_Income_Eastern:Schedule 3D_Income_The Cape'!E29)</f>
        <v>0</v>
      </c>
      <c r="F29" s="585">
        <f>SUM('Schedule 3B_Income_Eastern:Schedule 3D_Income_The Cape'!F29)</f>
        <v>0</v>
      </c>
      <c r="G29" s="585">
        <f>SUM('Schedule 3B_Income_Eastern:Schedule 3D_Income_The Cape'!G29)</f>
        <v>0</v>
      </c>
      <c r="H29" s="585">
        <f>SUM('Schedule 3B_Income_Eastern:Schedule 3D_Income_The Cape'!H29)</f>
        <v>0</v>
      </c>
      <c r="I29" s="585">
        <f>SUM('Schedule 3B_Income_Eastern:Schedule 3D_Income_The Cape'!I29)</f>
        <v>0</v>
      </c>
      <c r="J29" s="585">
        <f>SUM('Schedule 3B_Income_Eastern:Schedule 3D_Income_The Cape'!J29)</f>
        <v>0</v>
      </c>
      <c r="K29" s="586">
        <f t="shared" si="46"/>
        <v>0</v>
      </c>
      <c r="L29" s="587">
        <f>SUM('Schedule 3B_Income_Eastern:Schedule 3D_Income_The Cape'!L29)</f>
        <v>0</v>
      </c>
      <c r="M29" s="585">
        <f>SUM('Schedule 3B_Income_Eastern:Schedule 3D_Income_The Cape'!M29)</f>
        <v>8.4715146228123039E-5</v>
      </c>
      <c r="N29" s="585">
        <f>SUM('Schedule 3B_Income_Eastern:Schedule 3D_Income_The Cape'!N29)</f>
        <v>0</v>
      </c>
      <c r="O29" s="585">
        <f>SUM('Schedule 3B_Income_Eastern:Schedule 3D_Income_The Cape'!O29)</f>
        <v>7.7313448328406731E-5</v>
      </c>
      <c r="P29" s="585">
        <f>SUM('Schedule 3B_Income_Eastern:Schedule 3D_Income_The Cape'!P29)</f>
        <v>0</v>
      </c>
      <c r="Q29" s="585">
        <f>SUM('Schedule 3B_Income_Eastern:Schedule 3D_Income_The Cape'!Q29)</f>
        <v>8.4172434416361532E-5</v>
      </c>
      <c r="R29" s="585">
        <f>SUM('Schedule 3B_Income_Eastern:Schedule 3D_Income_The Cape'!R29)</f>
        <v>0</v>
      </c>
      <c r="S29" s="585">
        <f>SUM('Schedule 3B_Income_Eastern:Schedule 3D_Income_The Cape'!S29)</f>
        <v>8.4714127088404093E-5</v>
      </c>
      <c r="T29" s="588">
        <f t="shared" si="47"/>
        <v>3.3091515606129538E-4</v>
      </c>
      <c r="U29" s="589">
        <f t="shared" si="48"/>
        <v>3.3091515606129538E-4</v>
      </c>
      <c r="V29" s="300">
        <v>10</v>
      </c>
      <c r="W29" s="585">
        <f>SUM('Schedule 3B_Income_Eastern:Schedule 3D_Income_The Cape'!W29)</f>
        <v>0</v>
      </c>
      <c r="X29" s="585">
        <f>SUM('Schedule 3B_Income_Eastern:Schedule 3D_Income_The Cape'!X29)</f>
        <v>0</v>
      </c>
      <c r="Y29" s="585">
        <f>SUM('Schedule 3B_Income_Eastern:Schedule 3D_Income_The Cape'!Y29)</f>
        <v>0</v>
      </c>
      <c r="Z29" s="585">
        <f>SUM('Schedule 3B_Income_Eastern:Schedule 3D_Income_The Cape'!Z29)</f>
        <v>0</v>
      </c>
      <c r="AA29" s="585">
        <f>SUM('Schedule 3B_Income_Eastern:Schedule 3D_Income_The Cape'!AA29)</f>
        <v>0</v>
      </c>
      <c r="AB29" s="585">
        <f>SUM('Schedule 3B_Income_Eastern:Schedule 3D_Income_The Cape'!AB29)</f>
        <v>0</v>
      </c>
      <c r="AC29" s="585">
        <f>SUM('Schedule 3B_Income_Eastern:Schedule 3D_Income_The Cape'!AC29)</f>
        <v>0</v>
      </c>
      <c r="AD29" s="585">
        <f>SUM('Schedule 3B_Income_Eastern:Schedule 3D_Income_The Cape'!AD29)</f>
        <v>0</v>
      </c>
      <c r="AE29" s="586">
        <f t="shared" si="49"/>
        <v>0</v>
      </c>
      <c r="AF29" s="587">
        <f>SUM('Schedule 3B_Income_Eastern:Schedule 3D_Income_The Cape'!AF29)</f>
        <v>0</v>
      </c>
      <c r="AG29" s="585">
        <f>SUM('Schedule 3B_Income_Eastern:Schedule 3D_Income_The Cape'!AG29)</f>
        <v>2.7706376114738521E-5</v>
      </c>
      <c r="AH29" s="585">
        <f>SUM('Schedule 3B_Income_Eastern:Schedule 3D_Income_The Cape'!AH29)</f>
        <v>0</v>
      </c>
      <c r="AI29" s="585">
        <f>SUM('Schedule 3B_Income_Eastern:Schedule 3D_Income_The Cape'!AI29)</f>
        <v>2.3138611526961483E-5</v>
      </c>
      <c r="AJ29" s="585">
        <f>SUM('Schedule 3B_Income_Eastern:Schedule 3D_Income_The Cape'!AJ29)</f>
        <v>0</v>
      </c>
      <c r="AK29" s="585">
        <f>SUM('Schedule 3B_Income_Eastern:Schedule 3D_Income_The Cape'!AK29)</f>
        <v>2.4458003792600774E-5</v>
      </c>
      <c r="AL29" s="585">
        <f>SUM('Schedule 3B_Income_Eastern:Schedule 3D_Income_The Cape'!AL29)</f>
        <v>0</v>
      </c>
      <c r="AM29" s="585">
        <f>SUM('Schedule 3B_Income_Eastern:Schedule 3D_Income_The Cape'!AM29)</f>
        <v>2.4936849713460428E-5</v>
      </c>
      <c r="AN29" s="588">
        <f t="shared" si="50"/>
        <v>1.0023984114776121E-4</v>
      </c>
      <c r="AO29" s="589">
        <f t="shared" si="51"/>
        <v>1.0023984114776121E-4</v>
      </c>
      <c r="AP29" s="300">
        <v>10</v>
      </c>
      <c r="AQ29" s="585">
        <f>SUM('Schedule 3B_Income_Eastern:Schedule 3D_Income_The Cape'!AQ29)</f>
        <v>0</v>
      </c>
      <c r="AR29" s="585">
        <f>SUM('Schedule 3B_Income_Eastern:Schedule 3D_Income_The Cape'!AR29)</f>
        <v>0</v>
      </c>
      <c r="AS29" s="585">
        <f>SUM('Schedule 3B_Income_Eastern:Schedule 3D_Income_The Cape'!AS29)</f>
        <v>0</v>
      </c>
      <c r="AT29" s="585">
        <f>SUM('Schedule 3B_Income_Eastern:Schedule 3D_Income_The Cape'!AT29)</f>
        <v>0</v>
      </c>
      <c r="AU29" s="585">
        <f>SUM('Schedule 3B_Income_Eastern:Schedule 3D_Income_The Cape'!AU29)</f>
        <v>0</v>
      </c>
      <c r="AV29" s="585">
        <f>SUM('Schedule 3B_Income_Eastern:Schedule 3D_Income_The Cape'!AV29)</f>
        <v>0</v>
      </c>
      <c r="AW29" s="585">
        <f>SUM('Schedule 3B_Income_Eastern:Schedule 3D_Income_The Cape'!AW29)</f>
        <v>0</v>
      </c>
      <c r="AX29" s="585">
        <f>SUM('Schedule 3B_Income_Eastern:Schedule 3D_Income_The Cape'!AX29)</f>
        <v>0</v>
      </c>
      <c r="AY29" s="586">
        <f t="shared" si="52"/>
        <v>0</v>
      </c>
      <c r="AZ29" s="587">
        <f>SUM('Schedule 3B_Income_Eastern:Schedule 3D_Income_The Cape'!AZ29)</f>
        <v>0</v>
      </c>
      <c r="BA29" s="585">
        <f>SUM('Schedule 3B_Income_Eastern:Schedule 3D_Income_The Cape'!BA29)</f>
        <v>6.4286249181454451E-4</v>
      </c>
      <c r="BB29" s="585">
        <f>SUM('Schedule 3B_Income_Eastern:Schedule 3D_Income_The Cape'!BB29)</f>
        <v>0</v>
      </c>
      <c r="BC29" s="585">
        <f>SUM('Schedule 3B_Income_Eastern:Schedule 3D_Income_The Cape'!BC29)</f>
        <v>5.3086602173241205E-4</v>
      </c>
      <c r="BD29" s="585">
        <f>SUM('Schedule 3B_Income_Eastern:Schedule 3D_Income_The Cape'!BD29)</f>
        <v>0</v>
      </c>
      <c r="BE29" s="585">
        <f>SUM('Schedule 3B_Income_Eastern:Schedule 3D_Income_The Cape'!BE29)</f>
        <v>6.0871689225949397E-4</v>
      </c>
      <c r="BF29" s="585">
        <f>SUM('Schedule 3B_Income_Eastern:Schedule 3D_Income_The Cape'!BF29)</f>
        <v>0</v>
      </c>
      <c r="BG29" s="585">
        <f>SUM('Schedule 3B_Income_Eastern:Schedule 3D_Income_The Cape'!BG29)</f>
        <v>6.1781203345248842E-4</v>
      </c>
      <c r="BH29" s="588">
        <f t="shared" si="53"/>
        <v>2.4002574392589389E-3</v>
      </c>
      <c r="BI29" s="589">
        <f t="shared" si="54"/>
        <v>2.4002574392589389E-3</v>
      </c>
      <c r="BJ29" s="300">
        <v>10</v>
      </c>
      <c r="BK29" s="585">
        <f>SUM('Schedule 3B_Income_Eastern:Schedule 3D_Income_The Cape'!BK29)</f>
        <v>0</v>
      </c>
      <c r="BL29" s="585">
        <f>SUM('Schedule 3B_Income_Eastern:Schedule 3D_Income_The Cape'!BL29)</f>
        <v>0</v>
      </c>
      <c r="BM29" s="585">
        <f>SUM('Schedule 3B_Income_Eastern:Schedule 3D_Income_The Cape'!BM29)</f>
        <v>0</v>
      </c>
      <c r="BN29" s="585">
        <f>SUM('Schedule 3B_Income_Eastern:Schedule 3D_Income_The Cape'!BN29)</f>
        <v>0</v>
      </c>
      <c r="BO29" s="585">
        <f>SUM('Schedule 3B_Income_Eastern:Schedule 3D_Income_The Cape'!BO29)</f>
        <v>0</v>
      </c>
      <c r="BP29" s="585">
        <f>SUM('Schedule 3B_Income_Eastern:Schedule 3D_Income_The Cape'!BP29)</f>
        <v>0</v>
      </c>
      <c r="BQ29" s="585">
        <f>SUM('Schedule 3B_Income_Eastern:Schedule 3D_Income_The Cape'!BQ29)</f>
        <v>0</v>
      </c>
      <c r="BR29" s="585">
        <f>SUM('Schedule 3B_Income_Eastern:Schedule 3D_Income_The Cape'!BR29)</f>
        <v>0</v>
      </c>
      <c r="BS29" s="586">
        <f t="shared" si="55"/>
        <v>0</v>
      </c>
      <c r="BT29" s="587">
        <f>SUM('Schedule 3B_Income_Eastern:Schedule 3D_Income_The Cape'!BT29)</f>
        <v>0</v>
      </c>
      <c r="BU29" s="585">
        <f>SUM('Schedule 3B_Income_Eastern:Schedule 3D_Income_The Cape'!BU29)</f>
        <v>2.4979719239615029E-5</v>
      </c>
      <c r="BV29" s="585">
        <f>SUM('Schedule 3B_Income_Eastern:Schedule 3D_Income_The Cape'!BV29)</f>
        <v>0</v>
      </c>
      <c r="BW29" s="585">
        <f>SUM('Schedule 3B_Income_Eastern:Schedule 3D_Income_The Cape'!BW29)</f>
        <v>2.2229458502343474E-5</v>
      </c>
      <c r="BX29" s="585">
        <f>SUM('Schedule 3B_Income_Eastern:Schedule 3D_Income_The Cape'!BX29)</f>
        <v>0</v>
      </c>
      <c r="BY29" s="585">
        <f>SUM('Schedule 3B_Income_Eastern:Schedule 3D_Income_The Cape'!BY29)</f>
        <v>2.3901079102582395E-5</v>
      </c>
      <c r="BZ29" s="585">
        <f>SUM('Schedule 3B_Income_Eastern:Schedule 3D_Income_The Cape'!BZ29)</f>
        <v>0</v>
      </c>
      <c r="CA29" s="585">
        <f>SUM('Schedule 3B_Income_Eastern:Schedule 3D_Income_The Cape'!CA29)</f>
        <v>2.7393737417836595E-5</v>
      </c>
      <c r="CB29" s="588">
        <f t="shared" si="56"/>
        <v>9.8503994262377496E-5</v>
      </c>
      <c r="CC29" s="589">
        <f t="shared" si="57"/>
        <v>9.8503994262377496E-5</v>
      </c>
      <c r="CD29" s="300">
        <v>10</v>
      </c>
      <c r="CE29" s="414">
        <f t="shared" si="58"/>
        <v>0</v>
      </c>
      <c r="CF29" s="414">
        <f t="shared" si="59"/>
        <v>0</v>
      </c>
      <c r="CG29" s="414">
        <f t="shared" si="60"/>
        <v>0</v>
      </c>
      <c r="CH29" s="414">
        <f t="shared" si="61"/>
        <v>0</v>
      </c>
      <c r="CI29" s="416">
        <f t="shared" si="62"/>
        <v>0</v>
      </c>
      <c r="CJ29" s="414">
        <f t="shared" si="63"/>
        <v>7.8026373339702107E-4</v>
      </c>
      <c r="CK29" s="414">
        <f t="shared" si="64"/>
        <v>6.5354754009012365E-4</v>
      </c>
      <c r="CL29" s="414">
        <f t="shared" si="65"/>
        <v>7.4124840957103867E-4</v>
      </c>
      <c r="CM29" s="414">
        <f t="shared" si="66"/>
        <v>7.548567476721895E-4</v>
      </c>
      <c r="CN29" s="416">
        <f t="shared" si="67"/>
        <v>2.9299164307303731E-3</v>
      </c>
      <c r="CO29" s="414">
        <f t="shared" si="68"/>
        <v>7.8026373339702107E-4</v>
      </c>
      <c r="CP29" s="414">
        <f t="shared" si="69"/>
        <v>6.5354754009012365E-4</v>
      </c>
      <c r="CQ29" s="414">
        <f t="shared" si="70"/>
        <v>7.4124840957103867E-4</v>
      </c>
      <c r="CR29" s="414">
        <f t="shared" si="71"/>
        <v>7.548567476721895E-4</v>
      </c>
      <c r="CS29" s="416">
        <f t="shared" si="72"/>
        <v>2.9299164307303727E-3</v>
      </c>
    </row>
    <row r="30" spans="1:99" ht="15.75" customHeight="1">
      <c r="A30" s="135" t="s">
        <v>191</v>
      </c>
      <c r="B30" s="300">
        <v>11</v>
      </c>
      <c r="C30" s="137">
        <f t="shared" ref="C30" si="73">SUM(C25:C29)</f>
        <v>0</v>
      </c>
      <c r="D30" s="137">
        <f t="shared" ref="D30:J30" si="74">SUM(D25:D29)</f>
        <v>0</v>
      </c>
      <c r="E30" s="137">
        <f t="shared" si="74"/>
        <v>0</v>
      </c>
      <c r="F30" s="137">
        <f t="shared" si="74"/>
        <v>0</v>
      </c>
      <c r="G30" s="137">
        <f t="shared" si="74"/>
        <v>0</v>
      </c>
      <c r="H30" s="137">
        <f t="shared" si="74"/>
        <v>0</v>
      </c>
      <c r="I30" s="137">
        <f t="shared" si="74"/>
        <v>0</v>
      </c>
      <c r="J30" s="137">
        <f t="shared" si="74"/>
        <v>0</v>
      </c>
      <c r="K30" s="586">
        <f t="shared" si="46"/>
        <v>0</v>
      </c>
      <c r="L30" s="217">
        <f t="shared" ref="L30:S30" si="75">SUM(L25:L29)</f>
        <v>0</v>
      </c>
      <c r="M30" s="137">
        <f t="shared" si="75"/>
        <v>8.4715146228123039E-5</v>
      </c>
      <c r="N30" s="137">
        <f t="shared" si="75"/>
        <v>0</v>
      </c>
      <c r="O30" s="137">
        <f t="shared" si="75"/>
        <v>7.7313448328406731E-5</v>
      </c>
      <c r="P30" s="137">
        <f t="shared" si="75"/>
        <v>0</v>
      </c>
      <c r="Q30" s="137">
        <f t="shared" si="75"/>
        <v>8.4172434416361532E-5</v>
      </c>
      <c r="R30" s="137">
        <f t="shared" si="75"/>
        <v>0</v>
      </c>
      <c r="S30" s="137">
        <f t="shared" si="75"/>
        <v>8.4714127088404093E-5</v>
      </c>
      <c r="T30" s="588">
        <f t="shared" si="47"/>
        <v>3.3091515606129538E-4</v>
      </c>
      <c r="U30" s="589">
        <f t="shared" si="48"/>
        <v>3.3091515606129538E-4</v>
      </c>
      <c r="V30" s="300">
        <v>11</v>
      </c>
      <c r="W30" s="137">
        <f t="shared" ref="W30:AD30" si="76">SUM(W25:W29)</f>
        <v>0</v>
      </c>
      <c r="X30" s="137">
        <f t="shared" si="76"/>
        <v>0</v>
      </c>
      <c r="Y30" s="137">
        <f t="shared" si="76"/>
        <v>0</v>
      </c>
      <c r="Z30" s="137">
        <f t="shared" si="76"/>
        <v>0</v>
      </c>
      <c r="AA30" s="137">
        <f t="shared" si="76"/>
        <v>0</v>
      </c>
      <c r="AB30" s="137">
        <f t="shared" si="76"/>
        <v>0</v>
      </c>
      <c r="AC30" s="137">
        <f t="shared" si="76"/>
        <v>0</v>
      </c>
      <c r="AD30" s="137">
        <f t="shared" si="76"/>
        <v>0</v>
      </c>
      <c r="AE30" s="586">
        <f t="shared" si="49"/>
        <v>0</v>
      </c>
      <c r="AF30" s="217">
        <f t="shared" ref="AF30:AM30" si="77">SUM(AF25:AF29)</f>
        <v>0</v>
      </c>
      <c r="AG30" s="137">
        <f t="shared" si="77"/>
        <v>2.7706376114738521E-5</v>
      </c>
      <c r="AH30" s="137">
        <f t="shared" si="77"/>
        <v>0</v>
      </c>
      <c r="AI30" s="137">
        <f t="shared" si="77"/>
        <v>2.3138611526961483E-5</v>
      </c>
      <c r="AJ30" s="137">
        <f t="shared" si="77"/>
        <v>0</v>
      </c>
      <c r="AK30" s="137">
        <f t="shared" si="77"/>
        <v>2.4458003792600774E-5</v>
      </c>
      <c r="AL30" s="137">
        <f t="shared" si="77"/>
        <v>0</v>
      </c>
      <c r="AM30" s="137">
        <f t="shared" si="77"/>
        <v>2.4936849713460428E-5</v>
      </c>
      <c r="AN30" s="588">
        <f t="shared" si="50"/>
        <v>1.0023984114776121E-4</v>
      </c>
      <c r="AO30" s="589">
        <f t="shared" si="51"/>
        <v>1.0023984114776121E-4</v>
      </c>
      <c r="AP30" s="300">
        <v>11</v>
      </c>
      <c r="AQ30" s="137">
        <f t="shared" ref="AQ30:AX30" si="78">SUM(AQ25:AQ29)</f>
        <v>0</v>
      </c>
      <c r="AR30" s="137">
        <f t="shared" si="78"/>
        <v>0</v>
      </c>
      <c r="AS30" s="137">
        <f t="shared" si="78"/>
        <v>0</v>
      </c>
      <c r="AT30" s="137">
        <f t="shared" si="78"/>
        <v>0</v>
      </c>
      <c r="AU30" s="137">
        <f t="shared" si="78"/>
        <v>0</v>
      </c>
      <c r="AV30" s="137">
        <f t="shared" si="78"/>
        <v>0</v>
      </c>
      <c r="AW30" s="137">
        <f t="shared" si="78"/>
        <v>0</v>
      </c>
      <c r="AX30" s="137">
        <f t="shared" si="78"/>
        <v>0</v>
      </c>
      <c r="AY30" s="586">
        <f t="shared" si="52"/>
        <v>0</v>
      </c>
      <c r="AZ30" s="217">
        <f t="shared" ref="AZ30:BG30" si="79">SUM(AZ25:AZ29)</f>
        <v>0</v>
      </c>
      <c r="BA30" s="137">
        <f t="shared" si="79"/>
        <v>6.4286249181454451E-4</v>
      </c>
      <c r="BB30" s="137">
        <f t="shared" si="79"/>
        <v>0</v>
      </c>
      <c r="BC30" s="137">
        <f t="shared" si="79"/>
        <v>5.3086602173241205E-4</v>
      </c>
      <c r="BD30" s="137">
        <f t="shared" si="79"/>
        <v>0</v>
      </c>
      <c r="BE30" s="137">
        <f t="shared" si="79"/>
        <v>6.0871689225949397E-4</v>
      </c>
      <c r="BF30" s="137">
        <f t="shared" si="79"/>
        <v>0</v>
      </c>
      <c r="BG30" s="137">
        <f t="shared" si="79"/>
        <v>6.1781203345248842E-4</v>
      </c>
      <c r="BH30" s="588">
        <f t="shared" si="53"/>
        <v>2.4002574392589389E-3</v>
      </c>
      <c r="BI30" s="589">
        <f t="shared" si="54"/>
        <v>2.4002574392589389E-3</v>
      </c>
      <c r="BJ30" s="300">
        <v>11</v>
      </c>
      <c r="BK30" s="137">
        <f t="shared" ref="BK30:BR30" si="80">SUM(BK25:BK29)</f>
        <v>38342.796971540418</v>
      </c>
      <c r="BL30" s="137">
        <f t="shared" si="80"/>
        <v>440002.21302861953</v>
      </c>
      <c r="BM30" s="137">
        <f t="shared" si="80"/>
        <v>37971.815825354643</v>
      </c>
      <c r="BN30" s="137">
        <f t="shared" si="80"/>
        <v>434738.1841746454</v>
      </c>
      <c r="BO30" s="137">
        <f t="shared" si="80"/>
        <v>39132.822548802324</v>
      </c>
      <c r="BP30" s="137">
        <f t="shared" si="80"/>
        <v>433577.1774511977</v>
      </c>
      <c r="BQ30" s="137">
        <f t="shared" si="80"/>
        <v>173165.20825070716</v>
      </c>
      <c r="BR30" s="137">
        <f t="shared" si="80"/>
        <v>1814493.9517494529</v>
      </c>
      <c r="BS30" s="586">
        <f t="shared" si="55"/>
        <v>3411424.1700003203</v>
      </c>
      <c r="BT30" s="217">
        <f t="shared" ref="BT30:CA30" si="81">SUM(BT25:BT29)</f>
        <v>0</v>
      </c>
      <c r="BU30" s="137">
        <f t="shared" si="81"/>
        <v>2.4979719239615029E-5</v>
      </c>
      <c r="BV30" s="137">
        <f t="shared" si="81"/>
        <v>0</v>
      </c>
      <c r="BW30" s="137">
        <f t="shared" si="81"/>
        <v>2.2229458502343474E-5</v>
      </c>
      <c r="BX30" s="137">
        <f t="shared" si="81"/>
        <v>0</v>
      </c>
      <c r="BY30" s="137">
        <f t="shared" si="81"/>
        <v>2.3901079102582395E-5</v>
      </c>
      <c r="BZ30" s="137">
        <f t="shared" si="81"/>
        <v>0</v>
      </c>
      <c r="CA30" s="137">
        <f t="shared" si="81"/>
        <v>2.7393737417836595E-5</v>
      </c>
      <c r="CB30" s="588">
        <f t="shared" si="56"/>
        <v>9.8503994262377496E-5</v>
      </c>
      <c r="CC30" s="589">
        <f t="shared" si="57"/>
        <v>3411424.1700988244</v>
      </c>
      <c r="CD30" s="300">
        <v>11</v>
      </c>
      <c r="CE30" s="414">
        <f t="shared" si="58"/>
        <v>478345.01000015996</v>
      </c>
      <c r="CF30" s="414">
        <f t="shared" si="59"/>
        <v>472710.00000000006</v>
      </c>
      <c r="CG30" s="414">
        <f t="shared" si="60"/>
        <v>472710</v>
      </c>
      <c r="CH30" s="414">
        <f t="shared" si="61"/>
        <v>1987659.1600001601</v>
      </c>
      <c r="CI30" s="416">
        <f t="shared" si="62"/>
        <v>3411424.1700003203</v>
      </c>
      <c r="CJ30" s="414">
        <f t="shared" si="63"/>
        <v>7.8026373339702107E-4</v>
      </c>
      <c r="CK30" s="414">
        <f t="shared" si="64"/>
        <v>6.5354754009012365E-4</v>
      </c>
      <c r="CL30" s="414">
        <f t="shared" si="65"/>
        <v>7.4124840957103867E-4</v>
      </c>
      <c r="CM30" s="414">
        <f t="shared" si="66"/>
        <v>7.548567476721895E-4</v>
      </c>
      <c r="CN30" s="416">
        <f t="shared" si="67"/>
        <v>2.9299164307303731E-3</v>
      </c>
      <c r="CO30" s="414">
        <f t="shared" si="68"/>
        <v>478345.01078042365</v>
      </c>
      <c r="CP30" s="414">
        <f t="shared" si="69"/>
        <v>472710.00065354758</v>
      </c>
      <c r="CQ30" s="414">
        <f t="shared" si="70"/>
        <v>472710.00074124843</v>
      </c>
      <c r="CR30" s="414">
        <f t="shared" si="71"/>
        <v>1987659.1607550166</v>
      </c>
      <c r="CS30" s="416">
        <f t="shared" si="72"/>
        <v>3411424.1729302369</v>
      </c>
      <c r="CU30" s="689"/>
    </row>
    <row r="31" spans="1:99"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c r="CU31" s="319"/>
    </row>
    <row r="32" spans="1:99" s="318" customFormat="1" ht="15.75" customHeight="1">
      <c r="A32" s="16" t="s">
        <v>193</v>
      </c>
      <c r="B32" s="300">
        <v>12</v>
      </c>
      <c r="C32" s="216">
        <f t="shared" ref="C32:U32" si="82">C23+C30</f>
        <v>1307175.47000003</v>
      </c>
      <c r="D32" s="216">
        <f t="shared" si="82"/>
        <v>2746298.3100002413</v>
      </c>
      <c r="E32" s="216">
        <f t="shared" si="82"/>
        <v>1353484.5800000299</v>
      </c>
      <c r="F32" s="216">
        <f t="shared" si="82"/>
        <v>2837490.8200002611</v>
      </c>
      <c r="G32" s="216">
        <f t="shared" si="82"/>
        <v>1406455.43000004</v>
      </c>
      <c r="H32" s="216">
        <f t="shared" si="82"/>
        <v>2976550.2100002831</v>
      </c>
      <c r="I32" s="216">
        <f t="shared" si="82"/>
        <v>1472297.3000000401</v>
      </c>
      <c r="J32" s="216">
        <f t="shared" si="82"/>
        <v>3016804.8000002834</v>
      </c>
      <c r="K32" s="221">
        <f t="shared" si="82"/>
        <v>17116556.920001209</v>
      </c>
      <c r="L32" s="218">
        <f t="shared" si="82"/>
        <v>0</v>
      </c>
      <c r="M32" s="216">
        <f t="shared" si="82"/>
        <v>7376568.7171629248</v>
      </c>
      <c r="N32" s="216">
        <f t="shared" si="82"/>
        <v>0</v>
      </c>
      <c r="O32" s="216">
        <f t="shared" si="82"/>
        <v>6947446.5198521912</v>
      </c>
      <c r="P32" s="216">
        <f t="shared" si="82"/>
        <v>0</v>
      </c>
      <c r="Q32" s="216">
        <f t="shared" si="82"/>
        <v>7833952.773815034</v>
      </c>
      <c r="R32" s="216">
        <f t="shared" si="82"/>
        <v>0</v>
      </c>
      <c r="S32" s="216">
        <f t="shared" si="82"/>
        <v>7967736.6130226254</v>
      </c>
      <c r="T32" s="219">
        <f t="shared" si="82"/>
        <v>30125704.623852775</v>
      </c>
      <c r="U32" s="218">
        <f t="shared" si="82"/>
        <v>47242261.543853991</v>
      </c>
      <c r="V32" s="300">
        <v>12</v>
      </c>
      <c r="W32" s="216">
        <f t="shared" ref="W32:AO32" si="83">W23+W30</f>
        <v>211537.86</v>
      </c>
      <c r="X32" s="216">
        <f t="shared" si="83"/>
        <v>1419351.3100000189</v>
      </c>
      <c r="Y32" s="216">
        <f t="shared" si="83"/>
        <v>209881.93</v>
      </c>
      <c r="Z32" s="216">
        <f t="shared" si="83"/>
        <v>1356663.7700000182</v>
      </c>
      <c r="AA32" s="216">
        <f t="shared" si="83"/>
        <v>208417.22999999998</v>
      </c>
      <c r="AB32" s="216">
        <f t="shared" si="83"/>
        <v>1366160.390000019</v>
      </c>
      <c r="AC32" s="216">
        <f t="shared" si="83"/>
        <v>234610.53</v>
      </c>
      <c r="AD32" s="216">
        <f t="shared" si="83"/>
        <v>1416501.0300000201</v>
      </c>
      <c r="AE32" s="221">
        <f t="shared" si="83"/>
        <v>6423124.0500000762</v>
      </c>
      <c r="AF32" s="218">
        <f t="shared" si="83"/>
        <v>0</v>
      </c>
      <c r="AG32" s="216">
        <f t="shared" si="83"/>
        <v>2566934.0368867521</v>
      </c>
      <c r="AH32" s="216">
        <f t="shared" si="83"/>
        <v>0</v>
      </c>
      <c r="AI32" s="216">
        <f t="shared" si="83"/>
        <v>2112845.1299149715</v>
      </c>
      <c r="AJ32" s="216">
        <f t="shared" si="83"/>
        <v>0</v>
      </c>
      <c r="AK32" s="216">
        <f t="shared" si="83"/>
        <v>2258422.3604435623</v>
      </c>
      <c r="AL32" s="216">
        <f t="shared" si="83"/>
        <v>0</v>
      </c>
      <c r="AM32" s="216">
        <f t="shared" si="83"/>
        <v>2296442.2012395174</v>
      </c>
      <c r="AN32" s="219">
        <f t="shared" si="83"/>
        <v>9234643.7284848019</v>
      </c>
      <c r="AO32" s="218">
        <f t="shared" si="83"/>
        <v>15657767.778484877</v>
      </c>
      <c r="AP32" s="300">
        <v>12</v>
      </c>
      <c r="AQ32" s="216">
        <f t="shared" ref="AQ32:BI32" si="84">AQ23+AQ30</f>
        <v>23418528.329998188</v>
      </c>
      <c r="AR32" s="216">
        <f t="shared" si="84"/>
        <v>55292293.500006221</v>
      </c>
      <c r="AS32" s="216">
        <f t="shared" si="84"/>
        <v>25063089.909998</v>
      </c>
      <c r="AT32" s="216">
        <f t="shared" si="84"/>
        <v>58185271.930009231</v>
      </c>
      <c r="AU32" s="216">
        <f t="shared" si="84"/>
        <v>26431821.770000603</v>
      </c>
      <c r="AV32" s="216">
        <f t="shared" si="84"/>
        <v>61460590.620016634</v>
      </c>
      <c r="AW32" s="216">
        <f t="shared" si="84"/>
        <v>28628666.670001198</v>
      </c>
      <c r="AX32" s="216">
        <f t="shared" si="84"/>
        <v>64215480.53001941</v>
      </c>
      <c r="AY32" s="221">
        <f t="shared" si="84"/>
        <v>342695743.26004946</v>
      </c>
      <c r="AZ32" s="218">
        <f t="shared" si="84"/>
        <v>0</v>
      </c>
      <c r="BA32" s="216">
        <f t="shared" si="84"/>
        <v>61469055.178711094</v>
      </c>
      <c r="BB32" s="216">
        <f t="shared" si="84"/>
        <v>0</v>
      </c>
      <c r="BC32" s="216">
        <f t="shared" si="84"/>
        <v>51061569.437287875</v>
      </c>
      <c r="BD32" s="216">
        <f t="shared" si="84"/>
        <v>0</v>
      </c>
      <c r="BE32" s="216">
        <f t="shared" si="84"/>
        <v>57400614.826300137</v>
      </c>
      <c r="BF32" s="216">
        <f t="shared" si="84"/>
        <v>0</v>
      </c>
      <c r="BG32" s="216">
        <f t="shared" si="84"/>
        <v>57516626.88069538</v>
      </c>
      <c r="BH32" s="219">
        <f t="shared" si="84"/>
        <v>227447866.32299447</v>
      </c>
      <c r="BI32" s="218">
        <f t="shared" si="84"/>
        <v>570143609.58304393</v>
      </c>
      <c r="BJ32" s="300">
        <v>12</v>
      </c>
      <c r="BK32" s="216">
        <f t="shared" ref="BK32:CC32" si="85">BK23+BK30</f>
        <v>567283.79697154055</v>
      </c>
      <c r="BL32" s="216">
        <f t="shared" si="85"/>
        <v>6210207.4530286193</v>
      </c>
      <c r="BM32" s="216">
        <f t="shared" si="85"/>
        <v>542575.97582535469</v>
      </c>
      <c r="BN32" s="216">
        <f t="shared" si="85"/>
        <v>5989561.504174646</v>
      </c>
      <c r="BO32" s="216">
        <f t="shared" si="85"/>
        <v>518733.49254880234</v>
      </c>
      <c r="BP32" s="216">
        <f t="shared" si="85"/>
        <v>5766283.9874511994</v>
      </c>
      <c r="BQ32" s="216">
        <f t="shared" si="85"/>
        <v>704638.14825070719</v>
      </c>
      <c r="BR32" s="216">
        <f t="shared" si="85"/>
        <v>7383478.881749453</v>
      </c>
      <c r="BS32" s="221">
        <f t="shared" si="85"/>
        <v>27682763.240000322</v>
      </c>
      <c r="BT32" s="218">
        <f t="shared" si="85"/>
        <v>0</v>
      </c>
      <c r="BU32" s="216">
        <f t="shared" si="85"/>
        <v>2735365.1338012419</v>
      </c>
      <c r="BV32" s="216">
        <f t="shared" si="85"/>
        <v>0</v>
      </c>
      <c r="BW32" s="216">
        <f t="shared" si="85"/>
        <v>2234440.5595515682</v>
      </c>
      <c r="BX32" s="216">
        <f t="shared" si="85"/>
        <v>0</v>
      </c>
      <c r="BY32" s="216">
        <f t="shared" si="85"/>
        <v>2202836.3298818236</v>
      </c>
      <c r="BZ32" s="216">
        <f t="shared" si="85"/>
        <v>0</v>
      </c>
      <c r="CA32" s="216">
        <f t="shared" si="85"/>
        <v>2399525.8235535687</v>
      </c>
      <c r="CB32" s="219">
        <f t="shared" si="85"/>
        <v>9572167.8467882015</v>
      </c>
      <c r="CC32" s="218">
        <f t="shared" si="85"/>
        <v>37254931.08678852</v>
      </c>
      <c r="CD32" s="300">
        <v>12</v>
      </c>
      <c r="CE32" s="219">
        <f t="shared" ref="CE32:CH32" si="86">CE23+CE30</f>
        <v>91172676.030004844</v>
      </c>
      <c r="CF32" s="219">
        <f t="shared" si="86"/>
        <v>95538020.420007527</v>
      </c>
      <c r="CG32" s="219">
        <f t="shared" si="86"/>
        <v>100135013.13001759</v>
      </c>
      <c r="CH32" s="219">
        <f t="shared" si="86"/>
        <v>107072477.89002112</v>
      </c>
      <c r="CI32" s="216">
        <f>SUM(BS32,AY32,AE32,K32)</f>
        <v>393918187.47005105</v>
      </c>
      <c r="CJ32" s="219">
        <f t="shared" ref="CJ32:CM32" si="87">CJ23+CJ30</f>
        <v>74147923.066562012</v>
      </c>
      <c r="CK32" s="219">
        <f t="shared" si="87"/>
        <v>62356301.646606609</v>
      </c>
      <c r="CL32" s="219">
        <f t="shared" si="87"/>
        <v>69695826.290440544</v>
      </c>
      <c r="CM32" s="219">
        <f t="shared" si="87"/>
        <v>70180331.518511102</v>
      </c>
      <c r="CN32" s="216">
        <f>SUM(BX32,BD32,AJ32,P32)</f>
        <v>0</v>
      </c>
      <c r="CO32" s="219">
        <f t="shared" ref="CO32:CR32" si="88">CO23+CO30</f>
        <v>165320599.09656686</v>
      </c>
      <c r="CP32" s="219">
        <f t="shared" si="88"/>
        <v>157894322.06661412</v>
      </c>
      <c r="CQ32" s="219">
        <f t="shared" si="88"/>
        <v>169830839.42045811</v>
      </c>
      <c r="CR32" s="219">
        <f t="shared" si="88"/>
        <v>177252809.4085322</v>
      </c>
      <c r="CS32" s="216">
        <f>SUM(CC32,BI32,AO32,U32)</f>
        <v>670298569.99217129</v>
      </c>
      <c r="CU32" s="690"/>
    </row>
    <row r="33" spans="1:101" ht="15.75" customHeight="1">
      <c r="A33" s="136"/>
      <c r="B33" s="193"/>
      <c r="C33" s="104"/>
      <c r="D33" s="104"/>
      <c r="E33" s="104"/>
      <c r="F33" s="104"/>
      <c r="G33" s="104"/>
      <c r="H33" s="104"/>
      <c r="I33" s="104"/>
      <c r="J33" s="104"/>
      <c r="K33" s="375"/>
      <c r="L33" s="376"/>
      <c r="M33" s="104"/>
      <c r="N33" s="104"/>
      <c r="O33" s="104"/>
      <c r="P33" s="104"/>
      <c r="Q33" s="104"/>
      <c r="R33" s="104"/>
      <c r="S33" s="104"/>
      <c r="T33" s="104"/>
      <c r="U33" s="377"/>
      <c r="V33" s="193"/>
      <c r="W33" s="104"/>
      <c r="X33" s="104"/>
      <c r="Y33" s="104"/>
      <c r="Z33" s="104"/>
      <c r="AA33" s="104"/>
      <c r="AB33" s="104"/>
      <c r="AC33" s="104"/>
      <c r="AD33" s="104"/>
      <c r="AE33" s="375"/>
      <c r="AF33" s="376"/>
      <c r="AG33" s="104"/>
      <c r="AH33" s="104"/>
      <c r="AI33" s="104"/>
      <c r="AJ33" s="104"/>
      <c r="AK33" s="104"/>
      <c r="AL33" s="104"/>
      <c r="AM33" s="104"/>
      <c r="AN33" s="104"/>
      <c r="AO33" s="377"/>
      <c r="AP33" s="193"/>
      <c r="AQ33" s="104"/>
      <c r="AR33" s="104"/>
      <c r="AS33" s="104"/>
      <c r="AT33" s="104"/>
      <c r="AU33" s="104"/>
      <c r="AV33" s="104"/>
      <c r="AW33" s="104"/>
      <c r="AX33" s="104"/>
      <c r="AY33" s="375"/>
      <c r="AZ33" s="376"/>
      <c r="BA33" s="104"/>
      <c r="BB33" s="104"/>
      <c r="BC33" s="104"/>
      <c r="BD33" s="104"/>
      <c r="BE33" s="104"/>
      <c r="BF33" s="104"/>
      <c r="BG33" s="104"/>
      <c r="BH33" s="104"/>
      <c r="BI33" s="377"/>
      <c r="BJ33" s="193"/>
      <c r="BK33" s="104"/>
      <c r="BL33" s="104"/>
      <c r="BM33" s="104"/>
      <c r="BN33" s="104"/>
      <c r="BO33" s="104"/>
      <c r="BP33" s="104"/>
      <c r="BQ33" s="104"/>
      <c r="BR33" s="104"/>
      <c r="BS33" s="375"/>
      <c r="BT33" s="376"/>
      <c r="BU33" s="104"/>
      <c r="BV33" s="104"/>
      <c r="BW33" s="104"/>
      <c r="BX33" s="104"/>
      <c r="BY33" s="104"/>
      <c r="BZ33" s="104"/>
      <c r="CA33" s="104"/>
      <c r="CB33" s="104"/>
      <c r="CC33" s="377"/>
      <c r="CD33" s="193"/>
      <c r="CE33" s="178"/>
      <c r="CF33" s="178"/>
      <c r="CG33" s="178"/>
      <c r="CH33" s="178"/>
      <c r="CI33" s="419"/>
      <c r="CJ33" s="178"/>
      <c r="CK33" s="178"/>
      <c r="CL33" s="178"/>
      <c r="CM33" s="178"/>
      <c r="CN33" s="419"/>
      <c r="CO33" s="178"/>
      <c r="CP33" s="178"/>
      <c r="CQ33" s="178"/>
      <c r="CR33" s="178"/>
      <c r="CS33" s="419"/>
      <c r="CU33" s="691"/>
    </row>
    <row r="34" spans="1:101"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3"/>
      <c r="V34" s="193"/>
      <c r="W34" s="178"/>
      <c r="X34" s="178"/>
      <c r="Y34" s="178"/>
      <c r="Z34" s="178"/>
      <c r="AA34" s="178"/>
      <c r="AB34" s="178"/>
      <c r="AC34" s="178"/>
      <c r="AD34" s="178"/>
      <c r="AE34" s="381"/>
      <c r="AF34" s="382"/>
      <c r="AG34" s="178"/>
      <c r="AH34" s="178"/>
      <c r="AI34" s="178"/>
      <c r="AJ34" s="178"/>
      <c r="AK34" s="178"/>
      <c r="AL34" s="178"/>
      <c r="AM34" s="178"/>
      <c r="AN34" s="178"/>
      <c r="AO34" s="383"/>
      <c r="AP34" s="193"/>
      <c r="AQ34" s="178"/>
      <c r="AR34" s="178"/>
      <c r="AS34" s="178"/>
      <c r="AT34" s="178"/>
      <c r="AU34" s="178"/>
      <c r="AV34" s="178"/>
      <c r="AW34" s="178"/>
      <c r="AX34" s="178"/>
      <c r="AY34" s="381"/>
      <c r="AZ34" s="382"/>
      <c r="BA34" s="178"/>
      <c r="BB34" s="178"/>
      <c r="BC34" s="178"/>
      <c r="BD34" s="178"/>
      <c r="BE34" s="178"/>
      <c r="BF34" s="178"/>
      <c r="BG34" s="178"/>
      <c r="BH34" s="178"/>
      <c r="BI34" s="383"/>
      <c r="BJ34" s="193"/>
      <c r="BK34" s="178"/>
      <c r="BL34" s="178"/>
      <c r="BM34" s="178"/>
      <c r="BN34" s="178"/>
      <c r="BO34" s="178"/>
      <c r="BP34" s="178"/>
      <c r="BQ34" s="178"/>
      <c r="BR34" s="178"/>
      <c r="BS34" s="381"/>
      <c r="BT34" s="382"/>
      <c r="BU34" s="178"/>
      <c r="BV34" s="178"/>
      <c r="BW34" s="178"/>
      <c r="BX34" s="178"/>
      <c r="BY34" s="178"/>
      <c r="BZ34" s="178"/>
      <c r="CA34" s="178"/>
      <c r="CB34" s="178"/>
      <c r="CC34" s="383"/>
      <c r="CD34" s="193"/>
      <c r="CE34" s="178"/>
      <c r="CF34" s="178"/>
      <c r="CG34" s="178"/>
      <c r="CH34" s="178"/>
      <c r="CI34" s="419"/>
      <c r="CJ34" s="178"/>
      <c r="CK34" s="178"/>
      <c r="CL34" s="178"/>
      <c r="CM34" s="178"/>
      <c r="CN34" s="419"/>
      <c r="CO34" s="178"/>
      <c r="CP34" s="178"/>
      <c r="CQ34" s="178"/>
      <c r="CR34" s="178"/>
      <c r="CS34" s="419"/>
    </row>
    <row r="35" spans="1:101" ht="15.75" customHeight="1">
      <c r="A35" s="88" t="s">
        <v>197</v>
      </c>
      <c r="B35" s="300">
        <v>13</v>
      </c>
      <c r="C35" s="585">
        <f>SUM('Schedule 3B_Income_Eastern:Schedule 3D_Income_The Cape'!C35)</f>
        <v>56765.30702309707</v>
      </c>
      <c r="D35" s="585">
        <f>SUM('Schedule 3B_Income_Eastern:Schedule 3D_Income_The Cape'!D35)</f>
        <v>83745.409930265378</v>
      </c>
      <c r="E35" s="585">
        <f>SUM('Schedule 3B_Income_Eastern:Schedule 3D_Income_The Cape'!E35)</f>
        <v>346836.77733995824</v>
      </c>
      <c r="F35" s="585">
        <f>SUM('Schedule 3B_Income_Eastern:Schedule 3D_Income_The Cape'!F35)</f>
        <v>145112.76319726778</v>
      </c>
      <c r="G35" s="585">
        <f>SUM('Schedule 3B_Income_Eastern:Schedule 3D_Income_The Cape'!G35)</f>
        <v>332630.36014166201</v>
      </c>
      <c r="H35" s="585">
        <f>SUM('Schedule 3B_Income_Eastern:Schedule 3D_Income_The Cape'!H35)</f>
        <v>88941.217469819021</v>
      </c>
      <c r="I35" s="585">
        <f>SUM('Schedule 3B_Income_Eastern:Schedule 3D_Income_The Cape'!I35)</f>
        <v>240961.3698994118</v>
      </c>
      <c r="J35" s="585">
        <f>SUM('Schedule 3B_Income_Eastern:Schedule 3D_Income_The Cape'!J35)</f>
        <v>33688.375787137331</v>
      </c>
      <c r="K35" s="586">
        <f t="shared" ref="K35:K63" si="89">SUM(C35:J35)</f>
        <v>1328681.5807886187</v>
      </c>
      <c r="L35" s="587">
        <f>SUM('Schedule 3B_Income_Eastern:Schedule 3D_Income_The Cape'!L35)</f>
        <v>0</v>
      </c>
      <c r="M35" s="585">
        <f>SUM('Schedule 3B_Income_Eastern:Schedule 3D_Income_The Cape'!M35)</f>
        <v>949704.99490088993</v>
      </c>
      <c r="N35" s="585">
        <f>SUM('Schedule 3B_Income_Eastern:Schedule 3D_Income_The Cape'!N35)</f>
        <v>0</v>
      </c>
      <c r="O35" s="585">
        <f>SUM('Schedule 3B_Income_Eastern:Schedule 3D_Income_The Cape'!O35)</f>
        <v>2760330.3875317066</v>
      </c>
      <c r="P35" s="585">
        <f>SUM('Schedule 3B_Income_Eastern:Schedule 3D_Income_The Cape'!P35)</f>
        <v>0</v>
      </c>
      <c r="Q35" s="585">
        <f>SUM('Schedule 3B_Income_Eastern:Schedule 3D_Income_The Cape'!Q35)</f>
        <v>2717671.1590630738</v>
      </c>
      <c r="R35" s="585">
        <f>SUM('Schedule 3B_Income_Eastern:Schedule 3D_Income_The Cape'!R35)</f>
        <v>0</v>
      </c>
      <c r="S35" s="585">
        <f>SUM('Schedule 3B_Income_Eastern:Schedule 3D_Income_The Cape'!S35)</f>
        <v>1916931.4092756957</v>
      </c>
      <c r="T35" s="588">
        <f t="shared" ref="T35:T63" si="90">SUM(L35:S35)</f>
        <v>8344637.9507713662</v>
      </c>
      <c r="U35" s="589">
        <f t="shared" ref="U35:U63" si="91">SUM(T35,K35)</f>
        <v>9673319.5315599851</v>
      </c>
      <c r="V35" s="300">
        <v>13</v>
      </c>
      <c r="W35" s="585">
        <f>SUM('Schedule 3B_Income_Eastern:Schedule 3D_Income_The Cape'!W35)</f>
        <v>0</v>
      </c>
      <c r="X35" s="585">
        <f>SUM('Schedule 3B_Income_Eastern:Schedule 3D_Income_The Cape'!X35)</f>
        <v>23189.498035144417</v>
      </c>
      <c r="Y35" s="585">
        <f>SUM('Schedule 3B_Income_Eastern:Schedule 3D_Income_The Cape'!Y35)</f>
        <v>0</v>
      </c>
      <c r="Z35" s="585">
        <f>SUM('Schedule 3B_Income_Eastern:Schedule 3D_Income_The Cape'!Z35)</f>
        <v>13090.680342857311</v>
      </c>
      <c r="AA35" s="585">
        <f>SUM('Schedule 3B_Income_Eastern:Schedule 3D_Income_The Cape'!AA35)</f>
        <v>6699.8325070817937</v>
      </c>
      <c r="AB35" s="585">
        <f>SUM('Schedule 3B_Income_Eastern:Schedule 3D_Income_The Cape'!AB35)</f>
        <v>8262.4483786455166</v>
      </c>
      <c r="AC35" s="585">
        <f>SUM('Schedule 3B_Income_Eastern:Schedule 3D_Income_The Cape'!AC35)</f>
        <v>56887.895828262801</v>
      </c>
      <c r="AD35" s="585">
        <f>SUM('Schedule 3B_Income_Eastern:Schedule 3D_Income_The Cape'!AD35)</f>
        <v>6630.9301833002219</v>
      </c>
      <c r="AE35" s="586">
        <f t="shared" ref="AE35:AE63" si="92">SUM(W35:AD35)</f>
        <v>114761.28527529206</v>
      </c>
      <c r="AF35" s="587">
        <f>SUM('Schedule 3B_Income_Eastern:Schedule 3D_Income_The Cape'!AF35)</f>
        <v>0</v>
      </c>
      <c r="AG35" s="585">
        <f>SUM('Schedule 3B_Income_Eastern:Schedule 3D_Income_The Cape'!AG35)</f>
        <v>364010.50429029111</v>
      </c>
      <c r="AH35" s="585">
        <f>SUM('Schedule 3B_Income_Eastern:Schedule 3D_Income_The Cape'!AH35)</f>
        <v>0</v>
      </c>
      <c r="AI35" s="585">
        <f>SUM('Schedule 3B_Income_Eastern:Schedule 3D_Income_The Cape'!AI35)</f>
        <v>363765.80904867151</v>
      </c>
      <c r="AJ35" s="585">
        <f>SUM('Schedule 3B_Income_Eastern:Schedule 3D_Income_The Cape'!AJ35)</f>
        <v>0</v>
      </c>
      <c r="AK35" s="585">
        <f>SUM('Schedule 3B_Income_Eastern:Schedule 3D_Income_The Cape'!AK35)</f>
        <v>288125.32223919802</v>
      </c>
      <c r="AL35" s="585">
        <f>SUM('Schedule 3B_Income_Eastern:Schedule 3D_Income_The Cape'!AL35)</f>
        <v>0</v>
      </c>
      <c r="AM35" s="585">
        <f>SUM('Schedule 3B_Income_Eastern:Schedule 3D_Income_The Cape'!AM35)</f>
        <v>384415.28279483313</v>
      </c>
      <c r="AN35" s="588">
        <f t="shared" ref="AN35:AN63" si="93">SUM(AF35:AM35)</f>
        <v>1400316.9183729938</v>
      </c>
      <c r="AO35" s="589">
        <f t="shared" ref="AO35:AO63" si="94">SUM(AN35,AE35)</f>
        <v>1515078.2036482859</v>
      </c>
      <c r="AP35" s="300">
        <v>13</v>
      </c>
      <c r="AQ35" s="585">
        <f>SUM('Schedule 3B_Income_Eastern:Schedule 3D_Income_The Cape'!AQ35)</f>
        <v>2128850.2331348946</v>
      </c>
      <c r="AR35" s="585">
        <f>SUM('Schedule 3B_Income_Eastern:Schedule 3D_Income_The Cape'!AR35)</f>
        <v>732576.96426880488</v>
      </c>
      <c r="AS35" s="585">
        <f>SUM('Schedule 3B_Income_Eastern:Schedule 3D_Income_The Cape'!AS35)</f>
        <v>984740.88562528254</v>
      </c>
      <c r="AT35" s="585">
        <f>SUM('Schedule 3B_Income_Eastern:Schedule 3D_Income_The Cape'!AT35)</f>
        <v>670641.29891880206</v>
      </c>
      <c r="AU35" s="585">
        <f>SUM('Schedule 3B_Income_Eastern:Schedule 3D_Income_The Cape'!AU35)</f>
        <v>1597751.7692766835</v>
      </c>
      <c r="AV35" s="585">
        <f>SUM('Schedule 3B_Income_Eastern:Schedule 3D_Income_The Cape'!AV35)</f>
        <v>532227.0985155995</v>
      </c>
      <c r="AW35" s="585">
        <f>SUM('Schedule 3B_Income_Eastern:Schedule 3D_Income_The Cape'!AW35)</f>
        <v>2393226.5759986155</v>
      </c>
      <c r="AX35" s="585">
        <f>SUM('Schedule 3B_Income_Eastern:Schedule 3D_Income_The Cape'!AX35)</f>
        <v>455757.72719750542</v>
      </c>
      <c r="AY35" s="586">
        <f t="shared" ref="AY35:AY63" si="95">SUM(AQ35:AX35)</f>
        <v>9495772.5529361889</v>
      </c>
      <c r="AZ35" s="587">
        <f>SUM('Schedule 3B_Income_Eastern:Schedule 3D_Income_The Cape'!AZ35)</f>
        <v>0</v>
      </c>
      <c r="BA35" s="585">
        <f>SUM('Schedule 3B_Income_Eastern:Schedule 3D_Income_The Cape'!BA35)</f>
        <v>10129770.930451509</v>
      </c>
      <c r="BB35" s="585">
        <f>SUM('Schedule 3B_Income_Eastern:Schedule 3D_Income_The Cape'!BB35)</f>
        <v>0</v>
      </c>
      <c r="BC35" s="585">
        <f>SUM('Schedule 3B_Income_Eastern:Schedule 3D_Income_The Cape'!BC35)</f>
        <v>9091644.0791929569</v>
      </c>
      <c r="BD35" s="585">
        <f>SUM('Schedule 3B_Income_Eastern:Schedule 3D_Income_The Cape'!BD35)</f>
        <v>0</v>
      </c>
      <c r="BE35" s="585">
        <f>SUM('Schedule 3B_Income_Eastern:Schedule 3D_Income_The Cape'!BE35)</f>
        <v>10001169.015680345</v>
      </c>
      <c r="BF35" s="585">
        <f>SUM('Schedule 3B_Income_Eastern:Schedule 3D_Income_The Cape'!BF35)</f>
        <v>0</v>
      </c>
      <c r="BG35" s="585">
        <f>SUM('Schedule 3B_Income_Eastern:Schedule 3D_Income_The Cape'!BG35)</f>
        <v>10787259.45728839</v>
      </c>
      <c r="BH35" s="588">
        <f t="shared" ref="BH35:BH63" si="96">SUM(AZ35:BG35)</f>
        <v>40009843.482613198</v>
      </c>
      <c r="BI35" s="589">
        <f t="shared" ref="BI35:BI63" si="97">SUM(BH35,AY35)</f>
        <v>49505616.035549387</v>
      </c>
      <c r="BJ35" s="300">
        <v>13</v>
      </c>
      <c r="BK35" s="585">
        <f>SUM('Schedule 3B_Income_Eastern:Schedule 3D_Income_The Cape'!BK35)</f>
        <v>74704.195870343552</v>
      </c>
      <c r="BL35" s="585">
        <f>SUM('Schedule 3B_Income_Eastern:Schedule 3D_Income_The Cape'!BL35)</f>
        <v>55367.576730107619</v>
      </c>
      <c r="BM35" s="585">
        <f>SUM('Schedule 3B_Income_Eastern:Schedule 3D_Income_The Cape'!BM35)</f>
        <v>48601.866303696988</v>
      </c>
      <c r="BN35" s="585">
        <f>SUM('Schedule 3B_Income_Eastern:Schedule 3D_Income_The Cape'!BN35)</f>
        <v>38108.056209945549</v>
      </c>
      <c r="BO35" s="585">
        <f>SUM('Schedule 3B_Income_Eastern:Schedule 3D_Income_The Cape'!BO35)</f>
        <v>8304.9903477632306</v>
      </c>
      <c r="BP35" s="585">
        <f>SUM('Schedule 3B_Income_Eastern:Schedule 3D_Income_The Cape'!BP35)</f>
        <v>19120.298576034671</v>
      </c>
      <c r="BQ35" s="585">
        <f>SUM('Schedule 3B_Income_Eastern:Schedule 3D_Income_The Cape'!BQ35)</f>
        <v>62695.018260757242</v>
      </c>
      <c r="BR35" s="585">
        <f>SUM('Schedule 3B_Income_Eastern:Schedule 3D_Income_The Cape'!BR35)</f>
        <v>14281.243990183893</v>
      </c>
      <c r="BS35" s="586">
        <f t="shared" ref="BS35:BS63" si="98">SUM(BK35:BR35)</f>
        <v>321183.24628883274</v>
      </c>
      <c r="BT35" s="587">
        <f>SUM('Schedule 3B_Income_Eastern:Schedule 3D_Income_The Cape'!BT35)</f>
        <v>0</v>
      </c>
      <c r="BU35" s="585">
        <f>SUM('Schedule 3B_Income_Eastern:Schedule 3D_Income_The Cape'!BU35)</f>
        <v>747186.87448623439</v>
      </c>
      <c r="BV35" s="585">
        <f>SUM('Schedule 3B_Income_Eastern:Schedule 3D_Income_The Cape'!BV35)</f>
        <v>0</v>
      </c>
      <c r="BW35" s="585">
        <f>SUM('Schedule 3B_Income_Eastern:Schedule 3D_Income_The Cape'!BW35)</f>
        <v>764138.549618694</v>
      </c>
      <c r="BX35" s="585">
        <f>SUM('Schedule 3B_Income_Eastern:Schedule 3D_Income_The Cape'!BX35)</f>
        <v>0</v>
      </c>
      <c r="BY35" s="585">
        <f>SUM('Schedule 3B_Income_Eastern:Schedule 3D_Income_The Cape'!BY35)</f>
        <v>721102.46171664563</v>
      </c>
      <c r="BZ35" s="585">
        <f>SUM('Schedule 3B_Income_Eastern:Schedule 3D_Income_The Cape'!BZ35)</f>
        <v>0</v>
      </c>
      <c r="CA35" s="585">
        <f>SUM('Schedule 3B_Income_Eastern:Schedule 3D_Income_The Cape'!CA35)</f>
        <v>944711.49561745115</v>
      </c>
      <c r="CB35" s="588">
        <f t="shared" ref="CB35:CB63" si="99">SUM(BT35:CA35)</f>
        <v>3177139.3814390255</v>
      </c>
      <c r="CC35" s="589">
        <f t="shared" ref="CC35:CC63" si="100">SUM(CB35,BS35)</f>
        <v>3498322.6277278583</v>
      </c>
      <c r="CD35" s="300">
        <v>13</v>
      </c>
      <c r="CE35" s="414">
        <f t="shared" ref="CE35:CE64" si="101">+C35+D35+W35+X35+AQ35+AR35+BK35+BL35</f>
        <v>3155199.1849926575</v>
      </c>
      <c r="CF35" s="414">
        <f t="shared" ref="CF35:CF64" si="102">+E35+F35+Y35+Z35+AS35+AT35+BM35+BN35</f>
        <v>2247132.3279378102</v>
      </c>
      <c r="CG35" s="414">
        <f t="shared" ref="CG35:CG64" si="103">+G35+H35+AA35+AB35+AU35+AV35+BO35+BP35</f>
        <v>2593938.0152132888</v>
      </c>
      <c r="CH35" s="414">
        <f t="shared" ref="CH35:CH64" si="104">+I35+J35+AC35+AD35+AW35+AX35+BQ35+BR35</f>
        <v>3264129.1371451742</v>
      </c>
      <c r="CI35" s="416">
        <f t="shared" ref="CI35:CI64" si="105">SUM(K35,AE35,AY35,BS35)</f>
        <v>11260398.665288933</v>
      </c>
      <c r="CJ35" s="414">
        <f t="shared" ref="CJ35:CJ64" si="106">L35+M35+AF35+AG35+AZ35+BA35+BT35+BU35</f>
        <v>12190673.304128924</v>
      </c>
      <c r="CK35" s="414">
        <f t="shared" ref="CK35:CK64" si="107">N35+O35+AH35+AI35+BB35+BC35+BV35+BW35</f>
        <v>12979878.82539203</v>
      </c>
      <c r="CL35" s="414">
        <f t="shared" ref="CL35:CL64" si="108">P35+Q35+AJ35+AK35+BD35+BE35+BX35+BY35</f>
        <v>13728067.958699262</v>
      </c>
      <c r="CM35" s="414">
        <f t="shared" ref="CM35:CM64" si="109">+R35+S35+AL35+AM35+BF35+BG35+BZ35+CA35</f>
        <v>14033317.64497637</v>
      </c>
      <c r="CN35" s="416">
        <f t="shared" ref="CN35:CN64" si="110">SUM(T35,AN35,BH35,CB35)</f>
        <v>52931937.733196579</v>
      </c>
      <c r="CO35" s="414">
        <f t="shared" ref="CO35:CO64" si="111">+C35+D35+L35+M35+W35+X35+AF35+AG35+AQ35+AR35+AZ35+BA35+BK35+BL35+BT35+BU35</f>
        <v>15345872.48912158</v>
      </c>
      <c r="CP35" s="414">
        <f t="shared" ref="CP35:CP64" si="112">+E35+F35+N35+O35+Y35+Z35+AH35+AI35+AS35+AT35+BB35+BC35+BM35+BN35+BV35+BW35</f>
        <v>15227011.153329838</v>
      </c>
      <c r="CQ35" s="414">
        <f t="shared" ref="CQ35:CQ64" si="113">+G35+H35+P35+Q35+AA35+AB35+AJ35+AK35+AU35+AV35+BD35+BE35+BO35+BP35+BX35+BY35</f>
        <v>16322005.973912552</v>
      </c>
      <c r="CR35" s="414">
        <f t="shared" ref="CR35:CR64" si="114">+I35+J35+R35+S35+AC35+AD35+AL35+AM35+AW35+AX35+BF35+BG35+BQ35+BR35+BZ35+CA35</f>
        <v>17297446.782121547</v>
      </c>
      <c r="CS35" s="416">
        <f t="shared" ref="CS35:CS64" si="115">SUM(CC35,BI35,AO35,U35)</f>
        <v>64192336.398485512</v>
      </c>
      <c r="CU35" s="319"/>
      <c r="CV35" s="691"/>
      <c r="CW35" s="689"/>
    </row>
    <row r="36" spans="1:101" ht="15.75" customHeight="1">
      <c r="A36" s="88" t="s">
        <v>199</v>
      </c>
      <c r="B36" s="300">
        <v>14</v>
      </c>
      <c r="C36" s="585">
        <f>SUM('Schedule 3B_Income_Eastern:Schedule 3D_Income_The Cape'!C36)</f>
        <v>0</v>
      </c>
      <c r="D36" s="585">
        <f>SUM('Schedule 3B_Income_Eastern:Schedule 3D_Income_The Cape'!D36)</f>
        <v>6820.4405985718877</v>
      </c>
      <c r="E36" s="585">
        <f>SUM('Schedule 3B_Income_Eastern:Schedule 3D_Income_The Cape'!E36)</f>
        <v>30081.355429805335</v>
      </c>
      <c r="F36" s="585">
        <f>SUM('Schedule 3B_Income_Eastern:Schedule 3D_Income_The Cape'!F36)</f>
        <v>9801.1345291852558</v>
      </c>
      <c r="G36" s="585">
        <f>SUM('Schedule 3B_Income_Eastern:Schedule 3D_Income_The Cape'!G36)</f>
        <v>9689.317881942543</v>
      </c>
      <c r="H36" s="585">
        <f>SUM('Schedule 3B_Income_Eastern:Schedule 3D_Income_The Cape'!H36)</f>
        <v>3280.344606666963</v>
      </c>
      <c r="I36" s="585">
        <f>SUM('Schedule 3B_Income_Eastern:Schedule 3D_Income_The Cape'!I36)</f>
        <v>0</v>
      </c>
      <c r="J36" s="585">
        <f>SUM('Schedule 3B_Income_Eastern:Schedule 3D_Income_The Cape'!J36)</f>
        <v>0</v>
      </c>
      <c r="K36" s="586">
        <f t="shared" si="89"/>
        <v>59672.593046171991</v>
      </c>
      <c r="L36" s="587">
        <f>SUM('Schedule 3B_Income_Eastern:Schedule 3D_Income_The Cape'!L36)</f>
        <v>0</v>
      </c>
      <c r="M36" s="585">
        <f>SUM('Schedule 3B_Income_Eastern:Schedule 3D_Income_The Cape'!M36)</f>
        <v>141743.05100861139</v>
      </c>
      <c r="N36" s="585">
        <f>SUM('Schedule 3B_Income_Eastern:Schedule 3D_Income_The Cape'!N36)</f>
        <v>0</v>
      </c>
      <c r="O36" s="585">
        <f>SUM('Schedule 3B_Income_Eastern:Schedule 3D_Income_The Cape'!O36)</f>
        <v>151892.3540993022</v>
      </c>
      <c r="P36" s="585">
        <f>SUM('Schedule 3B_Income_Eastern:Schedule 3D_Income_The Cape'!P36)</f>
        <v>0</v>
      </c>
      <c r="Q36" s="585">
        <f>SUM('Schedule 3B_Income_Eastern:Schedule 3D_Income_The Cape'!Q36)</f>
        <v>87992.634852760239</v>
      </c>
      <c r="R36" s="585">
        <f>SUM('Schedule 3B_Income_Eastern:Schedule 3D_Income_The Cape'!R36)</f>
        <v>0</v>
      </c>
      <c r="S36" s="585">
        <f>SUM('Schedule 3B_Income_Eastern:Schedule 3D_Income_The Cape'!S36)</f>
        <v>48280.554208354224</v>
      </c>
      <c r="T36" s="588">
        <f t="shared" si="90"/>
        <v>429908.59416902805</v>
      </c>
      <c r="U36" s="589">
        <f t="shared" si="91"/>
        <v>489581.18721520004</v>
      </c>
      <c r="V36" s="300">
        <v>14</v>
      </c>
      <c r="W36" s="585">
        <f>SUM('Schedule 3B_Income_Eastern:Schedule 3D_Income_The Cape'!W36)</f>
        <v>0</v>
      </c>
      <c r="X36" s="585">
        <f>SUM('Schedule 3B_Income_Eastern:Schedule 3D_Income_The Cape'!X36)</f>
        <v>4360.2816729873066</v>
      </c>
      <c r="Y36" s="585">
        <f>SUM('Schedule 3B_Income_Eastern:Schedule 3D_Income_The Cape'!Y36)</f>
        <v>1705.8598390578591</v>
      </c>
      <c r="Z36" s="585">
        <f>SUM('Schedule 3B_Income_Eastern:Schedule 3D_Income_The Cape'!Z36)</f>
        <v>3267.0448430617521</v>
      </c>
      <c r="AA36" s="585">
        <f>SUM('Schedule 3B_Income_Eastern:Schedule 3D_Income_The Cape'!AA36)</f>
        <v>0</v>
      </c>
      <c r="AB36" s="585">
        <f>SUM('Schedule 3B_Income_Eastern:Schedule 3D_Income_The Cape'!AB36)</f>
        <v>0</v>
      </c>
      <c r="AC36" s="585">
        <f>SUM('Schedule 3B_Income_Eastern:Schedule 3D_Income_The Cape'!AC36)</f>
        <v>11425.2308502051</v>
      </c>
      <c r="AD36" s="585">
        <f>SUM('Schedule 3B_Income_Eastern:Schedule 3D_Income_The Cape'!AD36)</f>
        <v>0</v>
      </c>
      <c r="AE36" s="586">
        <f t="shared" si="92"/>
        <v>20758.41720531202</v>
      </c>
      <c r="AF36" s="587">
        <f>SUM('Schedule 3B_Income_Eastern:Schedule 3D_Income_The Cape'!AF36)</f>
        <v>0</v>
      </c>
      <c r="AG36" s="585">
        <f>SUM('Schedule 3B_Income_Eastern:Schedule 3D_Income_The Cape'!AG36)</f>
        <v>151424.43544636504</v>
      </c>
      <c r="AH36" s="585">
        <f>SUM('Schedule 3B_Income_Eastern:Schedule 3D_Income_The Cape'!AH36)</f>
        <v>0</v>
      </c>
      <c r="AI36" s="585">
        <f>SUM('Schedule 3B_Income_Eastern:Schedule 3D_Income_The Cape'!AI36)</f>
        <v>98466.847585996511</v>
      </c>
      <c r="AJ36" s="585">
        <f>SUM('Schedule 3B_Income_Eastern:Schedule 3D_Income_The Cape'!AJ36)</f>
        <v>0</v>
      </c>
      <c r="AK36" s="585">
        <f>SUM('Schedule 3B_Income_Eastern:Schedule 3D_Income_The Cape'!AK36)</f>
        <v>15049.965422894848</v>
      </c>
      <c r="AL36" s="585">
        <f>SUM('Schedule 3B_Income_Eastern:Schedule 3D_Income_The Cape'!AL36)</f>
        <v>0</v>
      </c>
      <c r="AM36" s="585">
        <f>SUM('Schedule 3B_Income_Eastern:Schedule 3D_Income_The Cape'!AM36)</f>
        <v>78984.312654297653</v>
      </c>
      <c r="AN36" s="588">
        <f t="shared" si="93"/>
        <v>343925.56110955402</v>
      </c>
      <c r="AO36" s="589">
        <f t="shared" si="94"/>
        <v>364683.97831486602</v>
      </c>
      <c r="AP36" s="300">
        <v>14</v>
      </c>
      <c r="AQ36" s="585">
        <f>SUM('Schedule 3B_Income_Eastern:Schedule 3D_Income_The Cape'!AQ36)</f>
        <v>0</v>
      </c>
      <c r="AR36" s="585">
        <f>SUM('Schedule 3B_Income_Eastern:Schedule 3D_Income_The Cape'!AR36)</f>
        <v>19633.268303689634</v>
      </c>
      <c r="AS36" s="585">
        <f>SUM('Schedule 3B_Income_Eastern:Schedule 3D_Income_The Cape'!AS36)</f>
        <v>0</v>
      </c>
      <c r="AT36" s="585">
        <f>SUM('Schedule 3B_Income_Eastern:Schedule 3D_Income_The Cape'!AT36)</f>
        <v>22057.307121734393</v>
      </c>
      <c r="AU36" s="585">
        <f>SUM('Schedule 3B_Income_Eastern:Schedule 3D_Income_The Cape'!AU36)</f>
        <v>10715.832582080298</v>
      </c>
      <c r="AV36" s="585">
        <f>SUM('Schedule 3B_Income_Eastern:Schedule 3D_Income_The Cape'!AV36)</f>
        <v>11481.206123334372</v>
      </c>
      <c r="AW36" s="585">
        <f>SUM('Schedule 3B_Income_Eastern:Schedule 3D_Income_The Cape'!AW36)</f>
        <v>14249.186368158013</v>
      </c>
      <c r="AX36" s="585">
        <f>SUM('Schedule 3B_Income_Eastern:Schedule 3D_Income_The Cape'!AX36)</f>
        <v>5847.7734474968402</v>
      </c>
      <c r="AY36" s="586">
        <f t="shared" si="95"/>
        <v>83984.573946493561</v>
      </c>
      <c r="AZ36" s="587">
        <f>SUM('Schedule 3B_Income_Eastern:Schedule 3D_Income_The Cape'!AZ36)</f>
        <v>0</v>
      </c>
      <c r="BA36" s="585">
        <f>SUM('Schedule 3B_Income_Eastern:Schedule 3D_Income_The Cape'!BA36)</f>
        <v>286689.39375078783</v>
      </c>
      <c r="BB36" s="585">
        <f>SUM('Schedule 3B_Income_Eastern:Schedule 3D_Income_The Cape'!BB36)</f>
        <v>0</v>
      </c>
      <c r="BC36" s="585">
        <f>SUM('Schedule 3B_Income_Eastern:Schedule 3D_Income_The Cape'!BC36)</f>
        <v>249112.9253670625</v>
      </c>
      <c r="BD36" s="585">
        <f>SUM('Schedule 3B_Income_Eastern:Schedule 3D_Income_The Cape'!BD36)</f>
        <v>0</v>
      </c>
      <c r="BE36" s="585">
        <f>SUM('Schedule 3B_Income_Eastern:Schedule 3D_Income_The Cape'!BE36)</f>
        <v>278300.48520654975</v>
      </c>
      <c r="BF36" s="585">
        <f>SUM('Schedule 3B_Income_Eastern:Schedule 3D_Income_The Cape'!BF36)</f>
        <v>0</v>
      </c>
      <c r="BG36" s="585">
        <f>SUM('Schedule 3B_Income_Eastern:Schedule 3D_Income_The Cape'!BG36)</f>
        <v>326632.41368729377</v>
      </c>
      <c r="BH36" s="588">
        <f t="shared" si="96"/>
        <v>1140735.218011694</v>
      </c>
      <c r="BI36" s="589">
        <f t="shared" si="97"/>
        <v>1224719.7919581877</v>
      </c>
      <c r="BJ36" s="300">
        <v>14</v>
      </c>
      <c r="BK36" s="585">
        <f>SUM('Schedule 3B_Income_Eastern:Schedule 3D_Income_The Cape'!BK36)</f>
        <v>0</v>
      </c>
      <c r="BL36" s="585">
        <f>SUM('Schedule 3B_Income_Eastern:Schedule 3D_Income_The Cape'!BL36)</f>
        <v>1364.0881197143776</v>
      </c>
      <c r="BM36" s="585">
        <f>SUM('Schedule 3B_Income_Eastern:Schedule 3D_Income_The Cape'!BM36)</f>
        <v>0</v>
      </c>
      <c r="BN36" s="585">
        <f>SUM('Schedule 3B_Income_Eastern:Schedule 3D_Income_The Cape'!BN36)</f>
        <v>3267.0448430617521</v>
      </c>
      <c r="BO36" s="585">
        <f>SUM('Schedule 3B_Income_Eastern:Schedule 3D_Income_The Cape'!BO36)</f>
        <v>0</v>
      </c>
      <c r="BP36" s="585">
        <f>SUM('Schedule 3B_Income_Eastern:Schedule 3D_Income_The Cape'!BP36)</f>
        <v>1640.1723033334815</v>
      </c>
      <c r="BQ36" s="585">
        <f>SUM('Schedule 3B_Income_Eastern:Schedule 3D_Income_The Cape'!BQ36)</f>
        <v>12209.372880475057</v>
      </c>
      <c r="BR36" s="585">
        <f>SUM('Schedule 3B_Income_Eastern:Schedule 3D_Income_The Cape'!BR36)</f>
        <v>0</v>
      </c>
      <c r="BS36" s="586">
        <f t="shared" si="98"/>
        <v>18480.678146584669</v>
      </c>
      <c r="BT36" s="587">
        <f>SUM('Schedule 3B_Income_Eastern:Schedule 3D_Income_The Cape'!BT36)</f>
        <v>0</v>
      </c>
      <c r="BU36" s="585">
        <f>SUM('Schedule 3B_Income_Eastern:Schedule 3D_Income_The Cape'!BU36)</f>
        <v>12063.145167145587</v>
      </c>
      <c r="BV36" s="585">
        <f>SUM('Schedule 3B_Income_Eastern:Schedule 3D_Income_The Cape'!BV36)</f>
        <v>0</v>
      </c>
      <c r="BW36" s="585">
        <f>SUM('Schedule 3B_Income_Eastern:Schedule 3D_Income_The Cape'!BW36)</f>
        <v>27318.291953541389</v>
      </c>
      <c r="BX36" s="585">
        <f>SUM('Schedule 3B_Income_Eastern:Schedule 3D_Income_The Cape'!BX36)</f>
        <v>0</v>
      </c>
      <c r="BY36" s="585">
        <f>SUM('Schedule 3B_Income_Eastern:Schedule 3D_Income_The Cape'!BY36)</f>
        <v>32048.538718285352</v>
      </c>
      <c r="BZ36" s="585">
        <f>SUM('Schedule 3B_Income_Eastern:Schedule 3D_Income_The Cape'!BZ36)</f>
        <v>0</v>
      </c>
      <c r="CA36" s="585">
        <f>SUM('Schedule 3B_Income_Eastern:Schedule 3D_Income_The Cape'!CA36)</f>
        <v>0</v>
      </c>
      <c r="CB36" s="588">
        <f t="shared" si="99"/>
        <v>71429.975838972328</v>
      </c>
      <c r="CC36" s="589">
        <f t="shared" si="100"/>
        <v>89910.653985557001</v>
      </c>
      <c r="CD36" s="300">
        <v>14</v>
      </c>
      <c r="CE36" s="414">
        <f t="shared" si="101"/>
        <v>32178.078694963206</v>
      </c>
      <c r="CF36" s="414">
        <f t="shared" si="102"/>
        <v>70179.746605906359</v>
      </c>
      <c r="CG36" s="414">
        <f t="shared" si="103"/>
        <v>36806.87349735765</v>
      </c>
      <c r="CH36" s="414">
        <f t="shared" si="104"/>
        <v>43731.563546335012</v>
      </c>
      <c r="CI36" s="416">
        <f t="shared" si="105"/>
        <v>182896.26234456222</v>
      </c>
      <c r="CJ36" s="414">
        <f t="shared" si="106"/>
        <v>591920.02537290985</v>
      </c>
      <c r="CK36" s="414">
        <f t="shared" si="107"/>
        <v>526790.4190059026</v>
      </c>
      <c r="CL36" s="414">
        <f t="shared" si="108"/>
        <v>413391.62420049019</v>
      </c>
      <c r="CM36" s="414">
        <f t="shared" si="109"/>
        <v>453897.28054994566</v>
      </c>
      <c r="CN36" s="416">
        <f t="shared" si="110"/>
        <v>1985999.3491292484</v>
      </c>
      <c r="CO36" s="414">
        <f t="shared" si="111"/>
        <v>624098.10406787298</v>
      </c>
      <c r="CP36" s="414">
        <f t="shared" si="112"/>
        <v>596970.16561180877</v>
      </c>
      <c r="CQ36" s="414">
        <f t="shared" si="113"/>
        <v>450198.49769784784</v>
      </c>
      <c r="CR36" s="414">
        <f t="shared" si="114"/>
        <v>497628.84409628069</v>
      </c>
      <c r="CS36" s="416">
        <f t="shared" si="115"/>
        <v>2168895.6114738109</v>
      </c>
    </row>
    <row r="37" spans="1:101" ht="15.75" customHeight="1">
      <c r="A37" s="88" t="s">
        <v>200</v>
      </c>
      <c r="B37" s="300">
        <v>15</v>
      </c>
      <c r="C37" s="585">
        <f>SUM('Schedule 3B_Income_Eastern:Schedule 3D_Income_The Cape'!C37)</f>
        <v>182169.71811328855</v>
      </c>
      <c r="D37" s="585">
        <f>SUM('Schedule 3B_Income_Eastern:Schedule 3D_Income_The Cape'!D37)</f>
        <v>287105.48693486291</v>
      </c>
      <c r="E37" s="585">
        <f>SUM('Schedule 3B_Income_Eastern:Schedule 3D_Income_The Cape'!E37)</f>
        <v>396746.55259769352</v>
      </c>
      <c r="F37" s="585">
        <f>SUM('Schedule 3B_Income_Eastern:Schedule 3D_Income_The Cape'!F37)</f>
        <v>243752.86448148123</v>
      </c>
      <c r="G37" s="585">
        <f>SUM('Schedule 3B_Income_Eastern:Schedule 3D_Income_The Cape'!G37)</f>
        <v>344474.22323537502</v>
      </c>
      <c r="H37" s="585">
        <f>SUM('Schedule 3B_Income_Eastern:Schedule 3D_Income_The Cape'!H37)</f>
        <v>321301.16140857222</v>
      </c>
      <c r="I37" s="585">
        <f>SUM('Schedule 3B_Income_Eastern:Schedule 3D_Income_The Cape'!I37)</f>
        <v>324155.90679030668</v>
      </c>
      <c r="J37" s="585">
        <f>SUM('Schedule 3B_Income_Eastern:Schedule 3D_Income_The Cape'!J37)</f>
        <v>81507.743237143295</v>
      </c>
      <c r="K37" s="586">
        <f t="shared" si="89"/>
        <v>2181213.6567987236</v>
      </c>
      <c r="L37" s="587">
        <f>SUM('Schedule 3B_Income_Eastern:Schedule 3D_Income_The Cape'!L37)</f>
        <v>0</v>
      </c>
      <c r="M37" s="585">
        <f>SUM('Schedule 3B_Income_Eastern:Schedule 3D_Income_The Cape'!M37)</f>
        <v>1012272.7765734458</v>
      </c>
      <c r="N37" s="585">
        <f>SUM('Schedule 3B_Income_Eastern:Schedule 3D_Income_The Cape'!N37)</f>
        <v>0</v>
      </c>
      <c r="O37" s="585">
        <f>SUM('Schedule 3B_Income_Eastern:Schedule 3D_Income_The Cape'!O37)</f>
        <v>2066389.8322664718</v>
      </c>
      <c r="P37" s="585">
        <f>SUM('Schedule 3B_Income_Eastern:Schedule 3D_Income_The Cape'!P37)</f>
        <v>0</v>
      </c>
      <c r="Q37" s="585">
        <f>SUM('Schedule 3B_Income_Eastern:Schedule 3D_Income_The Cape'!Q37)</f>
        <v>1790560.2878837516</v>
      </c>
      <c r="R37" s="585">
        <f>SUM('Schedule 3B_Income_Eastern:Schedule 3D_Income_The Cape'!R37)</f>
        <v>0</v>
      </c>
      <c r="S37" s="585">
        <f>SUM('Schedule 3B_Income_Eastern:Schedule 3D_Income_The Cape'!S37)</f>
        <v>1665397.1738858428</v>
      </c>
      <c r="T37" s="588">
        <f t="shared" si="90"/>
        <v>6534620.0706095118</v>
      </c>
      <c r="U37" s="589">
        <f t="shared" si="91"/>
        <v>8715833.7274082359</v>
      </c>
      <c r="V37" s="300">
        <v>15</v>
      </c>
      <c r="W37" s="585">
        <f>SUM('Schedule 3B_Income_Eastern:Schedule 3D_Income_The Cape'!W37)</f>
        <v>15176.600404178813</v>
      </c>
      <c r="X37" s="585">
        <f>SUM('Schedule 3B_Income_Eastern:Schedule 3D_Income_The Cape'!X37)</f>
        <v>92250.189336657349</v>
      </c>
      <c r="Y37" s="585">
        <f>SUM('Schedule 3B_Income_Eastern:Schedule 3D_Income_The Cape'!Y37)</f>
        <v>3224.3550567392685</v>
      </c>
      <c r="Z37" s="585">
        <f>SUM('Schedule 3B_Income_Eastern:Schedule 3D_Income_The Cape'!Z37)</f>
        <v>27322.954636344901</v>
      </c>
      <c r="AA37" s="585">
        <f>SUM('Schedule 3B_Income_Eastern:Schedule 3D_Income_The Cape'!AA37)</f>
        <v>24275.21339431114</v>
      </c>
      <c r="AB37" s="585">
        <f>SUM('Schedule 3B_Income_Eastern:Schedule 3D_Income_The Cape'!AB37)</f>
        <v>47613.810012830843</v>
      </c>
      <c r="AC37" s="585">
        <f>SUM('Schedule 3B_Income_Eastern:Schedule 3D_Income_The Cape'!AC37)</f>
        <v>32757.628034845973</v>
      </c>
      <c r="AD37" s="585">
        <f>SUM('Schedule 3B_Income_Eastern:Schedule 3D_Income_The Cape'!AD37)</f>
        <v>13818.846312787764</v>
      </c>
      <c r="AE37" s="586">
        <f t="shared" si="92"/>
        <v>256439.59718869606</v>
      </c>
      <c r="AF37" s="587">
        <f>SUM('Schedule 3B_Income_Eastern:Schedule 3D_Income_The Cape'!AF37)</f>
        <v>0</v>
      </c>
      <c r="AG37" s="585">
        <f>SUM('Schedule 3B_Income_Eastern:Schedule 3D_Income_The Cape'!AG37)</f>
        <v>352851.27228935738</v>
      </c>
      <c r="AH37" s="585">
        <f>SUM('Schedule 3B_Income_Eastern:Schedule 3D_Income_The Cape'!AH37)</f>
        <v>0</v>
      </c>
      <c r="AI37" s="585">
        <f>SUM('Schedule 3B_Income_Eastern:Schedule 3D_Income_The Cape'!AI37)</f>
        <v>314660.66500128689</v>
      </c>
      <c r="AJ37" s="585">
        <f>SUM('Schedule 3B_Income_Eastern:Schedule 3D_Income_The Cape'!AJ37)</f>
        <v>0</v>
      </c>
      <c r="AK37" s="585">
        <f>SUM('Schedule 3B_Income_Eastern:Schedule 3D_Income_The Cape'!AK37)</f>
        <v>355446.92024605436</v>
      </c>
      <c r="AL37" s="585">
        <f>SUM('Schedule 3B_Income_Eastern:Schedule 3D_Income_The Cape'!AL37)</f>
        <v>0</v>
      </c>
      <c r="AM37" s="585">
        <f>SUM('Schedule 3B_Income_Eastern:Schedule 3D_Income_The Cape'!AM37)</f>
        <v>404843.30773515173</v>
      </c>
      <c r="AN37" s="588">
        <f t="shared" si="93"/>
        <v>1427802.1652718503</v>
      </c>
      <c r="AO37" s="589">
        <f t="shared" si="94"/>
        <v>1684241.7624605463</v>
      </c>
      <c r="AP37" s="300">
        <v>15</v>
      </c>
      <c r="AQ37" s="585">
        <f>SUM('Schedule 3B_Income_Eastern:Schedule 3D_Income_The Cape'!AQ37)</f>
        <v>1333905.0698977294</v>
      </c>
      <c r="AR37" s="585">
        <f>SUM('Schedule 3B_Income_Eastern:Schedule 3D_Income_The Cape'!AR37)</f>
        <v>1531908.1308405707</v>
      </c>
      <c r="AS37" s="585">
        <f>SUM('Schedule 3B_Income_Eastern:Schedule 3D_Income_The Cape'!AS37)</f>
        <v>1634777.8816032419</v>
      </c>
      <c r="AT37" s="585">
        <f>SUM('Schedule 3B_Income_Eastern:Schedule 3D_Income_The Cape'!AT37)</f>
        <v>1305559.8046616085</v>
      </c>
      <c r="AU37" s="585">
        <f>SUM('Schedule 3B_Income_Eastern:Schedule 3D_Income_The Cape'!AU37)</f>
        <v>1700808.9608338762</v>
      </c>
      <c r="AV37" s="585">
        <f>SUM('Schedule 3B_Income_Eastern:Schedule 3D_Income_The Cape'!AV37)</f>
        <v>1327093.3498017001</v>
      </c>
      <c r="AW37" s="585">
        <f>SUM('Schedule 3B_Income_Eastern:Schedule 3D_Income_The Cape'!AW37)</f>
        <v>1907028.5114595499</v>
      </c>
      <c r="AX37" s="585">
        <f>SUM('Schedule 3B_Income_Eastern:Schedule 3D_Income_The Cape'!AX37)</f>
        <v>1110224.4619996401</v>
      </c>
      <c r="AY37" s="586">
        <f t="shared" si="95"/>
        <v>11851306.171097917</v>
      </c>
      <c r="AZ37" s="587">
        <f>SUM('Schedule 3B_Income_Eastern:Schedule 3D_Income_The Cape'!AZ37)</f>
        <v>0</v>
      </c>
      <c r="BA37" s="585">
        <f>SUM('Schedule 3B_Income_Eastern:Schedule 3D_Income_The Cape'!BA37)</f>
        <v>6781409.9210733743</v>
      </c>
      <c r="BB37" s="585">
        <f>SUM('Schedule 3B_Income_Eastern:Schedule 3D_Income_The Cape'!BB37)</f>
        <v>0</v>
      </c>
      <c r="BC37" s="585">
        <f>SUM('Schedule 3B_Income_Eastern:Schedule 3D_Income_The Cape'!BC37)</f>
        <v>7328724.3284269562</v>
      </c>
      <c r="BD37" s="585">
        <f>SUM('Schedule 3B_Income_Eastern:Schedule 3D_Income_The Cape'!BD37)</f>
        <v>0</v>
      </c>
      <c r="BE37" s="585">
        <f>SUM('Schedule 3B_Income_Eastern:Schedule 3D_Income_The Cape'!BE37)</f>
        <v>7931355.3400269821</v>
      </c>
      <c r="BF37" s="585">
        <f>SUM('Schedule 3B_Income_Eastern:Schedule 3D_Income_The Cape'!BF37)</f>
        <v>0</v>
      </c>
      <c r="BG37" s="585">
        <f>SUM('Schedule 3B_Income_Eastern:Schedule 3D_Income_The Cape'!BG37)</f>
        <v>8777798.8023330159</v>
      </c>
      <c r="BH37" s="588">
        <f t="shared" si="96"/>
        <v>30819288.391860329</v>
      </c>
      <c r="BI37" s="589">
        <f t="shared" si="97"/>
        <v>42670594.562958248</v>
      </c>
      <c r="BJ37" s="300">
        <v>15</v>
      </c>
      <c r="BK37" s="585">
        <f>SUM('Schedule 3B_Income_Eastern:Schedule 3D_Income_The Cape'!BK37)</f>
        <v>36885.992824910856</v>
      </c>
      <c r="BL37" s="585">
        <f>SUM('Schedule 3B_Income_Eastern:Schedule 3D_Income_The Cape'!BL37)</f>
        <v>28492.910634128111</v>
      </c>
      <c r="BM37" s="585">
        <f>SUM('Schedule 3B_Income_Eastern:Schedule 3D_Income_The Cape'!BM37)</f>
        <v>5763.341358763565</v>
      </c>
      <c r="BN37" s="585">
        <f>SUM('Schedule 3B_Income_Eastern:Schedule 3D_Income_The Cape'!BN37)</f>
        <v>146249.06221308807</v>
      </c>
      <c r="BO37" s="585">
        <f>SUM('Schedule 3B_Income_Eastern:Schedule 3D_Income_The Cape'!BO37)</f>
        <v>42341.92236711258</v>
      </c>
      <c r="BP37" s="585">
        <f>SUM('Schedule 3B_Income_Eastern:Schedule 3D_Income_The Cape'!BP37)</f>
        <v>152646.71574033791</v>
      </c>
      <c r="BQ37" s="585">
        <f>SUM('Schedule 3B_Income_Eastern:Schedule 3D_Income_The Cape'!BQ37)</f>
        <v>55388.5519073584</v>
      </c>
      <c r="BR37" s="585">
        <f>SUM('Schedule 3B_Income_Eastern:Schedule 3D_Income_The Cape'!BR37)</f>
        <v>158073.74715601746</v>
      </c>
      <c r="BS37" s="586">
        <f t="shared" si="98"/>
        <v>625842.24420171697</v>
      </c>
      <c r="BT37" s="587">
        <f>SUM('Schedule 3B_Income_Eastern:Schedule 3D_Income_The Cape'!BT37)</f>
        <v>0</v>
      </c>
      <c r="BU37" s="585">
        <f>SUM('Schedule 3B_Income_Eastern:Schedule 3D_Income_The Cape'!BU37)</f>
        <v>145137.47415939698</v>
      </c>
      <c r="BV37" s="585">
        <f>SUM('Schedule 3B_Income_Eastern:Schedule 3D_Income_The Cape'!BV37)</f>
        <v>0</v>
      </c>
      <c r="BW37" s="585">
        <f>SUM('Schedule 3B_Income_Eastern:Schedule 3D_Income_The Cape'!BW37)</f>
        <v>178280.69928338937</v>
      </c>
      <c r="BX37" s="585">
        <f>SUM('Schedule 3B_Income_Eastern:Schedule 3D_Income_The Cape'!BX37)</f>
        <v>0</v>
      </c>
      <c r="BY37" s="585">
        <f>SUM('Schedule 3B_Income_Eastern:Schedule 3D_Income_The Cape'!BY37)</f>
        <v>232376.7749191738</v>
      </c>
      <c r="BZ37" s="585">
        <f>SUM('Schedule 3B_Income_Eastern:Schedule 3D_Income_The Cape'!BZ37)</f>
        <v>0</v>
      </c>
      <c r="CA37" s="585">
        <f>SUM('Schedule 3B_Income_Eastern:Schedule 3D_Income_The Cape'!CA37)</f>
        <v>174617.85549230155</v>
      </c>
      <c r="CB37" s="588">
        <f t="shared" si="99"/>
        <v>730412.80385426164</v>
      </c>
      <c r="CC37" s="589">
        <f t="shared" si="100"/>
        <v>1356255.0480559785</v>
      </c>
      <c r="CD37" s="300">
        <v>15</v>
      </c>
      <c r="CE37" s="414">
        <f t="shared" si="101"/>
        <v>3507894.0989863263</v>
      </c>
      <c r="CF37" s="414">
        <f t="shared" si="102"/>
        <v>3763396.8166089607</v>
      </c>
      <c r="CG37" s="414">
        <f t="shared" si="103"/>
        <v>3960555.3567941161</v>
      </c>
      <c r="CH37" s="414">
        <f t="shared" si="104"/>
        <v>3682955.3968976489</v>
      </c>
      <c r="CI37" s="416">
        <f t="shared" si="105"/>
        <v>14914801.669287056</v>
      </c>
      <c r="CJ37" s="414">
        <f t="shared" si="106"/>
        <v>8291671.4440955743</v>
      </c>
      <c r="CK37" s="414">
        <f t="shared" si="107"/>
        <v>9888055.5249781031</v>
      </c>
      <c r="CL37" s="414">
        <f t="shared" si="108"/>
        <v>10309739.323075963</v>
      </c>
      <c r="CM37" s="414">
        <f t="shared" si="109"/>
        <v>11022657.139446311</v>
      </c>
      <c r="CN37" s="416">
        <f t="shared" si="110"/>
        <v>39512123.431595959</v>
      </c>
      <c r="CO37" s="414">
        <f t="shared" si="111"/>
        <v>11799565.543081902</v>
      </c>
      <c r="CP37" s="414">
        <f t="shared" si="112"/>
        <v>13651452.341587065</v>
      </c>
      <c r="CQ37" s="414">
        <f t="shared" si="113"/>
        <v>14270294.679870078</v>
      </c>
      <c r="CR37" s="414">
        <f t="shared" si="114"/>
        <v>14705612.536343962</v>
      </c>
      <c r="CS37" s="416">
        <f t="shared" si="115"/>
        <v>54426925.100883007</v>
      </c>
    </row>
    <row r="38" spans="1:101" ht="15.75" customHeight="1">
      <c r="A38" s="88" t="s">
        <v>201</v>
      </c>
      <c r="B38" s="300">
        <v>16</v>
      </c>
      <c r="C38" s="585">
        <f>SUM('Schedule 3B_Income_Eastern:Schedule 3D_Income_The Cape'!C38)</f>
        <v>9252.2576932820539</v>
      </c>
      <c r="D38" s="585">
        <f>SUM('Schedule 3B_Income_Eastern:Schedule 3D_Income_The Cape'!D38)</f>
        <v>20494.823959946181</v>
      </c>
      <c r="E38" s="585">
        <f>SUM('Schedule 3B_Income_Eastern:Schedule 3D_Income_The Cape'!E38)</f>
        <v>14635.960523774114</v>
      </c>
      <c r="F38" s="585">
        <f>SUM('Schedule 3B_Income_Eastern:Schedule 3D_Income_The Cape'!F38)</f>
        <v>29919.594670893806</v>
      </c>
      <c r="G38" s="585">
        <f>SUM('Schedule 3B_Income_Eastern:Schedule 3D_Income_The Cape'!G38)</f>
        <v>11465.397354748933</v>
      </c>
      <c r="H38" s="585">
        <f>SUM('Schedule 3B_Income_Eastern:Schedule 3D_Income_The Cape'!H38)</f>
        <v>49894.101767856802</v>
      </c>
      <c r="I38" s="585">
        <f>SUM('Schedule 3B_Income_Eastern:Schedule 3D_Income_The Cape'!I38)</f>
        <v>6300.9784290965727</v>
      </c>
      <c r="J38" s="585">
        <f>SUM('Schedule 3B_Income_Eastern:Schedule 3D_Income_The Cape'!J38)</f>
        <v>17958.708300388618</v>
      </c>
      <c r="K38" s="586">
        <f t="shared" si="89"/>
        <v>159921.82269998707</v>
      </c>
      <c r="L38" s="587">
        <f>SUM('Schedule 3B_Income_Eastern:Schedule 3D_Income_The Cape'!L38)</f>
        <v>0</v>
      </c>
      <c r="M38" s="585">
        <f>SUM('Schedule 3B_Income_Eastern:Schedule 3D_Income_The Cape'!M38)</f>
        <v>45761.220455283925</v>
      </c>
      <c r="N38" s="585">
        <f>SUM('Schedule 3B_Income_Eastern:Schedule 3D_Income_The Cape'!N38)</f>
        <v>0</v>
      </c>
      <c r="O38" s="585">
        <f>SUM('Schedule 3B_Income_Eastern:Schedule 3D_Income_The Cape'!O38)</f>
        <v>108797.0507744979</v>
      </c>
      <c r="P38" s="585">
        <f>SUM('Schedule 3B_Income_Eastern:Schedule 3D_Income_The Cape'!P38)</f>
        <v>0</v>
      </c>
      <c r="Q38" s="585">
        <f>SUM('Schedule 3B_Income_Eastern:Schedule 3D_Income_The Cape'!Q38)</f>
        <v>101075.97072434981</v>
      </c>
      <c r="R38" s="585">
        <f>SUM('Schedule 3B_Income_Eastern:Schedule 3D_Income_The Cape'!R38)</f>
        <v>0</v>
      </c>
      <c r="S38" s="585">
        <f>SUM('Schedule 3B_Income_Eastern:Schedule 3D_Income_The Cape'!S38)</f>
        <v>85933.171631080448</v>
      </c>
      <c r="T38" s="588">
        <f t="shared" si="90"/>
        <v>341567.41358521208</v>
      </c>
      <c r="U38" s="589">
        <f t="shared" si="91"/>
        <v>501489.23628519918</v>
      </c>
      <c r="V38" s="300">
        <v>16</v>
      </c>
      <c r="W38" s="585">
        <f>SUM('Schedule 3B_Income_Eastern:Schedule 3D_Income_The Cape'!W38)</f>
        <v>16875.77017007464</v>
      </c>
      <c r="X38" s="585">
        <f>SUM('Schedule 3B_Income_Eastern:Schedule 3D_Income_The Cape'!X38)</f>
        <v>34130.424815981401</v>
      </c>
      <c r="Y38" s="585">
        <f>SUM('Schedule 3B_Income_Eastern:Schedule 3D_Income_The Cape'!Y38)</f>
        <v>8735.3111957791771</v>
      </c>
      <c r="Z38" s="585">
        <f>SUM('Schedule 3B_Income_Eastern:Schedule 3D_Income_The Cape'!Z38)</f>
        <v>7238.4861744373156</v>
      </c>
      <c r="AA38" s="585">
        <f>SUM('Schedule 3B_Income_Eastern:Schedule 3D_Income_The Cape'!AA38)</f>
        <v>5286.9024583480277</v>
      </c>
      <c r="AB38" s="585">
        <f>SUM('Schedule 3B_Income_Eastern:Schedule 3D_Income_The Cape'!AB38)</f>
        <v>18803.088046560933</v>
      </c>
      <c r="AC38" s="585">
        <f>SUM('Schedule 3B_Income_Eastern:Schedule 3D_Income_The Cape'!AC38)</f>
        <v>6733.6547496968442</v>
      </c>
      <c r="AD38" s="585">
        <f>SUM('Schedule 3B_Income_Eastern:Schedule 3D_Income_The Cape'!AD38)</f>
        <v>11870.228430475014</v>
      </c>
      <c r="AE38" s="586">
        <f t="shared" si="92"/>
        <v>109673.86604135335</v>
      </c>
      <c r="AF38" s="587">
        <f>SUM('Schedule 3B_Income_Eastern:Schedule 3D_Income_The Cape'!AF38)</f>
        <v>0</v>
      </c>
      <c r="AG38" s="585">
        <f>SUM('Schedule 3B_Income_Eastern:Schedule 3D_Income_The Cape'!AG38)</f>
        <v>79966.482184188862</v>
      </c>
      <c r="AH38" s="585">
        <f>SUM('Schedule 3B_Income_Eastern:Schedule 3D_Income_The Cape'!AH38)</f>
        <v>0</v>
      </c>
      <c r="AI38" s="585">
        <f>SUM('Schedule 3B_Income_Eastern:Schedule 3D_Income_The Cape'!AI38)</f>
        <v>100151.07705596944</v>
      </c>
      <c r="AJ38" s="585">
        <f>SUM('Schedule 3B_Income_Eastern:Schedule 3D_Income_The Cape'!AJ38)</f>
        <v>0</v>
      </c>
      <c r="AK38" s="585">
        <f>SUM('Schedule 3B_Income_Eastern:Schedule 3D_Income_The Cape'!AK38)</f>
        <v>86782.71433936464</v>
      </c>
      <c r="AL38" s="585">
        <f>SUM('Schedule 3B_Income_Eastern:Schedule 3D_Income_The Cape'!AL38)</f>
        <v>0</v>
      </c>
      <c r="AM38" s="585">
        <f>SUM('Schedule 3B_Income_Eastern:Schedule 3D_Income_The Cape'!AM38)</f>
        <v>125924.52495830887</v>
      </c>
      <c r="AN38" s="588">
        <f t="shared" si="93"/>
        <v>392824.79853783187</v>
      </c>
      <c r="AO38" s="589">
        <f t="shared" si="94"/>
        <v>502498.66457918519</v>
      </c>
      <c r="AP38" s="300">
        <v>16</v>
      </c>
      <c r="AQ38" s="585">
        <f>SUM('Schedule 3B_Income_Eastern:Schedule 3D_Income_The Cape'!AQ38)</f>
        <v>33723.018497646168</v>
      </c>
      <c r="AR38" s="585">
        <f>SUM('Schedule 3B_Income_Eastern:Schedule 3D_Income_The Cape'!AR38)</f>
        <v>157044.68504311756</v>
      </c>
      <c r="AS38" s="585">
        <f>SUM('Schedule 3B_Income_Eastern:Schedule 3D_Income_The Cape'!AS38)</f>
        <v>32282.006407732893</v>
      </c>
      <c r="AT38" s="585">
        <f>SUM('Schedule 3B_Income_Eastern:Schedule 3D_Income_The Cape'!AT38)</f>
        <v>120987.70896226937</v>
      </c>
      <c r="AU38" s="585">
        <f>SUM('Schedule 3B_Income_Eastern:Schedule 3D_Income_The Cape'!AU38)</f>
        <v>38915.952168072443</v>
      </c>
      <c r="AV38" s="585">
        <f>SUM('Schedule 3B_Income_Eastern:Schedule 3D_Income_The Cape'!AV38)</f>
        <v>135317.91345275502</v>
      </c>
      <c r="AW38" s="585">
        <f>SUM('Schedule 3B_Income_Eastern:Schedule 3D_Income_The Cape'!AW38)</f>
        <v>48068.332062127156</v>
      </c>
      <c r="AX38" s="585">
        <f>SUM('Schedule 3B_Income_Eastern:Schedule 3D_Income_The Cape'!AX38)</f>
        <v>131955.3785979005</v>
      </c>
      <c r="AY38" s="586">
        <f t="shared" si="95"/>
        <v>698294.99519162113</v>
      </c>
      <c r="AZ38" s="587">
        <f>SUM('Schedule 3B_Income_Eastern:Schedule 3D_Income_The Cape'!AZ38)</f>
        <v>0</v>
      </c>
      <c r="BA38" s="585">
        <f>SUM('Schedule 3B_Income_Eastern:Schedule 3D_Income_The Cape'!BA38)</f>
        <v>455949.28720310749</v>
      </c>
      <c r="BB38" s="585">
        <f>SUM('Schedule 3B_Income_Eastern:Schedule 3D_Income_The Cape'!BB38)</f>
        <v>0</v>
      </c>
      <c r="BC38" s="585">
        <f>SUM('Schedule 3B_Income_Eastern:Schedule 3D_Income_The Cape'!BC38)</f>
        <v>446794.48249097483</v>
      </c>
      <c r="BD38" s="585">
        <f>SUM('Schedule 3B_Income_Eastern:Schedule 3D_Income_The Cape'!BD38)</f>
        <v>0</v>
      </c>
      <c r="BE38" s="585">
        <f>SUM('Schedule 3B_Income_Eastern:Schedule 3D_Income_The Cape'!BE38)</f>
        <v>463467.87581760238</v>
      </c>
      <c r="BF38" s="585">
        <f>SUM('Schedule 3B_Income_Eastern:Schedule 3D_Income_The Cape'!BF38)</f>
        <v>0</v>
      </c>
      <c r="BG38" s="585">
        <f>SUM('Schedule 3B_Income_Eastern:Schedule 3D_Income_The Cape'!BG38)</f>
        <v>541649.27624672942</v>
      </c>
      <c r="BH38" s="588">
        <f t="shared" si="96"/>
        <v>1907860.9217584142</v>
      </c>
      <c r="BI38" s="589">
        <f t="shared" si="97"/>
        <v>2606155.9169500354</v>
      </c>
      <c r="BJ38" s="300">
        <v>16</v>
      </c>
      <c r="BK38" s="585">
        <f>SUM('Schedule 3B_Income_Eastern:Schedule 3D_Income_The Cape'!BK38)</f>
        <v>2265.8363724015157</v>
      </c>
      <c r="BL38" s="585">
        <f>SUM('Schedule 3B_Income_Eastern:Schedule 3D_Income_The Cape'!BL38)</f>
        <v>16753.082244468664</v>
      </c>
      <c r="BM38" s="585">
        <f>SUM('Schedule 3B_Income_Eastern:Schedule 3D_Income_The Cape'!BM38)</f>
        <v>1820.8870429073245</v>
      </c>
      <c r="BN38" s="585">
        <f>SUM('Schedule 3B_Income_Eastern:Schedule 3D_Income_The Cape'!BN38)</f>
        <v>28456.801366667165</v>
      </c>
      <c r="BO38" s="585">
        <f>SUM('Schedule 3B_Income_Eastern:Schedule 3D_Income_The Cape'!BO38)</f>
        <v>3201.4213646444277</v>
      </c>
      <c r="BP38" s="585">
        <f>SUM('Schedule 3B_Income_Eastern:Schedule 3D_Income_The Cape'!BP38)</f>
        <v>20594.825536821936</v>
      </c>
      <c r="BQ38" s="585">
        <f>SUM('Schedule 3B_Income_Eastern:Schedule 3D_Income_The Cape'!BQ38)</f>
        <v>2988.0019678001836</v>
      </c>
      <c r="BR38" s="585">
        <f>SUM('Schedule 3B_Income_Eastern:Schedule 3D_Income_The Cape'!BR38)</f>
        <v>19938.81497493212</v>
      </c>
      <c r="BS38" s="586">
        <f t="shared" si="98"/>
        <v>96019.670870643327</v>
      </c>
      <c r="BT38" s="587">
        <f>SUM('Schedule 3B_Income_Eastern:Schedule 3D_Income_The Cape'!BT38)</f>
        <v>0</v>
      </c>
      <c r="BU38" s="585">
        <f>SUM('Schedule 3B_Income_Eastern:Schedule 3D_Income_The Cape'!BU38)</f>
        <v>34719.079953720982</v>
      </c>
      <c r="BV38" s="585">
        <f>SUM('Schedule 3B_Income_Eastern:Schedule 3D_Income_The Cape'!BV38)</f>
        <v>0</v>
      </c>
      <c r="BW38" s="585">
        <f>SUM('Schedule 3B_Income_Eastern:Schedule 3D_Income_The Cape'!BW38)</f>
        <v>51225.924321506245</v>
      </c>
      <c r="BX38" s="585">
        <f>SUM('Schedule 3B_Income_Eastern:Schedule 3D_Income_The Cape'!BX38)</f>
        <v>0</v>
      </c>
      <c r="BY38" s="585">
        <f>SUM('Schedule 3B_Income_Eastern:Schedule 3D_Income_The Cape'!BY38)</f>
        <v>53002.694224303224</v>
      </c>
      <c r="BZ38" s="585">
        <f>SUM('Schedule 3B_Income_Eastern:Schedule 3D_Income_The Cape'!BZ38)</f>
        <v>0</v>
      </c>
      <c r="CA38" s="585">
        <f>SUM('Schedule 3B_Income_Eastern:Schedule 3D_Income_The Cape'!CA38)</f>
        <v>53496.713867608043</v>
      </c>
      <c r="CB38" s="588">
        <f t="shared" si="99"/>
        <v>192444.41236713849</v>
      </c>
      <c r="CC38" s="589">
        <f t="shared" si="100"/>
        <v>288464.08323778183</v>
      </c>
      <c r="CD38" s="300">
        <v>16</v>
      </c>
      <c r="CE38" s="414">
        <f t="shared" si="101"/>
        <v>290539.89879691822</v>
      </c>
      <c r="CF38" s="414">
        <f t="shared" si="102"/>
        <v>244076.75634446117</v>
      </c>
      <c r="CG38" s="414">
        <f t="shared" si="103"/>
        <v>283479.60214980849</v>
      </c>
      <c r="CH38" s="414">
        <f t="shared" si="104"/>
        <v>245814.09751241698</v>
      </c>
      <c r="CI38" s="416">
        <f t="shared" si="105"/>
        <v>1063910.3548036048</v>
      </c>
      <c r="CJ38" s="414">
        <f t="shared" si="106"/>
        <v>616396.06979630131</v>
      </c>
      <c r="CK38" s="414">
        <f t="shared" si="107"/>
        <v>706968.53464294842</v>
      </c>
      <c r="CL38" s="414">
        <f t="shared" si="108"/>
        <v>704329.25510562013</v>
      </c>
      <c r="CM38" s="414">
        <f t="shared" si="109"/>
        <v>807003.68670372677</v>
      </c>
      <c r="CN38" s="416">
        <f t="shared" si="110"/>
        <v>2834697.5462485966</v>
      </c>
      <c r="CO38" s="414">
        <f t="shared" si="111"/>
        <v>906935.96859321953</v>
      </c>
      <c r="CP38" s="414">
        <f t="shared" si="112"/>
        <v>951045.29098740953</v>
      </c>
      <c r="CQ38" s="414">
        <f t="shared" si="113"/>
        <v>987808.85725542856</v>
      </c>
      <c r="CR38" s="414">
        <f t="shared" si="114"/>
        <v>1052817.7842161439</v>
      </c>
      <c r="CS38" s="416">
        <f t="shared" si="115"/>
        <v>3898607.9010522012</v>
      </c>
    </row>
    <row r="39" spans="1:101" ht="15.75" customHeight="1">
      <c r="A39" s="88" t="s">
        <v>202</v>
      </c>
      <c r="B39" s="300">
        <v>17</v>
      </c>
      <c r="C39" s="585">
        <f>SUM('Schedule 3B_Income_Eastern:Schedule 3D_Income_The Cape'!C39)</f>
        <v>189419.06641917949</v>
      </c>
      <c r="D39" s="585">
        <f>SUM('Schedule 3B_Income_Eastern:Schedule 3D_Income_The Cape'!D39)</f>
        <v>339929.40934560768</v>
      </c>
      <c r="E39" s="585">
        <f>SUM('Schedule 3B_Income_Eastern:Schedule 3D_Income_The Cape'!E39)</f>
        <v>329957.61618253402</v>
      </c>
      <c r="F39" s="585">
        <f>SUM('Schedule 3B_Income_Eastern:Schedule 3D_Income_The Cape'!F39)</f>
        <v>219734.1293344821</v>
      </c>
      <c r="G39" s="585">
        <f>SUM('Schedule 3B_Income_Eastern:Schedule 3D_Income_The Cape'!G39)</f>
        <v>319540.84045397432</v>
      </c>
      <c r="H39" s="585">
        <f>SUM('Schedule 3B_Income_Eastern:Schedule 3D_Income_The Cape'!H39)</f>
        <v>286653.20490577898</v>
      </c>
      <c r="I39" s="585">
        <f>SUM('Schedule 3B_Income_Eastern:Schedule 3D_Income_The Cape'!I39)</f>
        <v>239614.83803990061</v>
      </c>
      <c r="J39" s="585">
        <f>SUM('Schedule 3B_Income_Eastern:Schedule 3D_Income_The Cape'!J39)</f>
        <v>109075.32759046828</v>
      </c>
      <c r="K39" s="586">
        <f t="shared" si="89"/>
        <v>2033924.4322719257</v>
      </c>
      <c r="L39" s="587">
        <f>SUM('Schedule 3B_Income_Eastern:Schedule 3D_Income_The Cape'!L39)</f>
        <v>0</v>
      </c>
      <c r="M39" s="585">
        <f>SUM('Schedule 3B_Income_Eastern:Schedule 3D_Income_The Cape'!M39)</f>
        <v>735251.48368693353</v>
      </c>
      <c r="N39" s="585">
        <f>SUM('Schedule 3B_Income_Eastern:Schedule 3D_Income_The Cape'!N39)</f>
        <v>0</v>
      </c>
      <c r="O39" s="585">
        <f>SUM('Schedule 3B_Income_Eastern:Schedule 3D_Income_The Cape'!O39)</f>
        <v>1474158.9131497517</v>
      </c>
      <c r="P39" s="585">
        <f>SUM('Schedule 3B_Income_Eastern:Schedule 3D_Income_The Cape'!P39)</f>
        <v>0</v>
      </c>
      <c r="Q39" s="585">
        <f>SUM('Schedule 3B_Income_Eastern:Schedule 3D_Income_The Cape'!Q39)</f>
        <v>1279640.5258720687</v>
      </c>
      <c r="R39" s="585">
        <f>SUM('Schedule 3B_Income_Eastern:Schedule 3D_Income_The Cape'!R39)</f>
        <v>0</v>
      </c>
      <c r="S39" s="585">
        <f>SUM('Schedule 3B_Income_Eastern:Schedule 3D_Income_The Cape'!S39)</f>
        <v>1203236.040070232</v>
      </c>
      <c r="T39" s="588">
        <f t="shared" si="90"/>
        <v>4692286.9627789855</v>
      </c>
      <c r="U39" s="589">
        <f t="shared" si="91"/>
        <v>6726211.3950509112</v>
      </c>
      <c r="V39" s="300">
        <v>17</v>
      </c>
      <c r="W39" s="585">
        <f>SUM('Schedule 3B_Income_Eastern:Schedule 3D_Income_The Cape'!W39)</f>
        <v>19066.461688139396</v>
      </c>
      <c r="X39" s="585">
        <f>SUM('Schedule 3B_Income_Eastern:Schedule 3D_Income_The Cape'!X39)</f>
        <v>88585.642607954505</v>
      </c>
      <c r="Y39" s="585">
        <f>SUM('Schedule 3B_Income_Eastern:Schedule 3D_Income_The Cape'!Y39)</f>
        <v>9250.5513929037079</v>
      </c>
      <c r="Z39" s="585">
        <f>SUM('Schedule 3B_Income_Eastern:Schedule 3D_Income_The Cape'!Z39)</f>
        <v>29480.835753321469</v>
      </c>
      <c r="AA39" s="585">
        <f>SUM('Schedule 3B_Income_Eastern:Schedule 3D_Income_The Cape'!AA39)</f>
        <v>19588.149685500237</v>
      </c>
      <c r="AB39" s="585">
        <f>SUM('Schedule 3B_Income_Eastern:Schedule 3D_Income_The Cape'!AB39)</f>
        <v>38409.247467156572</v>
      </c>
      <c r="AC39" s="585">
        <f>SUM('Schedule 3B_Income_Eastern:Schedule 3D_Income_The Cape'!AC39)</f>
        <v>26475.309254564843</v>
      </c>
      <c r="AD39" s="585">
        <f>SUM('Schedule 3B_Income_Eastern:Schedule 3D_Income_The Cape'!AD39)</f>
        <v>17469.341996098097</v>
      </c>
      <c r="AE39" s="586">
        <f t="shared" si="92"/>
        <v>248325.53984563879</v>
      </c>
      <c r="AF39" s="587">
        <f>SUM('Schedule 3B_Income_Eastern:Schedule 3D_Income_The Cape'!AF39)</f>
        <v>0</v>
      </c>
      <c r="AG39" s="585">
        <f>SUM('Schedule 3B_Income_Eastern:Schedule 3D_Income_The Cape'!AG39)</f>
        <v>245008.62099719263</v>
      </c>
      <c r="AH39" s="585">
        <f>SUM('Schedule 3B_Income_Eastern:Schedule 3D_Income_The Cape'!AH39)</f>
        <v>0</v>
      </c>
      <c r="AI39" s="585">
        <f>SUM('Schedule 3B_Income_Eastern:Schedule 3D_Income_The Cape'!AI39)</f>
        <v>284451.93433347973</v>
      </c>
      <c r="AJ39" s="585">
        <f>SUM('Schedule 3B_Income_Eastern:Schedule 3D_Income_The Cape'!AJ39)</f>
        <v>0</v>
      </c>
      <c r="AK39" s="585">
        <f>SUM('Schedule 3B_Income_Eastern:Schedule 3D_Income_The Cape'!AK39)</f>
        <v>236818.38840940199</v>
      </c>
      <c r="AL39" s="585">
        <f>SUM('Schedule 3B_Income_Eastern:Schedule 3D_Income_The Cape'!AL39)</f>
        <v>0</v>
      </c>
      <c r="AM39" s="585">
        <f>SUM('Schedule 3B_Income_Eastern:Schedule 3D_Income_The Cape'!AM39)</f>
        <v>284548.28000120725</v>
      </c>
      <c r="AN39" s="588">
        <f t="shared" si="93"/>
        <v>1050827.2237412815</v>
      </c>
      <c r="AO39" s="589">
        <f t="shared" si="94"/>
        <v>1299152.7635869202</v>
      </c>
      <c r="AP39" s="300">
        <v>17</v>
      </c>
      <c r="AQ39" s="585">
        <f>SUM('Schedule 3B_Income_Eastern:Schedule 3D_Income_The Cape'!AQ39)</f>
        <v>1251266.3214574861</v>
      </c>
      <c r="AR39" s="585">
        <f>SUM('Schedule 3B_Income_Eastern:Schedule 3D_Income_The Cape'!AR39)</f>
        <v>1565412.2251957811</v>
      </c>
      <c r="AS39" s="585">
        <f>SUM('Schedule 3B_Income_Eastern:Schedule 3D_Income_The Cape'!AS39)</f>
        <v>1077367.4523739645</v>
      </c>
      <c r="AT39" s="585">
        <f>SUM('Schedule 3B_Income_Eastern:Schedule 3D_Income_The Cape'!AT39)</f>
        <v>1092270.9222129206</v>
      </c>
      <c r="AU39" s="585">
        <f>SUM('Schedule 3B_Income_Eastern:Schedule 3D_Income_The Cape'!AU39)</f>
        <v>1199217.0146700435</v>
      </c>
      <c r="AV39" s="585">
        <f>SUM('Schedule 3B_Income_Eastern:Schedule 3D_Income_The Cape'!AV39)</f>
        <v>1262386.1404171013</v>
      </c>
      <c r="AW39" s="585">
        <f>SUM('Schedule 3B_Income_Eastern:Schedule 3D_Income_The Cape'!AW39)</f>
        <v>1386656.2904882999</v>
      </c>
      <c r="AX39" s="585">
        <f>SUM('Schedule 3B_Income_Eastern:Schedule 3D_Income_The Cape'!AX39)</f>
        <v>1169133.5726128186</v>
      </c>
      <c r="AY39" s="586">
        <f t="shared" si="95"/>
        <v>10003709.939428415</v>
      </c>
      <c r="AZ39" s="587">
        <f>SUM('Schedule 3B_Income_Eastern:Schedule 3D_Income_The Cape'!AZ39)</f>
        <v>0</v>
      </c>
      <c r="BA39" s="585">
        <f>SUM('Schedule 3B_Income_Eastern:Schedule 3D_Income_The Cape'!BA39)</f>
        <v>4203172.3864712706</v>
      </c>
      <c r="BB39" s="585">
        <f>SUM('Schedule 3B_Income_Eastern:Schedule 3D_Income_The Cape'!BB39)</f>
        <v>0</v>
      </c>
      <c r="BC39" s="585">
        <f>SUM('Schedule 3B_Income_Eastern:Schedule 3D_Income_The Cape'!BC39)</f>
        <v>4507565.4114145031</v>
      </c>
      <c r="BD39" s="585">
        <f>SUM('Schedule 3B_Income_Eastern:Schedule 3D_Income_The Cape'!BD39)</f>
        <v>0</v>
      </c>
      <c r="BE39" s="585">
        <f>SUM('Schedule 3B_Income_Eastern:Schedule 3D_Income_The Cape'!BE39)</f>
        <v>4935322.5590504324</v>
      </c>
      <c r="BF39" s="585">
        <f>SUM('Schedule 3B_Income_Eastern:Schedule 3D_Income_The Cape'!BF39)</f>
        <v>0</v>
      </c>
      <c r="BG39" s="585">
        <f>SUM('Schedule 3B_Income_Eastern:Schedule 3D_Income_The Cape'!BG39)</f>
        <v>5552933.792665015</v>
      </c>
      <c r="BH39" s="588">
        <f t="shared" si="96"/>
        <v>19198994.149601221</v>
      </c>
      <c r="BI39" s="589">
        <f t="shared" si="97"/>
        <v>29202704.089029636</v>
      </c>
      <c r="BJ39" s="300">
        <v>17</v>
      </c>
      <c r="BK39" s="585">
        <f>SUM('Schedule 3B_Income_Eastern:Schedule 3D_Income_The Cape'!BK39)</f>
        <v>30148.837606551442</v>
      </c>
      <c r="BL39" s="585">
        <f>SUM('Schedule 3B_Income_Eastern:Schedule 3D_Income_The Cape'!BL39)</f>
        <v>91106.455451765374</v>
      </c>
      <c r="BM39" s="585">
        <f>SUM('Schedule 3B_Income_Eastern:Schedule 3D_Income_The Cape'!BM39)</f>
        <v>26377.423413612585</v>
      </c>
      <c r="BN39" s="585">
        <f>SUM('Schedule 3B_Income_Eastern:Schedule 3D_Income_The Cape'!BN39)</f>
        <v>36504.691895375901</v>
      </c>
      <c r="BO39" s="585">
        <f>SUM('Schedule 3B_Income_Eastern:Schedule 3D_Income_The Cape'!BO39)</f>
        <v>16598.9055124488</v>
      </c>
      <c r="BP39" s="585">
        <f>SUM('Schedule 3B_Income_Eastern:Schedule 3D_Income_The Cape'!BP39)</f>
        <v>40245.768093346844</v>
      </c>
      <c r="BQ39" s="585">
        <f>SUM('Schedule 3B_Income_Eastern:Schedule 3D_Income_The Cape'!BQ39)</f>
        <v>27669.059525707311</v>
      </c>
      <c r="BR39" s="585">
        <f>SUM('Schedule 3B_Income_Eastern:Schedule 3D_Income_The Cape'!BR39)</f>
        <v>36150.159406062092</v>
      </c>
      <c r="BS39" s="586">
        <f t="shared" si="98"/>
        <v>304801.30090487038</v>
      </c>
      <c r="BT39" s="587">
        <f>SUM('Schedule 3B_Income_Eastern:Schedule 3D_Income_The Cape'!BT39)</f>
        <v>0</v>
      </c>
      <c r="BU39" s="585">
        <f>SUM('Schedule 3B_Income_Eastern:Schedule 3D_Income_The Cape'!BU39)</f>
        <v>245757.75252481981</v>
      </c>
      <c r="BV39" s="585">
        <f>SUM('Schedule 3B_Income_Eastern:Schedule 3D_Income_The Cape'!BV39)</f>
        <v>0</v>
      </c>
      <c r="BW39" s="585">
        <f>SUM('Schedule 3B_Income_Eastern:Schedule 3D_Income_The Cape'!BW39)</f>
        <v>282754.51277941128</v>
      </c>
      <c r="BX39" s="585">
        <f>SUM('Schedule 3B_Income_Eastern:Schedule 3D_Income_The Cape'!BX39)</f>
        <v>0</v>
      </c>
      <c r="BY39" s="585">
        <f>SUM('Schedule 3B_Income_Eastern:Schedule 3D_Income_The Cape'!BY39)</f>
        <v>303437.82594780345</v>
      </c>
      <c r="BZ39" s="585">
        <f>SUM('Schedule 3B_Income_Eastern:Schedule 3D_Income_The Cape'!BZ39)</f>
        <v>0</v>
      </c>
      <c r="CA39" s="585">
        <f>SUM('Schedule 3B_Income_Eastern:Schedule 3D_Income_The Cape'!CA39)</f>
        <v>358214.82824298495</v>
      </c>
      <c r="CB39" s="588">
        <f t="shared" si="99"/>
        <v>1190164.9194950196</v>
      </c>
      <c r="CC39" s="589">
        <f t="shared" si="100"/>
        <v>1494966.2203998901</v>
      </c>
      <c r="CD39" s="300">
        <v>17</v>
      </c>
      <c r="CE39" s="414">
        <f t="shared" si="101"/>
        <v>3574934.4197724657</v>
      </c>
      <c r="CF39" s="414">
        <f t="shared" si="102"/>
        <v>2820943.6225591148</v>
      </c>
      <c r="CG39" s="414">
        <f t="shared" si="103"/>
        <v>3182639.2712053503</v>
      </c>
      <c r="CH39" s="414">
        <f t="shared" si="104"/>
        <v>3012243.8989139195</v>
      </c>
      <c r="CI39" s="416">
        <f t="shared" si="105"/>
        <v>12590761.212450851</v>
      </c>
      <c r="CJ39" s="414">
        <f t="shared" si="106"/>
        <v>5429190.2436802173</v>
      </c>
      <c r="CK39" s="414">
        <f t="shared" si="107"/>
        <v>6548930.7716771457</v>
      </c>
      <c r="CL39" s="414">
        <f t="shared" si="108"/>
        <v>6755219.2992797066</v>
      </c>
      <c r="CM39" s="414">
        <f t="shared" si="109"/>
        <v>7398932.9409794388</v>
      </c>
      <c r="CN39" s="416">
        <f t="shared" si="110"/>
        <v>26132273.255616508</v>
      </c>
      <c r="CO39" s="414">
        <f t="shared" si="111"/>
        <v>9004124.6634526812</v>
      </c>
      <c r="CP39" s="414">
        <f t="shared" si="112"/>
        <v>9369874.3942362573</v>
      </c>
      <c r="CQ39" s="414">
        <f t="shared" si="113"/>
        <v>9937858.5704850554</v>
      </c>
      <c r="CR39" s="414">
        <f t="shared" si="114"/>
        <v>10411176.83989336</v>
      </c>
      <c r="CS39" s="416">
        <f t="shared" si="115"/>
        <v>38723034.468067355</v>
      </c>
    </row>
    <row r="40" spans="1:101" ht="15.75" customHeight="1">
      <c r="A40" s="88" t="s">
        <v>203</v>
      </c>
      <c r="B40" s="300">
        <v>18</v>
      </c>
      <c r="C40" s="585">
        <f>SUM('Schedule 3B_Income_Eastern:Schedule 3D_Income_The Cape'!C40)</f>
        <v>14159.614707184721</v>
      </c>
      <c r="D40" s="585">
        <f>SUM('Schedule 3B_Income_Eastern:Schedule 3D_Income_The Cape'!D40)</f>
        <v>58410.253286169638</v>
      </c>
      <c r="E40" s="585">
        <f>SUM('Schedule 3B_Income_Eastern:Schedule 3D_Income_The Cape'!E40)</f>
        <v>19892.199269535111</v>
      </c>
      <c r="F40" s="585">
        <f>SUM('Schedule 3B_Income_Eastern:Schedule 3D_Income_The Cape'!F40)</f>
        <v>74950.963317475413</v>
      </c>
      <c r="G40" s="585">
        <f>SUM('Schedule 3B_Income_Eastern:Schedule 3D_Income_The Cape'!G40)</f>
        <v>19736.217446192713</v>
      </c>
      <c r="H40" s="585">
        <f>SUM('Schedule 3B_Income_Eastern:Schedule 3D_Income_The Cape'!H40)</f>
        <v>76925.719188628544</v>
      </c>
      <c r="I40" s="585">
        <f>SUM('Schedule 3B_Income_Eastern:Schedule 3D_Income_The Cape'!I40)</f>
        <v>19008.148484040063</v>
      </c>
      <c r="J40" s="585">
        <f>SUM('Schedule 3B_Income_Eastern:Schedule 3D_Income_The Cape'!J40)</f>
        <v>66536.43760173503</v>
      </c>
      <c r="K40" s="586">
        <f t="shared" si="89"/>
        <v>349619.55330096115</v>
      </c>
      <c r="L40" s="587">
        <f>SUM('Schedule 3B_Income_Eastern:Schedule 3D_Income_The Cape'!L40)</f>
        <v>0</v>
      </c>
      <c r="M40" s="585">
        <f>SUM('Schedule 3B_Income_Eastern:Schedule 3D_Income_The Cape'!M40)</f>
        <v>0</v>
      </c>
      <c r="N40" s="585">
        <f>SUM('Schedule 3B_Income_Eastern:Schedule 3D_Income_The Cape'!N40)</f>
        <v>0</v>
      </c>
      <c r="O40" s="585">
        <f>SUM('Schedule 3B_Income_Eastern:Schedule 3D_Income_The Cape'!O40)</f>
        <v>0</v>
      </c>
      <c r="P40" s="585">
        <f>SUM('Schedule 3B_Income_Eastern:Schedule 3D_Income_The Cape'!P40)</f>
        <v>0</v>
      </c>
      <c r="Q40" s="585">
        <f>SUM('Schedule 3B_Income_Eastern:Schedule 3D_Income_The Cape'!Q40)</f>
        <v>0</v>
      </c>
      <c r="R40" s="585">
        <f>SUM('Schedule 3B_Income_Eastern:Schedule 3D_Income_The Cape'!R40)</f>
        <v>0</v>
      </c>
      <c r="S40" s="585">
        <f>SUM('Schedule 3B_Income_Eastern:Schedule 3D_Income_The Cape'!S40)</f>
        <v>0</v>
      </c>
      <c r="T40" s="588">
        <f t="shared" si="90"/>
        <v>0</v>
      </c>
      <c r="U40" s="589">
        <f t="shared" si="91"/>
        <v>349619.55330096115</v>
      </c>
      <c r="V40" s="300">
        <v>18</v>
      </c>
      <c r="W40" s="585">
        <f>SUM('Schedule 3B_Income_Eastern:Schedule 3D_Income_The Cape'!W40)</f>
        <v>732.01728811388045</v>
      </c>
      <c r="X40" s="585">
        <f>SUM('Schedule 3B_Income_Eastern:Schedule 3D_Income_The Cape'!X40)</f>
        <v>8978.0999827699543</v>
      </c>
      <c r="Y40" s="585">
        <f>SUM('Schedule 3B_Income_Eastern:Schedule 3D_Income_The Cape'!Y40)</f>
        <v>1314.7253067897095</v>
      </c>
      <c r="Z40" s="585">
        <f>SUM('Schedule 3B_Income_Eastern:Schedule 3D_Income_The Cape'!Z40)</f>
        <v>14174.45040237739</v>
      </c>
      <c r="AA40" s="585">
        <f>SUM('Schedule 3B_Income_Eastern:Schedule 3D_Income_The Cape'!AA40)</f>
        <v>1231.0236842096494</v>
      </c>
      <c r="AB40" s="585">
        <f>SUM('Schedule 3B_Income_Eastern:Schedule 3D_Income_The Cape'!AB40)</f>
        <v>11482.81413539646</v>
      </c>
      <c r="AC40" s="585">
        <f>SUM('Schedule 3B_Income_Eastern:Schedule 3D_Income_The Cape'!AC40)</f>
        <v>1436.0311331707808</v>
      </c>
      <c r="AD40" s="585">
        <f>SUM('Schedule 3B_Income_Eastern:Schedule 3D_Income_The Cape'!AD40)</f>
        <v>13486.375455205658</v>
      </c>
      <c r="AE40" s="586">
        <f t="shared" si="92"/>
        <v>52835.537388033474</v>
      </c>
      <c r="AF40" s="587">
        <f>SUM('Schedule 3B_Income_Eastern:Schedule 3D_Income_The Cape'!AF40)</f>
        <v>0</v>
      </c>
      <c r="AG40" s="585">
        <f>SUM('Schedule 3B_Income_Eastern:Schedule 3D_Income_The Cape'!AG40)</f>
        <v>0</v>
      </c>
      <c r="AH40" s="585">
        <f>SUM('Schedule 3B_Income_Eastern:Schedule 3D_Income_The Cape'!AH40)</f>
        <v>0</v>
      </c>
      <c r="AI40" s="585">
        <f>SUM('Schedule 3B_Income_Eastern:Schedule 3D_Income_The Cape'!AI40)</f>
        <v>0</v>
      </c>
      <c r="AJ40" s="585">
        <f>SUM('Schedule 3B_Income_Eastern:Schedule 3D_Income_The Cape'!AJ40)</f>
        <v>0</v>
      </c>
      <c r="AK40" s="585">
        <f>SUM('Schedule 3B_Income_Eastern:Schedule 3D_Income_The Cape'!AK40)</f>
        <v>0</v>
      </c>
      <c r="AL40" s="585">
        <f>SUM('Schedule 3B_Income_Eastern:Schedule 3D_Income_The Cape'!AL40)</f>
        <v>0</v>
      </c>
      <c r="AM40" s="585">
        <f>SUM('Schedule 3B_Income_Eastern:Schedule 3D_Income_The Cape'!AM40)</f>
        <v>0</v>
      </c>
      <c r="AN40" s="588">
        <f t="shared" si="93"/>
        <v>0</v>
      </c>
      <c r="AO40" s="589">
        <f t="shared" si="94"/>
        <v>52835.537388033474</v>
      </c>
      <c r="AP40" s="300">
        <v>18</v>
      </c>
      <c r="AQ40" s="585">
        <f>SUM('Schedule 3B_Income_Eastern:Schedule 3D_Income_The Cape'!AQ40)</f>
        <v>55491.824756495698</v>
      </c>
      <c r="AR40" s="585">
        <f>SUM('Schedule 3B_Income_Eastern:Schedule 3D_Income_The Cape'!AR40)</f>
        <v>174889.31780144668</v>
      </c>
      <c r="AS40" s="585">
        <f>SUM('Schedule 3B_Income_Eastern:Schedule 3D_Income_The Cape'!AS40)</f>
        <v>66642.019490507228</v>
      </c>
      <c r="AT40" s="585">
        <f>SUM('Schedule 3B_Income_Eastern:Schedule 3D_Income_The Cape'!AT40)</f>
        <v>197008.57941920473</v>
      </c>
      <c r="AU40" s="585">
        <f>SUM('Schedule 3B_Income_Eastern:Schedule 3D_Income_The Cape'!AU40)</f>
        <v>72596.19696182372</v>
      </c>
      <c r="AV40" s="585">
        <f>SUM('Schedule 3B_Income_Eastern:Schedule 3D_Income_The Cape'!AV40)</f>
        <v>207999.13405236186</v>
      </c>
      <c r="AW40" s="585">
        <f>SUM('Schedule 3B_Income_Eastern:Schedule 3D_Income_The Cape'!AW40)</f>
        <v>90765.336418558465</v>
      </c>
      <c r="AX40" s="585">
        <f>SUM('Schedule 3B_Income_Eastern:Schedule 3D_Income_The Cape'!AX40)</f>
        <v>231760.80190495899</v>
      </c>
      <c r="AY40" s="586">
        <f t="shared" si="95"/>
        <v>1097153.2108053574</v>
      </c>
      <c r="AZ40" s="587">
        <f>SUM('Schedule 3B_Income_Eastern:Schedule 3D_Income_The Cape'!AZ40)</f>
        <v>0</v>
      </c>
      <c r="BA40" s="585">
        <f>SUM('Schedule 3B_Income_Eastern:Schedule 3D_Income_The Cape'!BA40)</f>
        <v>0</v>
      </c>
      <c r="BB40" s="585">
        <f>SUM('Schedule 3B_Income_Eastern:Schedule 3D_Income_The Cape'!BB40)</f>
        <v>0</v>
      </c>
      <c r="BC40" s="585">
        <f>SUM('Schedule 3B_Income_Eastern:Schedule 3D_Income_The Cape'!BC40)</f>
        <v>0</v>
      </c>
      <c r="BD40" s="585">
        <f>SUM('Schedule 3B_Income_Eastern:Schedule 3D_Income_The Cape'!BD40)</f>
        <v>0</v>
      </c>
      <c r="BE40" s="585">
        <f>SUM('Schedule 3B_Income_Eastern:Schedule 3D_Income_The Cape'!BE40)</f>
        <v>0</v>
      </c>
      <c r="BF40" s="585">
        <f>SUM('Schedule 3B_Income_Eastern:Schedule 3D_Income_The Cape'!BF40)</f>
        <v>0</v>
      </c>
      <c r="BG40" s="585">
        <f>SUM('Schedule 3B_Income_Eastern:Schedule 3D_Income_The Cape'!BG40)</f>
        <v>0</v>
      </c>
      <c r="BH40" s="588">
        <f t="shared" si="96"/>
        <v>0</v>
      </c>
      <c r="BI40" s="589">
        <f t="shared" si="97"/>
        <v>1097153.2108053574</v>
      </c>
      <c r="BJ40" s="300">
        <v>18</v>
      </c>
      <c r="BK40" s="585">
        <f>SUM('Schedule 3B_Income_Eastern:Schedule 3D_Income_The Cape'!BK40)</f>
        <v>499.04223799022839</v>
      </c>
      <c r="BL40" s="585">
        <f>SUM('Schedule 3B_Income_Eastern:Schedule 3D_Income_The Cape'!BL40)</f>
        <v>6838.8217859914994</v>
      </c>
      <c r="BM40" s="585">
        <f>SUM('Schedule 3B_Income_Eastern:Schedule 3D_Income_The Cape'!BM40)</f>
        <v>358.38400920902575</v>
      </c>
      <c r="BN40" s="585">
        <f>SUM('Schedule 3B_Income_Eastern:Schedule 3D_Income_The Cape'!BN40)</f>
        <v>6823.3692909314905</v>
      </c>
      <c r="BO40" s="585">
        <f>SUM('Schedule 3B_Income_Eastern:Schedule 3D_Income_The Cape'!BO40)</f>
        <v>555.27671526641041</v>
      </c>
      <c r="BP40" s="585">
        <f>SUM('Schedule 3B_Income_Eastern:Schedule 3D_Income_The Cape'!BP40)</f>
        <v>7905.5400513888872</v>
      </c>
      <c r="BQ40" s="585">
        <f>SUM('Schedule 3B_Income_Eastern:Schedule 3D_Income_The Cape'!BQ40)</f>
        <v>592.64954280737049</v>
      </c>
      <c r="BR40" s="585">
        <f>SUM('Schedule 3B_Income_Eastern:Schedule 3D_Income_The Cape'!BR40)</f>
        <v>7299.934968429694</v>
      </c>
      <c r="BS40" s="586">
        <f t="shared" si="98"/>
        <v>30873.018602014607</v>
      </c>
      <c r="BT40" s="587">
        <f>SUM('Schedule 3B_Income_Eastern:Schedule 3D_Income_The Cape'!BT40)</f>
        <v>0</v>
      </c>
      <c r="BU40" s="585">
        <f>SUM('Schedule 3B_Income_Eastern:Schedule 3D_Income_The Cape'!BU40)</f>
        <v>0</v>
      </c>
      <c r="BV40" s="585">
        <f>SUM('Schedule 3B_Income_Eastern:Schedule 3D_Income_The Cape'!BV40)</f>
        <v>0</v>
      </c>
      <c r="BW40" s="585">
        <f>SUM('Schedule 3B_Income_Eastern:Schedule 3D_Income_The Cape'!BW40)</f>
        <v>0</v>
      </c>
      <c r="BX40" s="585">
        <f>SUM('Schedule 3B_Income_Eastern:Schedule 3D_Income_The Cape'!BX40)</f>
        <v>0</v>
      </c>
      <c r="BY40" s="585">
        <f>SUM('Schedule 3B_Income_Eastern:Schedule 3D_Income_The Cape'!BY40)</f>
        <v>0</v>
      </c>
      <c r="BZ40" s="585">
        <f>SUM('Schedule 3B_Income_Eastern:Schedule 3D_Income_The Cape'!BZ40)</f>
        <v>0</v>
      </c>
      <c r="CA40" s="585">
        <f>SUM('Schedule 3B_Income_Eastern:Schedule 3D_Income_The Cape'!CA40)</f>
        <v>0</v>
      </c>
      <c r="CB40" s="588">
        <f t="shared" si="99"/>
        <v>0</v>
      </c>
      <c r="CC40" s="589">
        <f t="shared" si="100"/>
        <v>30873.018602014607</v>
      </c>
      <c r="CD40" s="300">
        <v>18</v>
      </c>
      <c r="CE40" s="414">
        <f t="shared" si="101"/>
        <v>319998.99184616236</v>
      </c>
      <c r="CF40" s="414">
        <f t="shared" si="102"/>
        <v>381164.69050603017</v>
      </c>
      <c r="CG40" s="414">
        <f t="shared" si="103"/>
        <v>398431.92223526828</v>
      </c>
      <c r="CH40" s="414">
        <f t="shared" si="104"/>
        <v>430885.715508906</v>
      </c>
      <c r="CI40" s="416">
        <f t="shared" si="105"/>
        <v>1530481.3200963666</v>
      </c>
      <c r="CJ40" s="414">
        <f t="shared" si="106"/>
        <v>0</v>
      </c>
      <c r="CK40" s="414">
        <f t="shared" si="107"/>
        <v>0</v>
      </c>
      <c r="CL40" s="414">
        <f t="shared" si="108"/>
        <v>0</v>
      </c>
      <c r="CM40" s="414">
        <f t="shared" si="109"/>
        <v>0</v>
      </c>
      <c r="CN40" s="416">
        <f t="shared" si="110"/>
        <v>0</v>
      </c>
      <c r="CO40" s="414">
        <f t="shared" si="111"/>
        <v>319998.99184616236</v>
      </c>
      <c r="CP40" s="414">
        <f t="shared" si="112"/>
        <v>381164.69050603017</v>
      </c>
      <c r="CQ40" s="414">
        <f t="shared" si="113"/>
        <v>398431.92223526828</v>
      </c>
      <c r="CR40" s="414">
        <f t="shared" si="114"/>
        <v>430885.715508906</v>
      </c>
      <c r="CS40" s="416">
        <f t="shared" si="115"/>
        <v>1530481.3200963666</v>
      </c>
    </row>
    <row r="41" spans="1:101" ht="15.75" customHeight="1">
      <c r="A41" s="88" t="s">
        <v>204</v>
      </c>
      <c r="B41" s="300">
        <v>19</v>
      </c>
      <c r="C41" s="585">
        <f>SUM('Schedule 3B_Income_Eastern:Schedule 3D_Income_The Cape'!C41)</f>
        <v>276594.91000000003</v>
      </c>
      <c r="D41" s="585">
        <f>SUM('Schedule 3B_Income_Eastern:Schedule 3D_Income_The Cape'!D41)</f>
        <v>972797.09145617182</v>
      </c>
      <c r="E41" s="585">
        <f>SUM('Schedule 3B_Income_Eastern:Schedule 3D_Income_The Cape'!E41)</f>
        <v>311564</v>
      </c>
      <c r="F41" s="585">
        <f>SUM('Schedule 3B_Income_Eastern:Schedule 3D_Income_The Cape'!F41)</f>
        <v>1187052.353134617</v>
      </c>
      <c r="G41" s="585">
        <f>SUM('Schedule 3B_Income_Eastern:Schedule 3D_Income_The Cape'!G41)</f>
        <v>251281.62999999998</v>
      </c>
      <c r="H41" s="585">
        <f>SUM('Schedule 3B_Income_Eastern:Schedule 3D_Income_The Cape'!H41)</f>
        <v>1102732.5379878494</v>
      </c>
      <c r="I41" s="585">
        <f>SUM('Schedule 3B_Income_Eastern:Schedule 3D_Income_The Cape'!I41)</f>
        <v>315296</v>
      </c>
      <c r="J41" s="585">
        <f>SUM('Schedule 3B_Income_Eastern:Schedule 3D_Income_The Cape'!J41)</f>
        <v>1271649.95</v>
      </c>
      <c r="K41" s="586">
        <f t="shared" si="89"/>
        <v>5688968.4725786382</v>
      </c>
      <c r="L41" s="587">
        <f>SUM('Schedule 3B_Income_Eastern:Schedule 3D_Income_The Cape'!L41)</f>
        <v>0</v>
      </c>
      <c r="M41" s="585">
        <f>SUM('Schedule 3B_Income_Eastern:Schedule 3D_Income_The Cape'!M41)</f>
        <v>1648.7935502172018</v>
      </c>
      <c r="N41" s="585">
        <f>SUM('Schedule 3B_Income_Eastern:Schedule 3D_Income_The Cape'!N41)</f>
        <v>0</v>
      </c>
      <c r="O41" s="585">
        <f>SUM('Schedule 3B_Income_Eastern:Schedule 3D_Income_The Cape'!O41)</f>
        <v>685.48753455805058</v>
      </c>
      <c r="P41" s="585">
        <f>SUM('Schedule 3B_Income_Eastern:Schedule 3D_Income_The Cape'!P41)</f>
        <v>0</v>
      </c>
      <c r="Q41" s="585">
        <f>SUM('Schedule 3B_Income_Eastern:Schedule 3D_Income_The Cape'!Q41)</f>
        <v>124.56012212456145</v>
      </c>
      <c r="R41" s="585">
        <f>SUM('Schedule 3B_Income_Eastern:Schedule 3D_Income_The Cape'!R41)</f>
        <v>0</v>
      </c>
      <c r="S41" s="585">
        <f>SUM('Schedule 3B_Income_Eastern:Schedule 3D_Income_The Cape'!S41)</f>
        <v>124.11555829861732</v>
      </c>
      <c r="T41" s="588">
        <f t="shared" si="90"/>
        <v>2582.9567651984316</v>
      </c>
      <c r="U41" s="589">
        <f t="shared" si="91"/>
        <v>5691551.4293438364</v>
      </c>
      <c r="V41" s="300">
        <v>19</v>
      </c>
      <c r="W41" s="585">
        <f>SUM('Schedule 3B_Income_Eastern:Schedule 3D_Income_The Cape'!W41)</f>
        <v>23618</v>
      </c>
      <c r="X41" s="585">
        <f>SUM('Schedule 3B_Income_Eastern:Schedule 3D_Income_The Cape'!X41)</f>
        <v>208696.95064280878</v>
      </c>
      <c r="Y41" s="585">
        <f>SUM('Schedule 3B_Income_Eastern:Schedule 3D_Income_The Cape'!Y41)</f>
        <v>6322</v>
      </c>
      <c r="Z41" s="585">
        <f>SUM('Schedule 3B_Income_Eastern:Schedule 3D_Income_The Cape'!Z41)</f>
        <v>220489</v>
      </c>
      <c r="AA41" s="585">
        <f>SUM('Schedule 3B_Income_Eastern:Schedule 3D_Income_The Cape'!AA41)</f>
        <v>3037</v>
      </c>
      <c r="AB41" s="585">
        <f>SUM('Schedule 3B_Income_Eastern:Schedule 3D_Income_The Cape'!AB41)</f>
        <v>176194.12403640084</v>
      </c>
      <c r="AC41" s="585">
        <f>SUM('Schedule 3B_Income_Eastern:Schedule 3D_Income_The Cape'!AC41)</f>
        <v>1589</v>
      </c>
      <c r="AD41" s="585">
        <f>SUM('Schedule 3B_Income_Eastern:Schedule 3D_Income_The Cape'!AD41)</f>
        <v>200511</v>
      </c>
      <c r="AE41" s="586">
        <f t="shared" si="92"/>
        <v>840457.07467920962</v>
      </c>
      <c r="AF41" s="587">
        <f>SUM('Schedule 3B_Income_Eastern:Schedule 3D_Income_The Cape'!AF41)</f>
        <v>0</v>
      </c>
      <c r="AG41" s="585">
        <f>SUM('Schedule 3B_Income_Eastern:Schedule 3D_Income_The Cape'!AG41)</f>
        <v>216.61827356752946</v>
      </c>
      <c r="AH41" s="585">
        <f>SUM('Schedule 3B_Income_Eastern:Schedule 3D_Income_The Cape'!AH41)</f>
        <v>0</v>
      </c>
      <c r="AI41" s="585">
        <f>SUM('Schedule 3B_Income_Eastern:Schedule 3D_Income_The Cape'!AI41)</f>
        <v>99.606745822913425</v>
      </c>
      <c r="AJ41" s="585">
        <f>SUM('Schedule 3B_Income_Eastern:Schedule 3D_Income_The Cape'!AJ41)</f>
        <v>0</v>
      </c>
      <c r="AK41" s="585">
        <f>SUM('Schedule 3B_Income_Eastern:Schedule 3D_Income_The Cape'!AK41)</f>
        <v>1516.0573602508894</v>
      </c>
      <c r="AL41" s="585">
        <f>SUM('Schedule 3B_Income_Eastern:Schedule 3D_Income_The Cape'!AL41)</f>
        <v>0</v>
      </c>
      <c r="AM41" s="585">
        <f>SUM('Schedule 3B_Income_Eastern:Schedule 3D_Income_The Cape'!AM41)</f>
        <v>290.65061637914306</v>
      </c>
      <c r="AN41" s="588">
        <f t="shared" si="93"/>
        <v>2122.9329960204755</v>
      </c>
      <c r="AO41" s="589">
        <f t="shared" si="94"/>
        <v>842580.00767523004</v>
      </c>
      <c r="AP41" s="300">
        <v>19</v>
      </c>
      <c r="AQ41" s="585">
        <f>SUM('Schedule 3B_Income_Eastern:Schedule 3D_Income_The Cape'!AQ41)</f>
        <v>570412.26518510864</v>
      </c>
      <c r="AR41" s="585">
        <f>SUM('Schedule 3B_Income_Eastern:Schedule 3D_Income_The Cape'!AR41)</f>
        <v>1894986.9388837561</v>
      </c>
      <c r="AS41" s="585">
        <f>SUM('Schedule 3B_Income_Eastern:Schedule 3D_Income_The Cape'!AS41)</f>
        <v>740043.21889363858</v>
      </c>
      <c r="AT41" s="585">
        <f>SUM('Schedule 3B_Income_Eastern:Schedule 3D_Income_The Cape'!AT41)</f>
        <v>1979530.0141991724</v>
      </c>
      <c r="AU41" s="585">
        <f>SUM('Schedule 3B_Income_Eastern:Schedule 3D_Income_The Cape'!AU41)</f>
        <v>719554.72822369856</v>
      </c>
      <c r="AV41" s="585">
        <f>SUM('Schedule 3B_Income_Eastern:Schedule 3D_Income_The Cape'!AV41)</f>
        <v>2070911.0893220436</v>
      </c>
      <c r="AW41" s="585">
        <f>SUM('Schedule 3B_Income_Eastern:Schedule 3D_Income_The Cape'!AW41)</f>
        <v>882957.82</v>
      </c>
      <c r="AX41" s="585">
        <f>SUM('Schedule 3B_Income_Eastern:Schedule 3D_Income_The Cape'!AX41)</f>
        <v>2384423.440920603</v>
      </c>
      <c r="AY41" s="586">
        <f t="shared" si="95"/>
        <v>11242819.515628019</v>
      </c>
      <c r="AZ41" s="587">
        <f>SUM('Schedule 3B_Income_Eastern:Schedule 3D_Income_The Cape'!AZ41)</f>
        <v>0</v>
      </c>
      <c r="BA41" s="585">
        <f>SUM('Schedule 3B_Income_Eastern:Schedule 3D_Income_The Cape'!BA41)</f>
        <v>1008.4712939175436</v>
      </c>
      <c r="BB41" s="585">
        <f>SUM('Schedule 3B_Income_Eastern:Schedule 3D_Income_The Cape'!BB41)</f>
        <v>0</v>
      </c>
      <c r="BC41" s="585">
        <f>SUM('Schedule 3B_Income_Eastern:Schedule 3D_Income_The Cape'!BC41)</f>
        <v>272.5162034249982</v>
      </c>
      <c r="BD41" s="585">
        <f>SUM('Schedule 3B_Income_Eastern:Schedule 3D_Income_The Cape'!BD41)</f>
        <v>0</v>
      </c>
      <c r="BE41" s="585">
        <f>SUM('Schedule 3B_Income_Eastern:Schedule 3D_Income_The Cape'!BE41)</f>
        <v>3140.5973695239709</v>
      </c>
      <c r="BF41" s="585">
        <f>SUM('Schedule 3B_Income_Eastern:Schedule 3D_Income_The Cape'!BF41)</f>
        <v>0</v>
      </c>
      <c r="BG41" s="585">
        <f>SUM('Schedule 3B_Income_Eastern:Schedule 3D_Income_The Cape'!BG41)</f>
        <v>1577.1645531133518</v>
      </c>
      <c r="BH41" s="588">
        <f t="shared" si="96"/>
        <v>5998.7494199798648</v>
      </c>
      <c r="BI41" s="589">
        <f t="shared" si="97"/>
        <v>11248818.265047999</v>
      </c>
      <c r="BJ41" s="300">
        <v>19</v>
      </c>
      <c r="BK41" s="585">
        <f>SUM('Schedule 3B_Income_Eastern:Schedule 3D_Income_The Cape'!BK41)</f>
        <v>53</v>
      </c>
      <c r="BL41" s="585">
        <f>SUM('Schedule 3B_Income_Eastern:Schedule 3D_Income_The Cape'!BL41)</f>
        <v>9893.4</v>
      </c>
      <c r="BM41" s="585">
        <f>SUM('Schedule 3B_Income_Eastern:Schedule 3D_Income_The Cape'!BM41)</f>
        <v>53</v>
      </c>
      <c r="BN41" s="585">
        <f>SUM('Schedule 3B_Income_Eastern:Schedule 3D_Income_The Cape'!BN41)</f>
        <v>6929.8</v>
      </c>
      <c r="BO41" s="585">
        <f>SUM('Schedule 3B_Income_Eastern:Schedule 3D_Income_The Cape'!BO41)</f>
        <v>115</v>
      </c>
      <c r="BP41" s="585">
        <f>SUM('Schedule 3B_Income_Eastern:Schedule 3D_Income_The Cape'!BP41)</f>
        <v>9175</v>
      </c>
      <c r="BQ41" s="585">
        <f>SUM('Schedule 3B_Income_Eastern:Schedule 3D_Income_The Cape'!BQ41)</f>
        <v>248</v>
      </c>
      <c r="BR41" s="585">
        <f>SUM('Schedule 3B_Income_Eastern:Schedule 3D_Income_The Cape'!BR41)</f>
        <v>15313.2</v>
      </c>
      <c r="BS41" s="586">
        <f t="shared" si="98"/>
        <v>41780.400000000001</v>
      </c>
      <c r="BT41" s="587">
        <f>SUM('Schedule 3B_Income_Eastern:Schedule 3D_Income_The Cape'!BT41)</f>
        <v>0</v>
      </c>
      <c r="BU41" s="585">
        <f>SUM('Schedule 3B_Income_Eastern:Schedule 3D_Income_The Cape'!BU41)</f>
        <v>0</v>
      </c>
      <c r="BV41" s="585">
        <f>SUM('Schedule 3B_Income_Eastern:Schedule 3D_Income_The Cape'!BV41)</f>
        <v>0</v>
      </c>
      <c r="BW41" s="585">
        <f>SUM('Schedule 3B_Income_Eastern:Schedule 3D_Income_The Cape'!BW41)</f>
        <v>0</v>
      </c>
      <c r="BX41" s="585">
        <f>SUM('Schedule 3B_Income_Eastern:Schedule 3D_Income_The Cape'!BX41)</f>
        <v>0</v>
      </c>
      <c r="BY41" s="585">
        <f>SUM('Schedule 3B_Income_Eastern:Schedule 3D_Income_The Cape'!BY41)</f>
        <v>0</v>
      </c>
      <c r="BZ41" s="585">
        <f>SUM('Schedule 3B_Income_Eastern:Schedule 3D_Income_The Cape'!BZ41)</f>
        <v>0</v>
      </c>
      <c r="CA41" s="585">
        <f>SUM('Schedule 3B_Income_Eastern:Schedule 3D_Income_The Cape'!CA41)</f>
        <v>99.788378245677777</v>
      </c>
      <c r="CB41" s="588">
        <f t="shared" si="99"/>
        <v>99.788378245677777</v>
      </c>
      <c r="CC41" s="589">
        <f t="shared" si="100"/>
        <v>41880.188378245679</v>
      </c>
      <c r="CD41" s="300">
        <v>19</v>
      </c>
      <c r="CE41" s="414">
        <f t="shared" si="101"/>
        <v>3957052.5561678451</v>
      </c>
      <c r="CF41" s="414">
        <f t="shared" si="102"/>
        <v>4451983.386227428</v>
      </c>
      <c r="CG41" s="414">
        <f t="shared" si="103"/>
        <v>4333001.1095699929</v>
      </c>
      <c r="CH41" s="414">
        <f t="shared" si="104"/>
        <v>5071988.4109206032</v>
      </c>
      <c r="CI41" s="416">
        <f t="shared" si="105"/>
        <v>17814025.462885864</v>
      </c>
      <c r="CJ41" s="414">
        <f t="shared" si="106"/>
        <v>2873.8831177022748</v>
      </c>
      <c r="CK41" s="414">
        <f t="shared" si="107"/>
        <v>1057.6104838059623</v>
      </c>
      <c r="CL41" s="414">
        <f t="shared" si="108"/>
        <v>4781.2148518994218</v>
      </c>
      <c r="CM41" s="414">
        <f t="shared" si="109"/>
        <v>2091.71910603679</v>
      </c>
      <c r="CN41" s="416">
        <f t="shared" si="110"/>
        <v>10804.427559444448</v>
      </c>
      <c r="CO41" s="414">
        <f t="shared" si="111"/>
        <v>3959926.4392855475</v>
      </c>
      <c r="CP41" s="414">
        <f t="shared" si="112"/>
        <v>4453040.9967112336</v>
      </c>
      <c r="CQ41" s="414">
        <f t="shared" si="113"/>
        <v>4337782.3244218919</v>
      </c>
      <c r="CR41" s="414">
        <f t="shared" si="114"/>
        <v>5074080.1300266404</v>
      </c>
      <c r="CS41" s="416">
        <f t="shared" si="115"/>
        <v>17824829.890445314</v>
      </c>
      <c r="CU41" s="319"/>
      <c r="CV41" s="693"/>
    </row>
    <row r="42" spans="1:101" ht="15.75" customHeight="1">
      <c r="A42" s="88" t="s">
        <v>205</v>
      </c>
      <c r="B42" s="300">
        <v>20</v>
      </c>
      <c r="C42" s="585">
        <f>SUM('Schedule 3B_Income_Eastern:Schedule 3D_Income_The Cape'!C42)</f>
        <v>17481.679311637221</v>
      </c>
      <c r="D42" s="585">
        <f>SUM('Schedule 3B_Income_Eastern:Schedule 3D_Income_The Cape'!D42)</f>
        <v>31453.111862306796</v>
      </c>
      <c r="E42" s="585">
        <f>SUM('Schedule 3B_Income_Eastern:Schedule 3D_Income_The Cape'!E42)</f>
        <v>11408.252341966141</v>
      </c>
      <c r="F42" s="585">
        <f>SUM('Schedule 3B_Income_Eastern:Schedule 3D_Income_The Cape'!F42)</f>
        <v>14477.162526117329</v>
      </c>
      <c r="G42" s="585">
        <f>SUM('Schedule 3B_Income_Eastern:Schedule 3D_Income_The Cape'!G42)</f>
        <v>15282.556688194414</v>
      </c>
      <c r="H42" s="585">
        <f>SUM('Schedule 3B_Income_Eastern:Schedule 3D_Income_The Cape'!H42)</f>
        <v>22537.143306622445</v>
      </c>
      <c r="I42" s="585">
        <f>SUM('Schedule 3B_Income_Eastern:Schedule 3D_Income_The Cape'!I42)</f>
        <v>10528.440205148379</v>
      </c>
      <c r="J42" s="585">
        <f>SUM('Schedule 3B_Income_Eastern:Schedule 3D_Income_The Cape'!J42)</f>
        <v>24583.625140140262</v>
      </c>
      <c r="K42" s="586">
        <f t="shared" si="89"/>
        <v>147751.97138213299</v>
      </c>
      <c r="L42" s="587">
        <f>SUM('Schedule 3B_Income_Eastern:Schedule 3D_Income_The Cape'!L42)</f>
        <v>0</v>
      </c>
      <c r="M42" s="585">
        <f>SUM('Schedule 3B_Income_Eastern:Schedule 3D_Income_The Cape'!M42)</f>
        <v>21964.138683038094</v>
      </c>
      <c r="N42" s="585">
        <f>SUM('Schedule 3B_Income_Eastern:Schedule 3D_Income_The Cape'!N42)</f>
        <v>0</v>
      </c>
      <c r="O42" s="585">
        <f>SUM('Schedule 3B_Income_Eastern:Schedule 3D_Income_The Cape'!O42)</f>
        <v>34108.288689639303</v>
      </c>
      <c r="P42" s="585">
        <f>SUM('Schedule 3B_Income_Eastern:Schedule 3D_Income_The Cape'!P42)</f>
        <v>0</v>
      </c>
      <c r="Q42" s="585">
        <f>SUM('Schedule 3B_Income_Eastern:Schedule 3D_Income_The Cape'!Q42)</f>
        <v>41133.116909500248</v>
      </c>
      <c r="R42" s="585">
        <f>SUM('Schedule 3B_Income_Eastern:Schedule 3D_Income_The Cape'!R42)</f>
        <v>0</v>
      </c>
      <c r="S42" s="585">
        <f>SUM('Schedule 3B_Income_Eastern:Schedule 3D_Income_The Cape'!S42)</f>
        <v>36334.918980018163</v>
      </c>
      <c r="T42" s="588">
        <f t="shared" si="90"/>
        <v>133540.46326219582</v>
      </c>
      <c r="U42" s="589">
        <f t="shared" si="91"/>
        <v>281292.43464432878</v>
      </c>
      <c r="V42" s="300">
        <v>20</v>
      </c>
      <c r="W42" s="585">
        <f>SUM('Schedule 3B_Income_Eastern:Schedule 3D_Income_The Cape'!W42)</f>
        <v>0</v>
      </c>
      <c r="X42" s="585">
        <f>SUM('Schedule 3B_Income_Eastern:Schedule 3D_Income_The Cape'!X42)</f>
        <v>5362.4464125516597</v>
      </c>
      <c r="Y42" s="585">
        <f>SUM('Schedule 3B_Income_Eastern:Schedule 3D_Income_The Cape'!Y42)</f>
        <v>68.063434230453169</v>
      </c>
      <c r="Z42" s="585">
        <f>SUM('Schedule 3B_Income_Eastern:Schedule 3D_Income_The Cape'!Z42)</f>
        <v>2116.9429631526696</v>
      </c>
      <c r="AA42" s="585">
        <f>SUM('Schedule 3B_Income_Eastern:Schedule 3D_Income_The Cape'!AA42)</f>
        <v>205.02153791668519</v>
      </c>
      <c r="AB42" s="585">
        <f>SUM('Schedule 3B_Income_Eastern:Schedule 3D_Income_The Cape'!AB42)</f>
        <v>2873.8693075963583</v>
      </c>
      <c r="AC42" s="585">
        <f>SUM('Schedule 3B_Income_Eastern:Schedule 3D_Income_The Cape'!AC42)</f>
        <v>755.88337866158997</v>
      </c>
      <c r="AD42" s="585">
        <f>SUM('Schedule 3B_Income_Eastern:Schedule 3D_Income_The Cape'!AD42)</f>
        <v>29.050950251591043</v>
      </c>
      <c r="AE42" s="586">
        <f t="shared" si="92"/>
        <v>11411.277984361006</v>
      </c>
      <c r="AF42" s="587">
        <f>SUM('Schedule 3B_Income_Eastern:Schedule 3D_Income_The Cape'!AF42)</f>
        <v>0</v>
      </c>
      <c r="AG42" s="585">
        <f>SUM('Schedule 3B_Income_Eastern:Schedule 3D_Income_The Cape'!AG42)</f>
        <v>9986.5565336287891</v>
      </c>
      <c r="AH42" s="585">
        <f>SUM('Schedule 3B_Income_Eastern:Schedule 3D_Income_The Cape'!AH42)</f>
        <v>0</v>
      </c>
      <c r="AI42" s="585">
        <f>SUM('Schedule 3B_Income_Eastern:Schedule 3D_Income_The Cape'!AI42)</f>
        <v>14707.631184486083</v>
      </c>
      <c r="AJ42" s="585">
        <f>SUM('Schedule 3B_Income_Eastern:Schedule 3D_Income_The Cape'!AJ42)</f>
        <v>0</v>
      </c>
      <c r="AK42" s="585">
        <f>SUM('Schedule 3B_Income_Eastern:Schedule 3D_Income_The Cape'!AK42)</f>
        <v>10147.504664817407</v>
      </c>
      <c r="AL42" s="585">
        <f>SUM('Schedule 3B_Income_Eastern:Schedule 3D_Income_The Cape'!AL42)</f>
        <v>0</v>
      </c>
      <c r="AM42" s="585">
        <f>SUM('Schedule 3B_Income_Eastern:Schedule 3D_Income_The Cape'!AM42)</f>
        <v>9320.5651492174911</v>
      </c>
      <c r="AN42" s="588">
        <f t="shared" si="93"/>
        <v>44162.257532149772</v>
      </c>
      <c r="AO42" s="589">
        <f t="shared" si="94"/>
        <v>55573.535516510776</v>
      </c>
      <c r="AP42" s="300">
        <v>20</v>
      </c>
      <c r="AQ42" s="585">
        <f>SUM('Schedule 3B_Income_Eastern:Schedule 3D_Income_The Cape'!AQ42)</f>
        <v>107875.28871374545</v>
      </c>
      <c r="AR42" s="585">
        <f>SUM('Schedule 3B_Income_Eastern:Schedule 3D_Income_The Cape'!AR42)</f>
        <v>133430.81959395582</v>
      </c>
      <c r="AS42" s="585">
        <f>SUM('Schedule 3B_Income_Eastern:Schedule 3D_Income_The Cape'!AS42)</f>
        <v>49550.620530226683</v>
      </c>
      <c r="AT42" s="585">
        <f>SUM('Schedule 3B_Income_Eastern:Schedule 3D_Income_The Cape'!AT42)</f>
        <v>86801.648000596571</v>
      </c>
      <c r="AU42" s="585">
        <f>SUM('Schedule 3B_Income_Eastern:Schedule 3D_Income_The Cape'!AU42)</f>
        <v>54385.148806298792</v>
      </c>
      <c r="AV42" s="585">
        <f>SUM('Schedule 3B_Income_Eastern:Schedule 3D_Income_The Cape'!AV42)</f>
        <v>83191.157287211638</v>
      </c>
      <c r="AW42" s="585">
        <f>SUM('Schedule 3B_Income_Eastern:Schedule 3D_Income_The Cape'!AW42)</f>
        <v>67171.617329403758</v>
      </c>
      <c r="AX42" s="585">
        <f>SUM('Schedule 3B_Income_Eastern:Schedule 3D_Income_The Cape'!AX42)</f>
        <v>108924.80100593047</v>
      </c>
      <c r="AY42" s="586">
        <f t="shared" si="95"/>
        <v>691331.10126736923</v>
      </c>
      <c r="AZ42" s="587">
        <f>SUM('Schedule 3B_Income_Eastern:Schedule 3D_Income_The Cape'!AZ42)</f>
        <v>0</v>
      </c>
      <c r="BA42" s="585">
        <f>SUM('Schedule 3B_Income_Eastern:Schedule 3D_Income_The Cape'!BA42)</f>
        <v>111402.97907378645</v>
      </c>
      <c r="BB42" s="585">
        <f>SUM('Schedule 3B_Income_Eastern:Schedule 3D_Income_The Cape'!BB42)</f>
        <v>0</v>
      </c>
      <c r="BC42" s="585">
        <f>SUM('Schedule 3B_Income_Eastern:Schedule 3D_Income_The Cape'!BC42)</f>
        <v>134176.91772420195</v>
      </c>
      <c r="BD42" s="585">
        <f>SUM('Schedule 3B_Income_Eastern:Schedule 3D_Income_The Cape'!BD42)</f>
        <v>0</v>
      </c>
      <c r="BE42" s="585">
        <f>SUM('Schedule 3B_Income_Eastern:Schedule 3D_Income_The Cape'!BE42)</f>
        <v>150807.65469267336</v>
      </c>
      <c r="BF42" s="585">
        <f>SUM('Schedule 3B_Income_Eastern:Schedule 3D_Income_The Cape'!BF42)</f>
        <v>0</v>
      </c>
      <c r="BG42" s="585">
        <f>SUM('Schedule 3B_Income_Eastern:Schedule 3D_Income_The Cape'!BG42)</f>
        <v>163308.24744748877</v>
      </c>
      <c r="BH42" s="588">
        <f t="shared" si="96"/>
        <v>559695.79893815052</v>
      </c>
      <c r="BI42" s="589">
        <f t="shared" si="97"/>
        <v>1251026.9002055197</v>
      </c>
      <c r="BJ42" s="300">
        <v>20</v>
      </c>
      <c r="BK42" s="585">
        <f>SUM('Schedule 3B_Income_Eastern:Schedule 3D_Income_The Cape'!BK42)</f>
        <v>0</v>
      </c>
      <c r="BL42" s="585">
        <f>SUM('Schedule 3B_Income_Eastern:Schedule 3D_Income_The Cape'!BL42)</f>
        <v>2427.9468446930855</v>
      </c>
      <c r="BM42" s="585">
        <f>SUM('Schedule 3B_Income_Eastern:Schedule 3D_Income_The Cape'!BM42)</f>
        <v>0</v>
      </c>
      <c r="BN42" s="585">
        <f>SUM('Schedule 3B_Income_Eastern:Schedule 3D_Income_The Cape'!BN42)</f>
        <v>9954.6976480034336</v>
      </c>
      <c r="BO42" s="585">
        <f>SUM('Schedule 3B_Income_Eastern:Schedule 3D_Income_The Cape'!BO42)</f>
        <v>0</v>
      </c>
      <c r="BP42" s="585">
        <f>SUM('Schedule 3B_Income_Eastern:Schedule 3D_Income_The Cape'!BP42)</f>
        <v>733.01229850447805</v>
      </c>
      <c r="BQ42" s="585">
        <f>SUM('Schedule 3B_Income_Eastern:Schedule 3D_Income_The Cape'!BQ42)</f>
        <v>0</v>
      </c>
      <c r="BR42" s="585">
        <f>SUM('Schedule 3B_Income_Eastern:Schedule 3D_Income_The Cape'!BR42)</f>
        <v>5198.4948670486929</v>
      </c>
      <c r="BS42" s="586">
        <f t="shared" si="98"/>
        <v>18314.151658249692</v>
      </c>
      <c r="BT42" s="587">
        <f>SUM('Schedule 3B_Income_Eastern:Schedule 3D_Income_The Cape'!BT42)</f>
        <v>0</v>
      </c>
      <c r="BU42" s="585">
        <f>SUM('Schedule 3B_Income_Eastern:Schedule 3D_Income_The Cape'!BU42)</f>
        <v>1662.0771236978851</v>
      </c>
      <c r="BV42" s="585">
        <f>SUM('Schedule 3B_Income_Eastern:Schedule 3D_Income_The Cape'!BV42)</f>
        <v>0</v>
      </c>
      <c r="BW42" s="585">
        <f>SUM('Schedule 3B_Income_Eastern:Schedule 3D_Income_The Cape'!BW42)</f>
        <v>853.68911097180512</v>
      </c>
      <c r="BX42" s="585">
        <f>SUM('Schedule 3B_Income_Eastern:Schedule 3D_Income_The Cape'!BX42)</f>
        <v>0</v>
      </c>
      <c r="BY42" s="585">
        <f>SUM('Schedule 3B_Income_Eastern:Schedule 3D_Income_The Cape'!BY42)</f>
        <v>1261.9607552796042</v>
      </c>
      <c r="BZ42" s="585">
        <f>SUM('Schedule 3B_Income_Eastern:Schedule 3D_Income_The Cape'!BZ42)</f>
        <v>0</v>
      </c>
      <c r="CA42" s="585">
        <f>SUM('Schedule 3B_Income_Eastern:Schedule 3D_Income_The Cape'!CA42)</f>
        <v>1532.4286649623095</v>
      </c>
      <c r="CB42" s="588">
        <f t="shared" si="99"/>
        <v>5310.155654911604</v>
      </c>
      <c r="CC42" s="589">
        <f t="shared" si="100"/>
        <v>23624.307313161295</v>
      </c>
      <c r="CD42" s="300">
        <v>20</v>
      </c>
      <c r="CE42" s="414">
        <f t="shared" si="101"/>
        <v>298031.29273889004</v>
      </c>
      <c r="CF42" s="414">
        <f t="shared" si="102"/>
        <v>174377.38744429327</v>
      </c>
      <c r="CG42" s="414">
        <f t="shared" si="103"/>
        <v>179207.90923234483</v>
      </c>
      <c r="CH42" s="414">
        <f t="shared" si="104"/>
        <v>217191.91287658474</v>
      </c>
      <c r="CI42" s="416">
        <f t="shared" si="105"/>
        <v>868808.50229211291</v>
      </c>
      <c r="CJ42" s="414">
        <f t="shared" si="106"/>
        <v>145015.75141415122</v>
      </c>
      <c r="CK42" s="414">
        <f t="shared" si="107"/>
        <v>183846.52670929916</v>
      </c>
      <c r="CL42" s="414">
        <f t="shared" si="108"/>
        <v>203350.23702227062</v>
      </c>
      <c r="CM42" s="414">
        <f t="shared" si="109"/>
        <v>210496.16024168674</v>
      </c>
      <c r="CN42" s="416">
        <f t="shared" si="110"/>
        <v>742708.67538740777</v>
      </c>
      <c r="CO42" s="414">
        <f t="shared" si="111"/>
        <v>443047.04415304126</v>
      </c>
      <c r="CP42" s="414">
        <f t="shared" si="112"/>
        <v>358223.91415359243</v>
      </c>
      <c r="CQ42" s="414">
        <f t="shared" si="113"/>
        <v>382558.14625461539</v>
      </c>
      <c r="CR42" s="414">
        <f t="shared" si="114"/>
        <v>427688.07311827148</v>
      </c>
      <c r="CS42" s="416">
        <f t="shared" si="115"/>
        <v>1611517.1776795206</v>
      </c>
    </row>
    <row r="43" spans="1:101" ht="15.75" customHeight="1">
      <c r="A43" s="88" t="s">
        <v>206</v>
      </c>
      <c r="B43" s="300">
        <v>21</v>
      </c>
      <c r="C43" s="585">
        <f>SUM('Schedule 3B_Income_Eastern:Schedule 3D_Income_The Cape'!C43)</f>
        <v>0</v>
      </c>
      <c r="D43" s="585">
        <f>SUM('Schedule 3B_Income_Eastern:Schedule 3D_Income_The Cape'!D43)</f>
        <v>0</v>
      </c>
      <c r="E43" s="585">
        <f>SUM('Schedule 3B_Income_Eastern:Schedule 3D_Income_The Cape'!E43)</f>
        <v>0</v>
      </c>
      <c r="F43" s="585">
        <f>SUM('Schedule 3B_Income_Eastern:Schedule 3D_Income_The Cape'!F43)</f>
        <v>0</v>
      </c>
      <c r="G43" s="585">
        <f>SUM('Schedule 3B_Income_Eastern:Schedule 3D_Income_The Cape'!G43)</f>
        <v>0</v>
      </c>
      <c r="H43" s="585">
        <f>SUM('Schedule 3B_Income_Eastern:Schedule 3D_Income_The Cape'!H43)</f>
        <v>0</v>
      </c>
      <c r="I43" s="585">
        <f>SUM('Schedule 3B_Income_Eastern:Schedule 3D_Income_The Cape'!I43)</f>
        <v>0</v>
      </c>
      <c r="J43" s="585">
        <f>SUM('Schedule 3B_Income_Eastern:Schedule 3D_Income_The Cape'!J43)</f>
        <v>0</v>
      </c>
      <c r="K43" s="586">
        <f t="shared" si="89"/>
        <v>0</v>
      </c>
      <c r="L43" s="587">
        <f>SUM('Schedule 3B_Income_Eastern:Schedule 3D_Income_The Cape'!L43)</f>
        <v>0</v>
      </c>
      <c r="M43" s="585">
        <f>SUM('Schedule 3B_Income_Eastern:Schedule 3D_Income_The Cape'!M43)</f>
        <v>612494</v>
      </c>
      <c r="N43" s="585">
        <f>SUM('Schedule 3B_Income_Eastern:Schedule 3D_Income_The Cape'!N43)</f>
        <v>0</v>
      </c>
      <c r="O43" s="585">
        <f>SUM('Schedule 3B_Income_Eastern:Schedule 3D_Income_The Cape'!O43)</f>
        <v>892080</v>
      </c>
      <c r="P43" s="585">
        <f>SUM('Schedule 3B_Income_Eastern:Schedule 3D_Income_The Cape'!P43)</f>
        <v>0</v>
      </c>
      <c r="Q43" s="585">
        <f>SUM('Schedule 3B_Income_Eastern:Schedule 3D_Income_The Cape'!Q43)</f>
        <v>1233886</v>
      </c>
      <c r="R43" s="585">
        <f>SUM('Schedule 3B_Income_Eastern:Schedule 3D_Income_The Cape'!R43)</f>
        <v>0</v>
      </c>
      <c r="S43" s="585">
        <f>SUM('Schedule 3B_Income_Eastern:Schedule 3D_Income_The Cape'!S43)</f>
        <v>1356407</v>
      </c>
      <c r="T43" s="588">
        <f t="shared" si="90"/>
        <v>4094867</v>
      </c>
      <c r="U43" s="589">
        <f t="shared" si="91"/>
        <v>4094867</v>
      </c>
      <c r="V43" s="300">
        <v>21</v>
      </c>
      <c r="W43" s="585">
        <f>SUM('Schedule 3B_Income_Eastern:Schedule 3D_Income_The Cape'!W43)</f>
        <v>0</v>
      </c>
      <c r="X43" s="585">
        <f>SUM('Schedule 3B_Income_Eastern:Schedule 3D_Income_The Cape'!X43)</f>
        <v>0</v>
      </c>
      <c r="Y43" s="585">
        <f>SUM('Schedule 3B_Income_Eastern:Schedule 3D_Income_The Cape'!Y43)</f>
        <v>0</v>
      </c>
      <c r="Z43" s="585">
        <f>SUM('Schedule 3B_Income_Eastern:Schedule 3D_Income_The Cape'!Z43)</f>
        <v>0</v>
      </c>
      <c r="AA43" s="585">
        <f>SUM('Schedule 3B_Income_Eastern:Schedule 3D_Income_The Cape'!AA43)</f>
        <v>0</v>
      </c>
      <c r="AB43" s="585">
        <f>SUM('Schedule 3B_Income_Eastern:Schedule 3D_Income_The Cape'!AB43)</f>
        <v>0</v>
      </c>
      <c r="AC43" s="585">
        <f>SUM('Schedule 3B_Income_Eastern:Schedule 3D_Income_The Cape'!AC43)</f>
        <v>0</v>
      </c>
      <c r="AD43" s="585">
        <f>SUM('Schedule 3B_Income_Eastern:Schedule 3D_Income_The Cape'!AD43)</f>
        <v>0</v>
      </c>
      <c r="AE43" s="586">
        <f t="shared" si="92"/>
        <v>0</v>
      </c>
      <c r="AF43" s="587">
        <f>SUM('Schedule 3B_Income_Eastern:Schedule 3D_Income_The Cape'!AF43)</f>
        <v>0</v>
      </c>
      <c r="AG43" s="585">
        <f>SUM('Schedule 3B_Income_Eastern:Schedule 3D_Income_The Cape'!AG43)</f>
        <v>289434</v>
      </c>
      <c r="AH43" s="585">
        <f>SUM('Schedule 3B_Income_Eastern:Schedule 3D_Income_The Cape'!AH43)</f>
        <v>0</v>
      </c>
      <c r="AI43" s="585">
        <f>SUM('Schedule 3B_Income_Eastern:Schedule 3D_Income_The Cape'!AI43)</f>
        <v>272164</v>
      </c>
      <c r="AJ43" s="585">
        <f>SUM('Schedule 3B_Income_Eastern:Schedule 3D_Income_The Cape'!AJ43)</f>
        <v>0</v>
      </c>
      <c r="AK43" s="585">
        <f>SUM('Schedule 3B_Income_Eastern:Schedule 3D_Income_The Cape'!AK43)</f>
        <v>306648</v>
      </c>
      <c r="AL43" s="585">
        <f>SUM('Schedule 3B_Income_Eastern:Schedule 3D_Income_The Cape'!AL43)</f>
        <v>0</v>
      </c>
      <c r="AM43" s="585">
        <f>SUM('Schedule 3B_Income_Eastern:Schedule 3D_Income_The Cape'!AM43)</f>
        <v>320873</v>
      </c>
      <c r="AN43" s="588">
        <f t="shared" si="93"/>
        <v>1189119</v>
      </c>
      <c r="AO43" s="589">
        <f t="shared" si="94"/>
        <v>1189119</v>
      </c>
      <c r="AP43" s="300">
        <v>21</v>
      </c>
      <c r="AQ43" s="585">
        <f>SUM('Schedule 3B_Income_Eastern:Schedule 3D_Income_The Cape'!AQ43)</f>
        <v>0</v>
      </c>
      <c r="AR43" s="585">
        <f>SUM('Schedule 3B_Income_Eastern:Schedule 3D_Income_The Cape'!AR43)</f>
        <v>0</v>
      </c>
      <c r="AS43" s="585">
        <f>SUM('Schedule 3B_Income_Eastern:Schedule 3D_Income_The Cape'!AS43)</f>
        <v>0</v>
      </c>
      <c r="AT43" s="585">
        <f>SUM('Schedule 3B_Income_Eastern:Schedule 3D_Income_The Cape'!AT43)</f>
        <v>0</v>
      </c>
      <c r="AU43" s="585">
        <f>SUM('Schedule 3B_Income_Eastern:Schedule 3D_Income_The Cape'!AU43)</f>
        <v>0</v>
      </c>
      <c r="AV43" s="585">
        <f>SUM('Schedule 3B_Income_Eastern:Schedule 3D_Income_The Cape'!AV43)</f>
        <v>0</v>
      </c>
      <c r="AW43" s="585">
        <f>SUM('Schedule 3B_Income_Eastern:Schedule 3D_Income_The Cape'!AW43)</f>
        <v>0</v>
      </c>
      <c r="AX43" s="585">
        <f>SUM('Schedule 3B_Income_Eastern:Schedule 3D_Income_The Cape'!AX43)</f>
        <v>0</v>
      </c>
      <c r="AY43" s="586">
        <f t="shared" si="95"/>
        <v>0</v>
      </c>
      <c r="AZ43" s="587">
        <f>SUM('Schedule 3B_Income_Eastern:Schedule 3D_Income_The Cape'!AZ43)</f>
        <v>0</v>
      </c>
      <c r="BA43" s="585">
        <f>SUM('Schedule 3B_Income_Eastern:Schedule 3D_Income_The Cape'!BA43)</f>
        <v>8825431</v>
      </c>
      <c r="BB43" s="585">
        <f>SUM('Schedule 3B_Income_Eastern:Schedule 3D_Income_The Cape'!BB43)</f>
        <v>0</v>
      </c>
      <c r="BC43" s="585">
        <f>SUM('Schedule 3B_Income_Eastern:Schedule 3D_Income_The Cape'!BC43)</f>
        <v>8697399</v>
      </c>
      <c r="BD43" s="585">
        <f>SUM('Schedule 3B_Income_Eastern:Schedule 3D_Income_The Cape'!BD43)</f>
        <v>0</v>
      </c>
      <c r="BE43" s="585">
        <f>SUM('Schedule 3B_Income_Eastern:Schedule 3D_Income_The Cape'!BE43)</f>
        <v>9121647</v>
      </c>
      <c r="BF43" s="585">
        <f>SUM('Schedule 3B_Income_Eastern:Schedule 3D_Income_The Cape'!BF43)</f>
        <v>0</v>
      </c>
      <c r="BG43" s="585">
        <f>SUM('Schedule 3B_Income_Eastern:Schedule 3D_Income_The Cape'!BG43)</f>
        <v>8991499</v>
      </c>
      <c r="BH43" s="588">
        <f t="shared" si="96"/>
        <v>35635976</v>
      </c>
      <c r="BI43" s="589">
        <f t="shared" si="97"/>
        <v>35635976</v>
      </c>
      <c r="BJ43" s="300">
        <v>21</v>
      </c>
      <c r="BK43" s="585">
        <f>SUM('Schedule 3B_Income_Eastern:Schedule 3D_Income_The Cape'!BK43)</f>
        <v>0</v>
      </c>
      <c r="BL43" s="585">
        <f>SUM('Schedule 3B_Income_Eastern:Schedule 3D_Income_The Cape'!BL43)</f>
        <v>0</v>
      </c>
      <c r="BM43" s="585">
        <f>SUM('Schedule 3B_Income_Eastern:Schedule 3D_Income_The Cape'!BM43)</f>
        <v>0</v>
      </c>
      <c r="BN43" s="585">
        <f>SUM('Schedule 3B_Income_Eastern:Schedule 3D_Income_The Cape'!BN43)</f>
        <v>0</v>
      </c>
      <c r="BO43" s="585">
        <f>SUM('Schedule 3B_Income_Eastern:Schedule 3D_Income_The Cape'!BO43)</f>
        <v>0</v>
      </c>
      <c r="BP43" s="585">
        <f>SUM('Schedule 3B_Income_Eastern:Schedule 3D_Income_The Cape'!BP43)</f>
        <v>0</v>
      </c>
      <c r="BQ43" s="585">
        <f>SUM('Schedule 3B_Income_Eastern:Schedule 3D_Income_The Cape'!BQ43)</f>
        <v>0</v>
      </c>
      <c r="BR43" s="585">
        <f>SUM('Schedule 3B_Income_Eastern:Schedule 3D_Income_The Cape'!BR43)</f>
        <v>0</v>
      </c>
      <c r="BS43" s="586">
        <f t="shared" si="98"/>
        <v>0</v>
      </c>
      <c r="BT43" s="587">
        <f>SUM('Schedule 3B_Income_Eastern:Schedule 3D_Income_The Cape'!BT43)</f>
        <v>0</v>
      </c>
      <c r="BU43" s="585">
        <f>SUM('Schedule 3B_Income_Eastern:Schedule 3D_Income_The Cape'!BU43)</f>
        <v>743283</v>
      </c>
      <c r="BV43" s="585">
        <f>SUM('Schedule 3B_Income_Eastern:Schedule 3D_Income_The Cape'!BV43)</f>
        <v>0</v>
      </c>
      <c r="BW43" s="585">
        <f>SUM('Schedule 3B_Income_Eastern:Schedule 3D_Income_The Cape'!BW43)</f>
        <v>512472</v>
      </c>
      <c r="BX43" s="585">
        <f>SUM('Schedule 3B_Income_Eastern:Schedule 3D_Income_The Cape'!BX43)</f>
        <v>0</v>
      </c>
      <c r="BY43" s="585">
        <f>SUM('Schedule 3B_Income_Eastern:Schedule 3D_Income_The Cape'!BY43)</f>
        <v>388138</v>
      </c>
      <c r="BZ43" s="585">
        <f>SUM('Schedule 3B_Income_Eastern:Schedule 3D_Income_The Cape'!BZ43)</f>
        <v>0</v>
      </c>
      <c r="CA43" s="585">
        <f>SUM('Schedule 3B_Income_Eastern:Schedule 3D_Income_The Cape'!CA43)</f>
        <v>292385</v>
      </c>
      <c r="CB43" s="588">
        <f t="shared" si="99"/>
        <v>1936278</v>
      </c>
      <c r="CC43" s="589">
        <f t="shared" si="100"/>
        <v>1936278</v>
      </c>
      <c r="CD43" s="300">
        <v>21</v>
      </c>
      <c r="CE43" s="414">
        <f t="shared" si="101"/>
        <v>0</v>
      </c>
      <c r="CF43" s="414">
        <f t="shared" si="102"/>
        <v>0</v>
      </c>
      <c r="CG43" s="414">
        <f t="shared" si="103"/>
        <v>0</v>
      </c>
      <c r="CH43" s="414">
        <f t="shared" si="104"/>
        <v>0</v>
      </c>
      <c r="CI43" s="416">
        <f t="shared" si="105"/>
        <v>0</v>
      </c>
      <c r="CJ43" s="414">
        <f t="shared" si="106"/>
        <v>10470642</v>
      </c>
      <c r="CK43" s="414">
        <f t="shared" si="107"/>
        <v>10374115</v>
      </c>
      <c r="CL43" s="414">
        <f t="shared" si="108"/>
        <v>11050319</v>
      </c>
      <c r="CM43" s="414">
        <f t="shared" si="109"/>
        <v>10961164</v>
      </c>
      <c r="CN43" s="416">
        <f t="shared" si="110"/>
        <v>42856240</v>
      </c>
      <c r="CO43" s="414">
        <f t="shared" si="111"/>
        <v>10470642</v>
      </c>
      <c r="CP43" s="414">
        <f t="shared" si="112"/>
        <v>10374115</v>
      </c>
      <c r="CQ43" s="414">
        <f t="shared" si="113"/>
        <v>11050319</v>
      </c>
      <c r="CR43" s="414">
        <f t="shared" si="114"/>
        <v>10961164</v>
      </c>
      <c r="CS43" s="416">
        <f t="shared" si="115"/>
        <v>42856240</v>
      </c>
    </row>
    <row r="44" spans="1:101" ht="15.75" customHeight="1">
      <c r="A44" s="88" t="s">
        <v>207</v>
      </c>
      <c r="B44" s="300">
        <v>22</v>
      </c>
      <c r="C44" s="585">
        <f>SUM('Schedule 3B_Income_Eastern:Schedule 3D_Income_The Cape'!C44)</f>
        <v>299196.31000000035</v>
      </c>
      <c r="D44" s="585">
        <f>SUM('Schedule 3B_Income_Eastern:Schedule 3D_Income_The Cape'!D44)</f>
        <v>0</v>
      </c>
      <c r="E44" s="585">
        <f>SUM('Schedule 3B_Income_Eastern:Schedule 3D_Income_The Cape'!E44)</f>
        <v>330339.23332175054</v>
      </c>
      <c r="F44" s="585">
        <f>SUM('Schedule 3B_Income_Eastern:Schedule 3D_Income_The Cape'!F44)</f>
        <v>22252.338888790331</v>
      </c>
      <c r="G44" s="585">
        <f>SUM('Schedule 3B_Income_Eastern:Schedule 3D_Income_The Cape'!G44)</f>
        <v>307120.95874778001</v>
      </c>
      <c r="H44" s="585">
        <f>SUM('Schedule 3B_Income_Eastern:Schedule 3D_Income_The Cape'!H44)</f>
        <v>188.72031563723107</v>
      </c>
      <c r="I44" s="585">
        <f>SUM('Schedule 3B_Income_Eastern:Schedule 3D_Income_The Cape'!I44)</f>
        <v>256713.19</v>
      </c>
      <c r="J44" s="585">
        <f>SUM('Schedule 3B_Income_Eastern:Schedule 3D_Income_The Cape'!J44)</f>
        <v>64.013667302631731</v>
      </c>
      <c r="K44" s="586">
        <f t="shared" ref="K44" si="116">SUM(C44:J44)</f>
        <v>1215874.7649412611</v>
      </c>
      <c r="L44" s="587">
        <f>SUM('Schedule 3B_Income_Eastern:Schedule 3D_Income_The Cape'!L44)</f>
        <v>0</v>
      </c>
      <c r="M44" s="585">
        <f>SUM('Schedule 3B_Income_Eastern:Schedule 3D_Income_The Cape'!M44)</f>
        <v>1040551.9845128385</v>
      </c>
      <c r="N44" s="585">
        <f>SUM('Schedule 3B_Income_Eastern:Schedule 3D_Income_The Cape'!N44)</f>
        <v>0</v>
      </c>
      <c r="O44" s="585">
        <f>SUM('Schedule 3B_Income_Eastern:Schedule 3D_Income_The Cape'!O44)</f>
        <v>845223.1357429655</v>
      </c>
      <c r="P44" s="585">
        <f>SUM('Schedule 3B_Income_Eastern:Schedule 3D_Income_The Cape'!P44)</f>
        <v>0</v>
      </c>
      <c r="Q44" s="585">
        <f>SUM('Schedule 3B_Income_Eastern:Schedule 3D_Income_The Cape'!Q44)</f>
        <v>847573.42726666084</v>
      </c>
      <c r="R44" s="585">
        <f>SUM('Schedule 3B_Income_Eastern:Schedule 3D_Income_The Cape'!R44)</f>
        <v>0</v>
      </c>
      <c r="S44" s="585">
        <f>SUM('Schedule 3B_Income_Eastern:Schedule 3D_Income_The Cape'!S44)</f>
        <v>633002.63568946463</v>
      </c>
      <c r="T44" s="588">
        <f>SUM(L44:S44)</f>
        <v>3366351.1832119292</v>
      </c>
      <c r="U44" s="589">
        <f>SUM(T44,K44)</f>
        <v>4582225.9481531903</v>
      </c>
      <c r="V44" s="300">
        <v>22</v>
      </c>
      <c r="W44" s="585">
        <f>SUM('Schedule 3B_Income_Eastern:Schedule 3D_Income_The Cape'!W44)</f>
        <v>25159.419999999991</v>
      </c>
      <c r="X44" s="585">
        <f>SUM('Schedule 3B_Income_Eastern:Schedule 3D_Income_The Cape'!X44)</f>
        <v>0</v>
      </c>
      <c r="Y44" s="585">
        <f>SUM('Schedule 3B_Income_Eastern:Schedule 3D_Income_The Cape'!Y44)</f>
        <v>10688.306001124378</v>
      </c>
      <c r="Z44" s="585">
        <f>SUM('Schedule 3B_Income_Eastern:Schedule 3D_Income_The Cape'!Z44)</f>
        <v>1604.014920926262</v>
      </c>
      <c r="AA44" s="585">
        <f>SUM('Schedule 3B_Income_Eastern:Schedule 3D_Income_The Cape'!AA44)</f>
        <v>13530.279999999999</v>
      </c>
      <c r="AB44" s="585">
        <f>SUM('Schedule 3B_Income_Eastern:Schedule 3D_Income_The Cape'!AB44)</f>
        <v>0</v>
      </c>
      <c r="AC44" s="585">
        <f>SUM('Schedule 3B_Income_Eastern:Schedule 3D_Income_The Cape'!AC44)</f>
        <v>23453.200000000001</v>
      </c>
      <c r="AD44" s="585">
        <f>SUM('Schedule 3B_Income_Eastern:Schedule 3D_Income_The Cape'!AD44)</f>
        <v>0</v>
      </c>
      <c r="AE44" s="586">
        <f t="shared" ref="AE44" si="117">SUM(W44:AD44)</f>
        <v>74435.220922050634</v>
      </c>
      <c r="AF44" s="587">
        <f>SUM('Schedule 3B_Income_Eastern:Schedule 3D_Income_The Cape'!AF44)</f>
        <v>0</v>
      </c>
      <c r="AG44" s="585">
        <f>SUM('Schedule 3B_Income_Eastern:Schedule 3D_Income_The Cape'!AG44)</f>
        <v>481038.64734592743</v>
      </c>
      <c r="AH44" s="585">
        <f>SUM('Schedule 3B_Income_Eastern:Schedule 3D_Income_The Cape'!AH44)</f>
        <v>0</v>
      </c>
      <c r="AI44" s="585">
        <f>SUM('Schedule 3B_Income_Eastern:Schedule 3D_Income_The Cape'!AI44)</f>
        <v>415912.02357510198</v>
      </c>
      <c r="AJ44" s="585">
        <f>SUM('Schedule 3B_Income_Eastern:Schedule 3D_Income_The Cape'!AJ44)</f>
        <v>0</v>
      </c>
      <c r="AK44" s="585">
        <f>SUM('Schedule 3B_Income_Eastern:Schedule 3D_Income_The Cape'!AK44)</f>
        <v>485397.95999999892</v>
      </c>
      <c r="AL44" s="585">
        <f>SUM('Schedule 3B_Income_Eastern:Schedule 3D_Income_The Cape'!AL44)</f>
        <v>0</v>
      </c>
      <c r="AM44" s="585">
        <f>SUM('Schedule 3B_Income_Eastern:Schedule 3D_Income_The Cape'!AM44)</f>
        <v>443710.88000000006</v>
      </c>
      <c r="AN44" s="588">
        <f t="shared" ref="AN44" si="118">SUM(AF44:AM44)</f>
        <v>1826059.5109210284</v>
      </c>
      <c r="AO44" s="589">
        <f t="shared" ref="AO44" si="119">SUM(AN44,AE44)</f>
        <v>1900494.731843079</v>
      </c>
      <c r="AP44" s="300">
        <v>22</v>
      </c>
      <c r="AQ44" s="585">
        <f>SUM('Schedule 3B_Income_Eastern:Schedule 3D_Income_The Cape'!AQ44)</f>
        <v>2202893.0700000012</v>
      </c>
      <c r="AR44" s="585">
        <f>SUM('Schedule 3B_Income_Eastern:Schedule 3D_Income_The Cape'!AR44)</f>
        <v>9.4606111528577816</v>
      </c>
      <c r="AS44" s="585">
        <f>SUM('Schedule 3B_Income_Eastern:Schedule 3D_Income_The Cape'!AS44)</f>
        <v>2538425.541204188</v>
      </c>
      <c r="AT44" s="585">
        <f>SUM('Schedule 3B_Income_Eastern:Schedule 3D_Income_The Cape'!AT44)</f>
        <v>158723.03779517472</v>
      </c>
      <c r="AU44" s="585">
        <f>SUM('Schedule 3B_Income_Eastern:Schedule 3D_Income_The Cape'!AU44)</f>
        <v>2910904.8520100657</v>
      </c>
      <c r="AV44" s="585">
        <f>SUM('Schedule 3B_Income_Eastern:Schedule 3D_Income_The Cape'!AV44)</f>
        <v>1635.4990182780277</v>
      </c>
      <c r="AW44" s="585">
        <f>SUM('Schedule 3B_Income_Eastern:Schedule 3D_Income_The Cape'!AW44)</f>
        <v>3155155.6459187577</v>
      </c>
      <c r="AX44" s="585">
        <f>SUM('Schedule 3B_Income_Eastern:Schedule 3D_Income_The Cape'!AX44)</f>
        <v>1282.1118852119137</v>
      </c>
      <c r="AY44" s="586">
        <f t="shared" ref="AY44" si="120">SUM(AQ44:AX44)</f>
        <v>10969029.218442831</v>
      </c>
      <c r="AZ44" s="587">
        <f>SUM('Schedule 3B_Income_Eastern:Schedule 3D_Income_The Cape'!AZ44)</f>
        <v>0</v>
      </c>
      <c r="BA44" s="585">
        <f>SUM('Schedule 3B_Income_Eastern:Schedule 3D_Income_The Cape'!BA44)</f>
        <v>6260324.1831114134</v>
      </c>
      <c r="BB44" s="585">
        <f>SUM('Schedule 3B_Income_Eastern:Schedule 3D_Income_The Cape'!BB44)</f>
        <v>0</v>
      </c>
      <c r="BC44" s="585">
        <f>SUM('Schedule 3B_Income_Eastern:Schedule 3D_Income_The Cape'!BC44)</f>
        <v>6962378.9424953237</v>
      </c>
      <c r="BD44" s="585">
        <f>SUM('Schedule 3B_Income_Eastern:Schedule 3D_Income_The Cape'!BD44)</f>
        <v>0</v>
      </c>
      <c r="BE44" s="585">
        <f>SUM('Schedule 3B_Income_Eastern:Schedule 3D_Income_The Cape'!BE44)</f>
        <v>7676324.2520060362</v>
      </c>
      <c r="BF44" s="585">
        <f>SUM('Schedule 3B_Income_Eastern:Schedule 3D_Income_The Cape'!BF44)</f>
        <v>0</v>
      </c>
      <c r="BG44" s="585">
        <f>SUM('Schedule 3B_Income_Eastern:Schedule 3D_Income_The Cape'!BG44)</f>
        <v>8878704.1133500207</v>
      </c>
      <c r="BH44" s="588">
        <f t="shared" ref="BH44" si="121">SUM(AZ44:BG44)</f>
        <v>29777731.490962796</v>
      </c>
      <c r="BI44" s="589">
        <f t="shared" ref="BI44" si="122">SUM(BH44,AY44)</f>
        <v>40746760.709405631</v>
      </c>
      <c r="BJ44" s="300">
        <v>22</v>
      </c>
      <c r="BK44" s="585">
        <f>SUM('Schedule 3B_Income_Eastern:Schedule 3D_Income_The Cape'!BK44)</f>
        <v>22483.420000000006</v>
      </c>
      <c r="BL44" s="585">
        <f>SUM('Schedule 3B_Income_Eastern:Schedule 3D_Income_The Cape'!BL44)</f>
        <v>0</v>
      </c>
      <c r="BM44" s="585">
        <f>SUM('Schedule 3B_Income_Eastern:Schedule 3D_Income_The Cape'!BM44)</f>
        <v>27538.504041026805</v>
      </c>
      <c r="BN44" s="585">
        <f>SUM('Schedule 3B_Income_Eastern:Schedule 3D_Income_The Cape'!BN44)</f>
        <v>2663.2921534519428</v>
      </c>
      <c r="BO44" s="585">
        <f>SUM('Schedule 3B_Income_Eastern:Schedule 3D_Income_The Cape'!BO44)</f>
        <v>25493.560000000005</v>
      </c>
      <c r="BP44" s="585">
        <f>SUM('Schedule 3B_Income_Eastern:Schedule 3D_Income_The Cape'!BP44)</f>
        <v>0</v>
      </c>
      <c r="BQ44" s="585">
        <f>SUM('Schedule 3B_Income_Eastern:Schedule 3D_Income_The Cape'!BQ44)</f>
        <v>49063.55000000001</v>
      </c>
      <c r="BR44" s="585">
        <f>SUM('Schedule 3B_Income_Eastern:Schedule 3D_Income_The Cape'!BR44)</f>
        <v>0</v>
      </c>
      <c r="BS44" s="586">
        <f t="shared" ref="BS44" si="123">SUM(BK44:BR44)</f>
        <v>127242.32619447878</v>
      </c>
      <c r="BT44" s="587">
        <f>SUM('Schedule 3B_Income_Eastern:Schedule 3D_Income_The Cape'!BT44)</f>
        <v>0</v>
      </c>
      <c r="BU44" s="585">
        <f>SUM('Schedule 3B_Income_Eastern:Schedule 3D_Income_The Cape'!BU44)</f>
        <v>-224324.77000000089</v>
      </c>
      <c r="BV44" s="585">
        <f>SUM('Schedule 3B_Income_Eastern:Schedule 3D_Income_The Cape'!BV44)</f>
        <v>0</v>
      </c>
      <c r="BW44" s="585">
        <f>SUM('Schedule 3B_Income_Eastern:Schedule 3D_Income_The Cape'!BW44)</f>
        <v>109828.04022467614</v>
      </c>
      <c r="BX44" s="585">
        <f>SUM('Schedule 3B_Income_Eastern:Schedule 3D_Income_The Cape'!BX44)</f>
        <v>0</v>
      </c>
      <c r="BY44" s="585">
        <f>SUM('Schedule 3B_Income_Eastern:Schedule 3D_Income_The Cape'!BY44)</f>
        <v>189079.5399999998</v>
      </c>
      <c r="BZ44" s="585">
        <f>SUM('Schedule 3B_Income_Eastern:Schedule 3D_Income_The Cape'!BZ44)</f>
        <v>0</v>
      </c>
      <c r="CA44" s="585">
        <f>SUM('Schedule 3B_Income_Eastern:Schedule 3D_Income_The Cape'!CA44)</f>
        <v>322714.30000000045</v>
      </c>
      <c r="CB44" s="588">
        <f t="shared" ref="CB44" si="124">SUM(BT44:CA44)</f>
        <v>397297.1102246755</v>
      </c>
      <c r="CC44" s="589">
        <f t="shared" ref="CC44" si="125">SUM(CB44,BS44)</f>
        <v>524539.43641915428</v>
      </c>
      <c r="CD44" s="300">
        <v>22</v>
      </c>
      <c r="CE44" s="414">
        <f t="shared" si="101"/>
        <v>2549741.6806111545</v>
      </c>
      <c r="CF44" s="414">
        <f t="shared" si="102"/>
        <v>3092234.2683264334</v>
      </c>
      <c r="CG44" s="414">
        <f t="shared" si="103"/>
        <v>3258873.870091761</v>
      </c>
      <c r="CH44" s="414">
        <f t="shared" si="104"/>
        <v>3485731.7114712722</v>
      </c>
      <c r="CI44" s="416">
        <f t="shared" si="105"/>
        <v>12386581.530500621</v>
      </c>
      <c r="CJ44" s="414">
        <f t="shared" si="106"/>
        <v>7557590.044970179</v>
      </c>
      <c r="CK44" s="414">
        <f t="shared" si="107"/>
        <v>8333342.1420380669</v>
      </c>
      <c r="CL44" s="414">
        <f t="shared" si="108"/>
        <v>9198375.1792726945</v>
      </c>
      <c r="CM44" s="414">
        <f t="shared" si="109"/>
        <v>10278131.929039486</v>
      </c>
      <c r="CN44" s="416">
        <f t="shared" si="110"/>
        <v>35367439.295320436</v>
      </c>
      <c r="CO44" s="414">
        <f t="shared" si="111"/>
        <v>10107331.725581333</v>
      </c>
      <c r="CP44" s="414">
        <f t="shared" si="112"/>
        <v>11425576.410364501</v>
      </c>
      <c r="CQ44" s="414">
        <f t="shared" si="113"/>
        <v>12457249.049364457</v>
      </c>
      <c r="CR44" s="414">
        <f t="shared" si="114"/>
        <v>13763863.64051076</v>
      </c>
      <c r="CS44" s="416">
        <f t="shared" si="115"/>
        <v>47754020.82582105</v>
      </c>
    </row>
    <row r="45" spans="1:101" ht="15.75" customHeight="1">
      <c r="A45" s="88" t="s">
        <v>209</v>
      </c>
      <c r="B45" s="300">
        <v>23</v>
      </c>
      <c r="C45" s="585">
        <f>SUM('Schedule 3B_Income_Eastern:Schedule 3D_Income_The Cape'!C45)</f>
        <v>218047.30986583355</v>
      </c>
      <c r="D45" s="585">
        <f>SUM('Schedule 3B_Income_Eastern:Schedule 3D_Income_The Cape'!D45)</f>
        <v>0</v>
      </c>
      <c r="E45" s="585">
        <f>SUM('Schedule 3B_Income_Eastern:Schedule 3D_Income_The Cape'!E45)</f>
        <v>251825.79592077143</v>
      </c>
      <c r="F45" s="585">
        <f>SUM('Schedule 3B_Income_Eastern:Schedule 3D_Income_The Cape'!F45)</f>
        <v>22252.338888790331</v>
      </c>
      <c r="G45" s="585">
        <f>SUM('Schedule 3B_Income_Eastern:Schedule 3D_Income_The Cape'!G45)</f>
        <v>243071.20323534045</v>
      </c>
      <c r="H45" s="585">
        <f>SUM('Schedule 3B_Income_Eastern:Schedule 3D_Income_The Cape'!H45)</f>
        <v>188.72031563723107</v>
      </c>
      <c r="I45" s="585">
        <f>SUM('Schedule 3B_Income_Eastern:Schedule 3D_Income_The Cape'!I45)</f>
        <v>206699.87451087325</v>
      </c>
      <c r="J45" s="585">
        <f>SUM('Schedule 3B_Income_Eastern:Schedule 3D_Income_The Cape'!J45)</f>
        <v>64.013667302631731</v>
      </c>
      <c r="K45" s="586">
        <f t="shared" ref="K45:K47" si="126">SUM(C45:J45)</f>
        <v>942149.25640454888</v>
      </c>
      <c r="L45" s="587">
        <f>SUM('Schedule 3B_Income_Eastern:Schedule 3D_Income_The Cape'!L45)</f>
        <v>0</v>
      </c>
      <c r="M45" s="585">
        <f>SUM('Schedule 3B_Income_Eastern:Schedule 3D_Income_The Cape'!M45)</f>
        <v>545830.67751760525</v>
      </c>
      <c r="N45" s="585">
        <f>SUM('Schedule 3B_Income_Eastern:Schedule 3D_Income_The Cape'!N45)</f>
        <v>0</v>
      </c>
      <c r="O45" s="585">
        <f>SUM('Schedule 3B_Income_Eastern:Schedule 3D_Income_The Cape'!O45)</f>
        <v>345691.01595652034</v>
      </c>
      <c r="P45" s="585">
        <f>SUM('Schedule 3B_Income_Eastern:Schedule 3D_Income_The Cape'!P45)</f>
        <v>0</v>
      </c>
      <c r="Q45" s="585">
        <f>SUM('Schedule 3B_Income_Eastern:Schedule 3D_Income_The Cape'!Q45)</f>
        <v>292770.4471487616</v>
      </c>
      <c r="R45" s="585">
        <f>SUM('Schedule 3B_Income_Eastern:Schedule 3D_Income_The Cape'!R45)</f>
        <v>0</v>
      </c>
      <c r="S45" s="585">
        <f>SUM('Schedule 3B_Income_Eastern:Schedule 3D_Income_The Cape'!S45)</f>
        <v>127382.16842766025</v>
      </c>
      <c r="T45" s="588">
        <f>SUM(L45:S45)</f>
        <v>1311674.3090505474</v>
      </c>
      <c r="U45" s="589">
        <f t="shared" ref="U45:U47" si="127">SUM(T45,K45)</f>
        <v>2253823.5654550963</v>
      </c>
      <c r="V45" s="300">
        <v>23</v>
      </c>
      <c r="W45" s="585">
        <f>SUM('Schedule 3B_Income_Eastern:Schedule 3D_Income_The Cape'!W45)</f>
        <v>18335.59995704707</v>
      </c>
      <c r="X45" s="585">
        <f>SUM('Schedule 3B_Income_Eastern:Schedule 3D_Income_The Cape'!X45)</f>
        <v>0</v>
      </c>
      <c r="Y45" s="585">
        <f>SUM('Schedule 3B_Income_Eastern:Schedule 3D_Income_The Cape'!Y45)</f>
        <v>8129.4225700597726</v>
      </c>
      <c r="Z45" s="585">
        <f>SUM('Schedule 3B_Income_Eastern:Schedule 3D_Income_The Cape'!Z45)</f>
        <v>1604.014920926262</v>
      </c>
      <c r="AA45" s="585">
        <f>SUM('Schedule 3B_Income_Eastern:Schedule 3D_Income_The Cape'!AA45)</f>
        <v>10705.307439256045</v>
      </c>
      <c r="AB45" s="585">
        <f>SUM('Schedule 3B_Income_Eastern:Schedule 3D_Income_The Cape'!AB45)</f>
        <v>0</v>
      </c>
      <c r="AC45" s="585">
        <f>SUM('Schedule 3B_Income_Eastern:Schedule 3D_Income_The Cape'!AC45)</f>
        <v>18884.006298540455</v>
      </c>
      <c r="AD45" s="585">
        <f>SUM('Schedule 3B_Income_Eastern:Schedule 3D_Income_The Cape'!AD45)</f>
        <v>0</v>
      </c>
      <c r="AE45" s="586">
        <f t="shared" ref="AE45:AE47" si="128">SUM(W45:AD45)</f>
        <v>57658.351185829597</v>
      </c>
      <c r="AF45" s="587">
        <f>SUM('Schedule 3B_Income_Eastern:Schedule 3D_Income_The Cape'!AF45)</f>
        <v>0</v>
      </c>
      <c r="AG45" s="585">
        <f>SUM('Schedule 3B_Income_Eastern:Schedule 3D_Income_The Cape'!AG45)</f>
        <v>250445.95668386831</v>
      </c>
      <c r="AH45" s="585">
        <f>SUM('Schedule 3B_Income_Eastern:Schedule 3D_Income_The Cape'!AH45)</f>
        <v>0</v>
      </c>
      <c r="AI45" s="585">
        <f>SUM('Schedule 3B_Income_Eastern:Schedule 3D_Income_The Cape'!AI45)</f>
        <v>216939.26393546641</v>
      </c>
      <c r="AJ45" s="585">
        <f>SUM('Schedule 3B_Income_Eastern:Schedule 3D_Income_The Cape'!AJ45)</f>
        <v>0</v>
      </c>
      <c r="AK45" s="585">
        <f>SUM('Schedule 3B_Income_Eastern:Schedule 3D_Income_The Cape'!AK45)</f>
        <v>274245.170807079</v>
      </c>
      <c r="AL45" s="585">
        <f>SUM('Schedule 3B_Income_Eastern:Schedule 3D_Income_The Cape'!AL45)</f>
        <v>0</v>
      </c>
      <c r="AM45" s="585">
        <f>SUM('Schedule 3B_Income_Eastern:Schedule 3D_Income_The Cape'!AM45)</f>
        <v>249328.35291792636</v>
      </c>
      <c r="AN45" s="588">
        <f t="shared" ref="AN45:AN47" si="129">SUM(AF45:AM45)</f>
        <v>990958.74434434017</v>
      </c>
      <c r="AO45" s="589">
        <f t="shared" ref="AO45:AO47" si="130">SUM(AN45,AE45)</f>
        <v>1048617.0955301698</v>
      </c>
      <c r="AP45" s="300">
        <v>23</v>
      </c>
      <c r="AQ45" s="585">
        <f>SUM('Schedule 3B_Income_Eastern:Schedule 3D_Income_The Cape'!AQ45)</f>
        <v>1605417.218666858</v>
      </c>
      <c r="AR45" s="585">
        <f>SUM('Schedule 3B_Income_Eastern:Schedule 3D_Income_The Cape'!AR45)</f>
        <v>9.4606111528577816</v>
      </c>
      <c r="AS45" s="585">
        <f>SUM('Schedule 3B_Income_Eastern:Schedule 3D_Income_The Cape'!AS45)</f>
        <v>1931139.9444271144</v>
      </c>
      <c r="AT45" s="585">
        <f>SUM('Schedule 3B_Income_Eastern:Schedule 3D_Income_The Cape'!AT45)</f>
        <v>158723.03779517472</v>
      </c>
      <c r="AU45" s="585">
        <f>SUM('Schedule 3B_Income_Eastern:Schedule 3D_Income_The Cape'!AU45)</f>
        <v>2303155.7577019553</v>
      </c>
      <c r="AV45" s="585">
        <f>SUM('Schedule 3B_Income_Eastern:Schedule 3D_Income_The Cape'!AV45)</f>
        <v>1635.4990182780277</v>
      </c>
      <c r="AW45" s="585">
        <f>SUM('Schedule 3B_Income_Eastern:Schedule 3D_Income_The Cape'!AW45)</f>
        <v>2540506.0442516566</v>
      </c>
      <c r="AX45" s="585">
        <f>SUM('Schedule 3B_Income_Eastern:Schedule 3D_Income_The Cape'!AX45)</f>
        <v>1282.1118852119137</v>
      </c>
      <c r="AY45" s="586">
        <f t="shared" ref="AY45:AY47" si="131">SUM(AQ45:AX45)</f>
        <v>8541869.0743574016</v>
      </c>
      <c r="AZ45" s="587">
        <f>SUM('Schedule 3B_Income_Eastern:Schedule 3D_Income_The Cape'!AZ45)</f>
        <v>0</v>
      </c>
      <c r="BA45" s="585">
        <f>SUM('Schedule 3B_Income_Eastern:Schedule 3D_Income_The Cape'!BA45)</f>
        <v>1744643.5838212299</v>
      </c>
      <c r="BB45" s="585">
        <f>SUM('Schedule 3B_Income_Eastern:Schedule 3D_Income_The Cape'!BB45)</f>
        <v>0</v>
      </c>
      <c r="BC45" s="585">
        <f>SUM('Schedule 3B_Income_Eastern:Schedule 3D_Income_The Cape'!BC45)</f>
        <v>2444550.2194152963</v>
      </c>
      <c r="BD45" s="585">
        <f>SUM('Schedule 3B_Income_Eastern:Schedule 3D_Income_The Cape'!BD45)</f>
        <v>0</v>
      </c>
      <c r="BE45" s="585">
        <f>SUM('Schedule 3B_Income_Eastern:Schedule 3D_Income_The Cape'!BE45)</f>
        <v>3199813.6616699388</v>
      </c>
      <c r="BF45" s="585">
        <f>SUM('Schedule 3B_Income_Eastern:Schedule 3D_Income_The Cape'!BF45)</f>
        <v>0</v>
      </c>
      <c r="BG45" s="585">
        <f>SUM('Schedule 3B_Income_Eastern:Schedule 3D_Income_The Cape'!BG45)</f>
        <v>4338738.0073095728</v>
      </c>
      <c r="BH45" s="588">
        <f t="shared" ref="BH45:BH47" si="132">SUM(AZ45:BG45)</f>
        <v>11727745.472216038</v>
      </c>
      <c r="BI45" s="589">
        <f t="shared" ref="BI45:BI47" si="133">SUM(BH45,AY45)</f>
        <v>20269614.546573438</v>
      </c>
      <c r="BJ45" s="300">
        <v>23</v>
      </c>
      <c r="BK45" s="585">
        <f>SUM('Schedule 3B_Income_Eastern:Schedule 3D_Income_The Cape'!BK45)</f>
        <v>16385.393414723851</v>
      </c>
      <c r="BL45" s="585">
        <f>SUM('Schedule 3B_Income_Eastern:Schedule 3D_Income_The Cape'!BL45)</f>
        <v>0</v>
      </c>
      <c r="BM45" s="585">
        <f>SUM('Schedule 3B_Income_Eastern:Schedule 3D_Income_The Cape'!BM45)</f>
        <v>20876.149160307879</v>
      </c>
      <c r="BN45" s="585">
        <f>SUM('Schedule 3B_Income_Eastern:Schedule 3D_Income_The Cape'!BN45)</f>
        <v>2663.2921534519428</v>
      </c>
      <c r="BO45" s="585">
        <f>SUM('Schedule 3B_Income_Eastern:Schedule 3D_Income_The Cape'!BO45)</f>
        <v>20170.787117570395</v>
      </c>
      <c r="BP45" s="585">
        <f>SUM('Schedule 3B_Income_Eastern:Schedule 3D_Income_The Cape'!BP45)</f>
        <v>0</v>
      </c>
      <c r="BQ45" s="585">
        <f>SUM('Schedule 3B_Income_Eastern:Schedule 3D_Income_The Cape'!BQ45)</f>
        <v>39504.902837512789</v>
      </c>
      <c r="BR45" s="585">
        <f>SUM('Schedule 3B_Income_Eastern:Schedule 3D_Income_The Cape'!BR45)</f>
        <v>0</v>
      </c>
      <c r="BS45" s="586">
        <f t="shared" ref="BS45:BS47" si="134">SUM(BK45:BR45)</f>
        <v>99600.524683566851</v>
      </c>
      <c r="BT45" s="587">
        <f>SUM('Schedule 3B_Income_Eastern:Schedule 3D_Income_The Cape'!BT45)</f>
        <v>0</v>
      </c>
      <c r="BU45" s="585">
        <f>SUM('Schedule 3B_Income_Eastern:Schedule 3D_Income_The Cape'!BU45)</f>
        <v>-379677.8725673306</v>
      </c>
      <c r="BV45" s="585">
        <f>SUM('Schedule 3B_Income_Eastern:Schedule 3D_Income_The Cape'!BV45)</f>
        <v>0</v>
      </c>
      <c r="BW45" s="585">
        <f>SUM('Schedule 3B_Income_Eastern:Schedule 3D_Income_The Cape'!BW45)</f>
        <v>-70186.056784021144</v>
      </c>
      <c r="BX45" s="585">
        <f>SUM('Schedule 3B_Income_Eastern:Schedule 3D_Income_The Cape'!BX45)</f>
        <v>0</v>
      </c>
      <c r="BY45" s="585">
        <f>SUM('Schedule 3B_Income_Eastern:Schedule 3D_Income_The Cape'!BY45)</f>
        <v>35198.200132176571</v>
      </c>
      <c r="BZ45" s="585">
        <f>SUM('Schedule 3B_Income_Eastern:Schedule 3D_Income_The Cape'!BZ45)</f>
        <v>0</v>
      </c>
      <c r="CA45" s="585">
        <f>SUM('Schedule 3B_Income_Eastern:Schedule 3D_Income_The Cape'!CA45)</f>
        <v>166335.7008695337</v>
      </c>
      <c r="CB45" s="588">
        <f t="shared" ref="CB45:CB47" si="135">SUM(BT45:CA45)</f>
        <v>-248330.02834964148</v>
      </c>
      <c r="CC45" s="589">
        <f t="shared" ref="CC45:CC47" si="136">SUM(CB45,BS45)</f>
        <v>-148729.50366607463</v>
      </c>
      <c r="CD45" s="300">
        <v>23</v>
      </c>
      <c r="CE45" s="414">
        <f t="shared" si="101"/>
        <v>1858194.9825156154</v>
      </c>
      <c r="CF45" s="414">
        <f t="shared" si="102"/>
        <v>2397213.9958365969</v>
      </c>
      <c r="CG45" s="414">
        <f t="shared" si="103"/>
        <v>2578927.2748280372</v>
      </c>
      <c r="CH45" s="414">
        <f t="shared" si="104"/>
        <v>2806940.9534510979</v>
      </c>
      <c r="CI45" s="416">
        <f t="shared" si="105"/>
        <v>9641277.2066313475</v>
      </c>
      <c r="CJ45" s="414">
        <f t="shared" si="106"/>
        <v>2161242.3454553727</v>
      </c>
      <c r="CK45" s="414">
        <f t="shared" si="107"/>
        <v>2936994.442523262</v>
      </c>
      <c r="CL45" s="414">
        <f t="shared" si="108"/>
        <v>3802027.4797579562</v>
      </c>
      <c r="CM45" s="414">
        <f t="shared" si="109"/>
        <v>4881784.2295246925</v>
      </c>
      <c r="CN45" s="416">
        <f t="shared" si="110"/>
        <v>13782048.497261284</v>
      </c>
      <c r="CO45" s="414">
        <f t="shared" si="111"/>
        <v>4019437.3279709881</v>
      </c>
      <c r="CP45" s="414">
        <f t="shared" si="112"/>
        <v>5334208.4383598594</v>
      </c>
      <c r="CQ45" s="414">
        <f t="shared" si="113"/>
        <v>6380954.7545859935</v>
      </c>
      <c r="CR45" s="414">
        <f t="shared" si="114"/>
        <v>7688725.1829757914</v>
      </c>
      <c r="CS45" s="416">
        <f t="shared" si="115"/>
        <v>23423325.703892633</v>
      </c>
      <c r="CU45" s="319"/>
    </row>
    <row r="46" spans="1:101" ht="15.75" customHeight="1">
      <c r="A46" s="88" t="s">
        <v>211</v>
      </c>
      <c r="B46" s="300">
        <v>24</v>
      </c>
      <c r="C46" s="585">
        <f>SUM('Schedule 3B_Income_Eastern:Schedule 3D_Income_The Cape'!C46)</f>
        <v>6906.7100000000009</v>
      </c>
      <c r="D46" s="585">
        <f>SUM('Schedule 3B_Income_Eastern:Schedule 3D_Income_The Cape'!D46)</f>
        <v>0</v>
      </c>
      <c r="E46" s="585">
        <f>SUM('Schedule 3B_Income_Eastern:Schedule 3D_Income_The Cape'!E46)</f>
        <v>6487.2399999999989</v>
      </c>
      <c r="F46" s="585">
        <f>SUM('Schedule 3B_Income_Eastern:Schedule 3D_Income_The Cape'!F46)</f>
        <v>0</v>
      </c>
      <c r="G46" s="585">
        <f>SUM('Schedule 3B_Income_Eastern:Schedule 3D_Income_The Cape'!G46)</f>
        <v>14069.620000000003</v>
      </c>
      <c r="H46" s="585">
        <f>SUM('Schedule 3B_Income_Eastern:Schedule 3D_Income_The Cape'!H46)</f>
        <v>0</v>
      </c>
      <c r="I46" s="585">
        <f>SUM('Schedule 3B_Income_Eastern:Schedule 3D_Income_The Cape'!I46)</f>
        <v>17366.119999999995</v>
      </c>
      <c r="J46" s="585">
        <f>SUM('Schedule 3B_Income_Eastern:Schedule 3D_Income_The Cape'!J46)</f>
        <v>0</v>
      </c>
      <c r="K46" s="586">
        <f t="shared" si="126"/>
        <v>44829.69</v>
      </c>
      <c r="L46" s="587">
        <f>SUM('Schedule 3B_Income_Eastern:Schedule 3D_Income_The Cape'!L46)</f>
        <v>0</v>
      </c>
      <c r="M46" s="585">
        <f>SUM('Schedule 3B_Income_Eastern:Schedule 3D_Income_The Cape'!M46)</f>
        <v>54677.990000000027</v>
      </c>
      <c r="N46" s="585">
        <f>SUM('Schedule 3B_Income_Eastern:Schedule 3D_Income_The Cape'!N46)</f>
        <v>0</v>
      </c>
      <c r="O46" s="585">
        <f>SUM('Schedule 3B_Income_Eastern:Schedule 3D_Income_The Cape'!O46)</f>
        <v>50557.88999999997</v>
      </c>
      <c r="P46" s="585">
        <f>SUM('Schedule 3B_Income_Eastern:Schedule 3D_Income_The Cape'!P46)</f>
        <v>0</v>
      </c>
      <c r="Q46" s="585">
        <f>SUM('Schedule 3B_Income_Eastern:Schedule 3D_Income_The Cape'!Q46)</f>
        <v>97672.989999999976</v>
      </c>
      <c r="R46" s="585">
        <f>SUM('Schedule 3B_Income_Eastern:Schedule 3D_Income_The Cape'!R46)</f>
        <v>0</v>
      </c>
      <c r="S46" s="585">
        <f>SUM('Schedule 3B_Income_Eastern:Schedule 3D_Income_The Cape'!S46)</f>
        <v>106124.99</v>
      </c>
      <c r="T46" s="588">
        <f>SUM(L46:S46)</f>
        <v>309033.86</v>
      </c>
      <c r="U46" s="589">
        <f t="shared" si="127"/>
        <v>353863.55</v>
      </c>
      <c r="V46" s="300">
        <v>24</v>
      </c>
      <c r="W46" s="585">
        <f>SUM('Schedule 3B_Income_Eastern:Schedule 3D_Income_The Cape'!W46)</f>
        <v>630.14</v>
      </c>
      <c r="X46" s="585">
        <f>SUM('Schedule 3B_Income_Eastern:Schedule 3D_Income_The Cape'!X46)</f>
        <v>0</v>
      </c>
      <c r="Y46" s="585">
        <f>SUM('Schedule 3B_Income_Eastern:Schedule 3D_Income_The Cape'!Y46)</f>
        <v>177.8</v>
      </c>
      <c r="Z46" s="585">
        <f>SUM('Schedule 3B_Income_Eastern:Schedule 3D_Income_The Cape'!Z46)</f>
        <v>0</v>
      </c>
      <c r="AA46" s="585">
        <f>SUM('Schedule 3B_Income_Eastern:Schedule 3D_Income_The Cape'!AA46)</f>
        <v>1160.0899999999999</v>
      </c>
      <c r="AB46" s="585">
        <f>SUM('Schedule 3B_Income_Eastern:Schedule 3D_Income_The Cape'!AB46)</f>
        <v>0</v>
      </c>
      <c r="AC46" s="585">
        <f>SUM('Schedule 3B_Income_Eastern:Schedule 3D_Income_The Cape'!AC46)</f>
        <v>1658.7499999999998</v>
      </c>
      <c r="AD46" s="585">
        <f>SUM('Schedule 3B_Income_Eastern:Schedule 3D_Income_The Cape'!AD46)</f>
        <v>0</v>
      </c>
      <c r="AE46" s="586">
        <f t="shared" si="128"/>
        <v>3626.7799999999997</v>
      </c>
      <c r="AF46" s="587">
        <f>SUM('Schedule 3B_Income_Eastern:Schedule 3D_Income_The Cape'!AF46)</f>
        <v>0</v>
      </c>
      <c r="AG46" s="585">
        <f>SUM('Schedule 3B_Income_Eastern:Schedule 3D_Income_The Cape'!AG46)</f>
        <v>14410.220000000001</v>
      </c>
      <c r="AH46" s="585">
        <f>SUM('Schedule 3B_Income_Eastern:Schedule 3D_Income_The Cape'!AH46)</f>
        <v>0</v>
      </c>
      <c r="AI46" s="585">
        <f>SUM('Schedule 3B_Income_Eastern:Schedule 3D_Income_The Cape'!AI46)</f>
        <v>10901.609999999999</v>
      </c>
      <c r="AJ46" s="585">
        <f>SUM('Schedule 3B_Income_Eastern:Schedule 3D_Income_The Cape'!AJ46)</f>
        <v>0</v>
      </c>
      <c r="AK46" s="585">
        <f>SUM('Schedule 3B_Income_Eastern:Schedule 3D_Income_The Cape'!AK46)</f>
        <v>26461.519999999993</v>
      </c>
      <c r="AL46" s="585">
        <f>SUM('Schedule 3B_Income_Eastern:Schedule 3D_Income_The Cape'!AL46)</f>
        <v>0</v>
      </c>
      <c r="AM46" s="585">
        <f>SUM('Schedule 3B_Income_Eastern:Schedule 3D_Income_The Cape'!AM46)</f>
        <v>31306.05</v>
      </c>
      <c r="AN46" s="588">
        <f t="shared" si="129"/>
        <v>83079.399999999994</v>
      </c>
      <c r="AO46" s="589">
        <f t="shared" si="130"/>
        <v>86706.18</v>
      </c>
      <c r="AP46" s="300">
        <v>24</v>
      </c>
      <c r="AQ46" s="585">
        <f>SUM('Schedule 3B_Income_Eastern:Schedule 3D_Income_The Cape'!AQ46)</f>
        <v>48416.91</v>
      </c>
      <c r="AR46" s="585">
        <f>SUM('Schedule 3B_Income_Eastern:Schedule 3D_Income_The Cape'!AR46)</f>
        <v>0</v>
      </c>
      <c r="AS46" s="585">
        <f>SUM('Schedule 3B_Income_Eastern:Schedule 3D_Income_The Cape'!AS46)</f>
        <v>41861.08</v>
      </c>
      <c r="AT46" s="585">
        <f>SUM('Schedule 3B_Income_Eastern:Schedule 3D_Income_The Cape'!AT46)</f>
        <v>0</v>
      </c>
      <c r="AU46" s="585">
        <f>SUM('Schedule 3B_Income_Eastern:Schedule 3D_Income_The Cape'!AU46)</f>
        <v>112539.93999999955</v>
      </c>
      <c r="AV46" s="585">
        <f>SUM('Schedule 3B_Income_Eastern:Schedule 3D_Income_The Cape'!AV46)</f>
        <v>0</v>
      </c>
      <c r="AW46" s="585">
        <f>SUM('Schedule 3B_Income_Eastern:Schedule 3D_Income_The Cape'!AW46)</f>
        <v>124580.42999999976</v>
      </c>
      <c r="AX46" s="585">
        <f>SUM('Schedule 3B_Income_Eastern:Schedule 3D_Income_The Cape'!AX46)</f>
        <v>0</v>
      </c>
      <c r="AY46" s="586">
        <f t="shared" si="131"/>
        <v>327398.35999999929</v>
      </c>
      <c r="AZ46" s="587">
        <f>SUM('Schedule 3B_Income_Eastern:Schedule 3D_Income_The Cape'!AZ46)</f>
        <v>0</v>
      </c>
      <c r="BA46" s="585">
        <f>SUM('Schedule 3B_Income_Eastern:Schedule 3D_Income_The Cape'!BA46)</f>
        <v>464914.88999999932</v>
      </c>
      <c r="BB46" s="585">
        <f>SUM('Schedule 3B_Income_Eastern:Schedule 3D_Income_The Cape'!BB46)</f>
        <v>0</v>
      </c>
      <c r="BC46" s="585">
        <f>SUM('Schedule 3B_Income_Eastern:Schedule 3D_Income_The Cape'!BC46)</f>
        <v>471938.84000000014</v>
      </c>
      <c r="BD46" s="585">
        <f>SUM('Schedule 3B_Income_Eastern:Schedule 3D_Income_The Cape'!BD46)</f>
        <v>0</v>
      </c>
      <c r="BE46" s="585">
        <f>SUM('Schedule 3B_Income_Eastern:Schedule 3D_Income_The Cape'!BE46)</f>
        <v>699265.06000000483</v>
      </c>
      <c r="BF46" s="585">
        <f>SUM('Schedule 3B_Income_Eastern:Schedule 3D_Income_The Cape'!BF46)</f>
        <v>0</v>
      </c>
      <c r="BG46" s="585">
        <f>SUM('Schedule 3B_Income_Eastern:Schedule 3D_Income_The Cape'!BG46)</f>
        <v>768261.11999999871</v>
      </c>
      <c r="BH46" s="588">
        <f t="shared" si="132"/>
        <v>2404379.9100000029</v>
      </c>
      <c r="BI46" s="589">
        <f t="shared" si="133"/>
        <v>2731778.2700000023</v>
      </c>
      <c r="BJ46" s="300">
        <v>24</v>
      </c>
      <c r="BK46" s="585">
        <f>SUM('Schedule 3B_Income_Eastern:Schedule 3D_Income_The Cape'!BK46)</f>
        <v>280.37</v>
      </c>
      <c r="BL46" s="585">
        <f>SUM('Schedule 3B_Income_Eastern:Schedule 3D_Income_The Cape'!BL46)</f>
        <v>0</v>
      </c>
      <c r="BM46" s="585">
        <f>SUM('Schedule 3B_Income_Eastern:Schedule 3D_Income_The Cape'!BM46)</f>
        <v>0</v>
      </c>
      <c r="BN46" s="585">
        <f>SUM('Schedule 3B_Income_Eastern:Schedule 3D_Income_The Cape'!BN46)</f>
        <v>0</v>
      </c>
      <c r="BO46" s="585">
        <f>SUM('Schedule 3B_Income_Eastern:Schedule 3D_Income_The Cape'!BO46)</f>
        <v>839.22</v>
      </c>
      <c r="BP46" s="585">
        <f>SUM('Schedule 3B_Income_Eastern:Schedule 3D_Income_The Cape'!BP46)</f>
        <v>0</v>
      </c>
      <c r="BQ46" s="585">
        <f>SUM('Schedule 3B_Income_Eastern:Schedule 3D_Income_The Cape'!BQ46)</f>
        <v>156.59</v>
      </c>
      <c r="BR46" s="585">
        <f>SUM('Schedule 3B_Income_Eastern:Schedule 3D_Income_The Cape'!BR46)</f>
        <v>0</v>
      </c>
      <c r="BS46" s="586">
        <f t="shared" si="134"/>
        <v>1276.18</v>
      </c>
      <c r="BT46" s="587">
        <f>SUM('Schedule 3B_Income_Eastern:Schedule 3D_Income_The Cape'!BT46)</f>
        <v>0</v>
      </c>
      <c r="BU46" s="585">
        <f>SUM('Schedule 3B_Income_Eastern:Schedule 3D_Income_The Cape'!BU46)</f>
        <v>2761.7</v>
      </c>
      <c r="BV46" s="585">
        <f>SUM('Schedule 3B_Income_Eastern:Schedule 3D_Income_The Cape'!BV46)</f>
        <v>0</v>
      </c>
      <c r="BW46" s="585">
        <f>SUM('Schedule 3B_Income_Eastern:Schedule 3D_Income_The Cape'!BW46)</f>
        <v>3482.46</v>
      </c>
      <c r="BX46" s="585">
        <f>SUM('Schedule 3B_Income_Eastern:Schedule 3D_Income_The Cape'!BX46)</f>
        <v>0</v>
      </c>
      <c r="BY46" s="585">
        <f>SUM('Schedule 3B_Income_Eastern:Schedule 3D_Income_The Cape'!BY46)</f>
        <v>7666.340000000002</v>
      </c>
      <c r="BZ46" s="585">
        <f>SUM('Schedule 3B_Income_Eastern:Schedule 3D_Income_The Cape'!BZ46)</f>
        <v>0</v>
      </c>
      <c r="CA46" s="585">
        <f>SUM('Schedule 3B_Income_Eastern:Schedule 3D_Income_The Cape'!CA46)</f>
        <v>13434.61</v>
      </c>
      <c r="CB46" s="588">
        <f t="shared" si="135"/>
        <v>27345.11</v>
      </c>
      <c r="CC46" s="589">
        <f t="shared" si="136"/>
        <v>28621.29</v>
      </c>
      <c r="CD46" s="300">
        <v>24</v>
      </c>
      <c r="CE46" s="414">
        <f t="shared" si="101"/>
        <v>56234.130000000005</v>
      </c>
      <c r="CF46" s="414">
        <f t="shared" si="102"/>
        <v>48526.12</v>
      </c>
      <c r="CG46" s="414">
        <f t="shared" si="103"/>
        <v>128608.86999999956</v>
      </c>
      <c r="CH46" s="414">
        <f t="shared" si="104"/>
        <v>143761.88999999975</v>
      </c>
      <c r="CI46" s="416">
        <f t="shared" si="105"/>
        <v>377131.00999999925</v>
      </c>
      <c r="CJ46" s="414">
        <f t="shared" si="106"/>
        <v>536764.79999999935</v>
      </c>
      <c r="CK46" s="414">
        <f t="shared" si="107"/>
        <v>536880.80000000005</v>
      </c>
      <c r="CL46" s="414">
        <f t="shared" si="108"/>
        <v>831065.91000000481</v>
      </c>
      <c r="CM46" s="414">
        <f t="shared" si="109"/>
        <v>919126.76999999874</v>
      </c>
      <c r="CN46" s="416">
        <f t="shared" si="110"/>
        <v>2823838.2800000026</v>
      </c>
      <c r="CO46" s="414">
        <f t="shared" si="111"/>
        <v>592998.92999999935</v>
      </c>
      <c r="CP46" s="414">
        <f t="shared" si="112"/>
        <v>585406.92000000004</v>
      </c>
      <c r="CQ46" s="414">
        <f t="shared" si="113"/>
        <v>959674.78000000434</v>
      </c>
      <c r="CR46" s="414">
        <f t="shared" si="114"/>
        <v>1062888.6599999988</v>
      </c>
      <c r="CS46" s="416">
        <f t="shared" si="115"/>
        <v>3200969.2900000024</v>
      </c>
    </row>
    <row r="47" spans="1:101" ht="15.75" customHeight="1">
      <c r="A47" s="88" t="s">
        <v>212</v>
      </c>
      <c r="B47" s="300">
        <v>25</v>
      </c>
      <c r="C47" s="585">
        <f>SUM('Schedule 3B_Income_Eastern:Schedule 3D_Income_The Cape'!C47)</f>
        <v>5033.4495620064627</v>
      </c>
      <c r="D47" s="585">
        <f>SUM('Schedule 3B_Income_Eastern:Schedule 3D_Income_The Cape'!D47)</f>
        <v>0</v>
      </c>
      <c r="E47" s="585">
        <f>SUM('Schedule 3B_Income_Eastern:Schedule 3D_Income_The Cape'!E47)</f>
        <v>4912.6343654715956</v>
      </c>
      <c r="F47" s="585">
        <f>SUM('Schedule 3B_Income_Eastern:Schedule 3D_Income_The Cape'!F47)</f>
        <v>0</v>
      </c>
      <c r="G47" s="585">
        <f>SUM('Schedule 3B_Income_Eastern:Schedule 3D_Income_The Cape'!G47)</f>
        <v>11132.039222655085</v>
      </c>
      <c r="H47" s="585">
        <f>SUM('Schedule 3B_Income_Eastern:Schedule 3D_Income_The Cape'!H47)</f>
        <v>0</v>
      </c>
      <c r="I47" s="585">
        <f>SUM('Schedule 3B_Income_Eastern:Schedule 3D_Income_The Cape'!I47)</f>
        <v>13982.821937356492</v>
      </c>
      <c r="J47" s="585">
        <f>SUM('Schedule 3B_Income_Eastern:Schedule 3D_Income_The Cape'!J47)</f>
        <v>0</v>
      </c>
      <c r="K47" s="586">
        <f t="shared" si="126"/>
        <v>35060.945087489636</v>
      </c>
      <c r="L47" s="587">
        <f>SUM('Schedule 3B_Income_Eastern:Schedule 3D_Income_The Cape'!L47)</f>
        <v>0</v>
      </c>
      <c r="M47" s="585">
        <f>SUM('Schedule 3B_Income_Eastern:Schedule 3D_Income_The Cape'!M47)</f>
        <v>36364.24799595309</v>
      </c>
      <c r="N47" s="585">
        <f>SUM('Schedule 3B_Income_Eastern:Schedule 3D_Income_The Cape'!N47)</f>
        <v>0</v>
      </c>
      <c r="O47" s="585">
        <f>SUM('Schedule 3B_Income_Eastern:Schedule 3D_Income_The Cape'!O47)</f>
        <v>33627.785213203962</v>
      </c>
      <c r="P47" s="585">
        <f>SUM('Schedule 3B_Income_Eastern:Schedule 3D_Income_The Cape'!P47)</f>
        <v>0</v>
      </c>
      <c r="Q47" s="585">
        <f>SUM('Schedule 3B_Income_Eastern:Schedule 3D_Income_The Cape'!Q47)</f>
        <v>76543.569165983034</v>
      </c>
      <c r="R47" s="585">
        <f>SUM('Schedule 3B_Income_Eastern:Schedule 3D_Income_The Cape'!R47)</f>
        <v>0</v>
      </c>
      <c r="S47" s="585">
        <f>SUM('Schedule 3B_Income_Eastern:Schedule 3D_Income_The Cape'!S47)</f>
        <v>85366.735822783099</v>
      </c>
      <c r="T47" s="588">
        <f>SUM(L47:S47)</f>
        <v>231902.33819792321</v>
      </c>
      <c r="U47" s="589">
        <f t="shared" si="127"/>
        <v>266963.28328541282</v>
      </c>
      <c r="V47" s="300">
        <v>25</v>
      </c>
      <c r="W47" s="585">
        <f>SUM('Schedule 3B_Income_Eastern:Schedule 3D_Income_The Cape'!W47)</f>
        <v>459.23137166650281</v>
      </c>
      <c r="X47" s="585">
        <f>SUM('Schedule 3B_Income_Eastern:Schedule 3D_Income_The Cape'!X47)</f>
        <v>0</v>
      </c>
      <c r="Y47" s="585">
        <f>SUM('Schedule 3B_Income_Eastern:Schedule 3D_Income_The Cape'!Y47)</f>
        <v>134.6437607026794</v>
      </c>
      <c r="Z47" s="585">
        <f>SUM('Schedule 3B_Income_Eastern:Schedule 3D_Income_The Cape'!Z47)</f>
        <v>0</v>
      </c>
      <c r="AA47" s="585">
        <f>SUM('Schedule 3B_Income_Eastern:Schedule 3D_Income_The Cape'!AA47)</f>
        <v>917.87606074719406</v>
      </c>
      <c r="AB47" s="585">
        <f>SUM('Schedule 3B_Income_Eastern:Schedule 3D_Income_The Cape'!AB47)</f>
        <v>0</v>
      </c>
      <c r="AC47" s="585">
        <f>SUM('Schedule 3B_Income_Eastern:Schedule 3D_Income_The Cape'!AC47)</f>
        <v>1335.589405612197</v>
      </c>
      <c r="AD47" s="585">
        <f>SUM('Schedule 3B_Income_Eastern:Schedule 3D_Income_The Cape'!AD47)</f>
        <v>0</v>
      </c>
      <c r="AE47" s="586">
        <f t="shared" si="128"/>
        <v>2847.3405987285732</v>
      </c>
      <c r="AF47" s="587">
        <f>SUM('Schedule 3B_Income_Eastern:Schedule 3D_Income_The Cape'!AF47)</f>
        <v>0</v>
      </c>
      <c r="AG47" s="585">
        <f>SUM('Schedule 3B_Income_Eastern:Schedule 3D_Income_The Cape'!AG47)</f>
        <v>9583.6883132727271</v>
      </c>
      <c r="AH47" s="585">
        <f>SUM('Schedule 3B_Income_Eastern:Schedule 3D_Income_The Cape'!AH47)</f>
        <v>0</v>
      </c>
      <c r="AI47" s="585">
        <f>SUM('Schedule 3B_Income_Eastern:Schedule 3D_Income_The Cape'!AI47)</f>
        <v>7251.034399539154</v>
      </c>
      <c r="AJ47" s="585">
        <f>SUM('Schedule 3B_Income_Eastern:Schedule 3D_Income_The Cape'!AJ47)</f>
        <v>0</v>
      </c>
      <c r="AK47" s="585">
        <f>SUM('Schedule 3B_Income_Eastern:Schedule 3D_Income_The Cape'!AK47)</f>
        <v>20737.147356265465</v>
      </c>
      <c r="AL47" s="585">
        <f>SUM('Schedule 3B_Income_Eastern:Schedule 3D_Income_The Cape'!AL47)</f>
        <v>0</v>
      </c>
      <c r="AM47" s="585">
        <f>SUM('Schedule 3B_Income_Eastern:Schedule 3D_Income_The Cape'!AM47)</f>
        <v>25182.525812297728</v>
      </c>
      <c r="AN47" s="588">
        <f t="shared" si="129"/>
        <v>62754.39588137508</v>
      </c>
      <c r="AO47" s="589">
        <f t="shared" si="130"/>
        <v>65601.73648010366</v>
      </c>
      <c r="AP47" s="300">
        <v>25</v>
      </c>
      <c r="AQ47" s="585">
        <f>SUM('Schedule 3B_Income_Eastern:Schedule 3D_Income_The Cape'!AQ47)</f>
        <v>35285.117578877114</v>
      </c>
      <c r="AR47" s="585">
        <f>SUM('Schedule 3B_Income_Eastern:Schedule 3D_Income_The Cape'!AR47)</f>
        <v>0</v>
      </c>
      <c r="AS47" s="585">
        <f>SUM('Schedule 3B_Income_Eastern:Schedule 3D_Income_The Cape'!AS47)</f>
        <v>31700.411913811688</v>
      </c>
      <c r="AT47" s="585">
        <f>SUM('Schedule 3B_Income_Eastern:Schedule 3D_Income_The Cape'!AT47)</f>
        <v>0</v>
      </c>
      <c r="AU47" s="585">
        <f>SUM('Schedule 3B_Income_Eastern:Schedule 3D_Income_The Cape'!AU47)</f>
        <v>89042.847368674134</v>
      </c>
      <c r="AV47" s="585">
        <f>SUM('Schedule 3B_Income_Eastern:Schedule 3D_Income_The Cape'!AV47)</f>
        <v>0</v>
      </c>
      <c r="AW47" s="585">
        <f>SUM('Schedule 3B_Income_Eastern:Schedule 3D_Income_The Cape'!AW47)</f>
        <v>100309.45136675907</v>
      </c>
      <c r="AX47" s="585">
        <f>SUM('Schedule 3B_Income_Eastern:Schedule 3D_Income_The Cape'!AX47)</f>
        <v>0</v>
      </c>
      <c r="AY47" s="586">
        <f t="shared" si="131"/>
        <v>256337.82822812203</v>
      </c>
      <c r="AZ47" s="587">
        <f>SUM('Schedule 3B_Income_Eastern:Schedule 3D_Income_The Cape'!AZ47)</f>
        <v>0</v>
      </c>
      <c r="BA47" s="585">
        <f>SUM('Schedule 3B_Income_Eastern:Schedule 3D_Income_The Cape'!BA47)</f>
        <v>309197.18074807106</v>
      </c>
      <c r="BB47" s="585">
        <f>SUM('Schedule 3B_Income_Eastern:Schedule 3D_Income_The Cape'!BB47)</f>
        <v>0</v>
      </c>
      <c r="BC47" s="585">
        <f>SUM('Schedule 3B_Income_Eastern:Schedule 3D_Income_The Cape'!BC47)</f>
        <v>313902.69541091693</v>
      </c>
      <c r="BD47" s="585">
        <f>SUM('Schedule 3B_Income_Eastern:Schedule 3D_Income_The Cape'!BD47)</f>
        <v>0</v>
      </c>
      <c r="BE47" s="585">
        <f>SUM('Schedule 3B_Income_Eastern:Schedule 3D_Income_The Cape'!BE47)</f>
        <v>547994.31742046238</v>
      </c>
      <c r="BF47" s="585">
        <f>SUM('Schedule 3B_Income_Eastern:Schedule 3D_Income_The Cape'!BF47)</f>
        <v>0</v>
      </c>
      <c r="BG47" s="585">
        <f>SUM('Schedule 3B_Income_Eastern:Schedule 3D_Income_The Cape'!BG47)</f>
        <v>617987.75268629333</v>
      </c>
      <c r="BH47" s="588">
        <f t="shared" si="132"/>
        <v>1789081.9462657436</v>
      </c>
      <c r="BI47" s="589">
        <f t="shared" si="133"/>
        <v>2045419.7744938657</v>
      </c>
      <c r="BJ47" s="300">
        <v>25</v>
      </c>
      <c r="BK47" s="585">
        <f>SUM('Schedule 3B_Income_Eastern:Schedule 3D_Income_The Cape'!BK47)</f>
        <v>204.32713313571176</v>
      </c>
      <c r="BL47" s="585">
        <f>SUM('Schedule 3B_Income_Eastern:Schedule 3D_Income_The Cape'!BL47)</f>
        <v>0</v>
      </c>
      <c r="BM47" s="585">
        <f>SUM('Schedule 3B_Income_Eastern:Schedule 3D_Income_The Cape'!BM47)</f>
        <v>0</v>
      </c>
      <c r="BN47" s="585">
        <f>SUM('Schedule 3B_Income_Eastern:Schedule 3D_Income_The Cape'!BN47)</f>
        <v>0</v>
      </c>
      <c r="BO47" s="585">
        <f>SUM('Schedule 3B_Income_Eastern:Schedule 3D_Income_The Cape'!BO47)</f>
        <v>664.00016179801582</v>
      </c>
      <c r="BP47" s="585">
        <f>SUM('Schedule 3B_Income_Eastern:Schedule 3D_Income_The Cape'!BP47)</f>
        <v>0</v>
      </c>
      <c r="BQ47" s="585">
        <f>SUM('Schedule 3B_Income_Eastern:Schedule 3D_Income_The Cape'!BQ47)</f>
        <v>126.08286060275144</v>
      </c>
      <c r="BR47" s="585">
        <f>SUM('Schedule 3B_Income_Eastern:Schedule 3D_Income_The Cape'!BR47)</f>
        <v>0</v>
      </c>
      <c r="BS47" s="586">
        <f t="shared" si="134"/>
        <v>994.41015553647901</v>
      </c>
      <c r="BT47" s="587">
        <f>SUM('Schedule 3B_Income_Eastern:Schedule 3D_Income_The Cape'!BT47)</f>
        <v>0</v>
      </c>
      <c r="BU47" s="585">
        <f>SUM('Schedule 3B_Income_Eastern:Schedule 3D_Income_The Cape'!BU47)</f>
        <v>1836.7014531884513</v>
      </c>
      <c r="BV47" s="585">
        <f>SUM('Schedule 3B_Income_Eastern:Schedule 3D_Income_The Cape'!BV47)</f>
        <v>0</v>
      </c>
      <c r="BW47" s="585">
        <f>SUM('Schedule 3B_Income_Eastern:Schedule 3D_Income_The Cape'!BW47)</f>
        <v>2316.3034868261775</v>
      </c>
      <c r="BX47" s="585">
        <f>SUM('Schedule 3B_Income_Eastern:Schedule 3D_Income_The Cape'!BX47)</f>
        <v>0</v>
      </c>
      <c r="BY47" s="585">
        <f>SUM('Schedule 3B_Income_Eastern:Schedule 3D_Income_The Cape'!BY47)</f>
        <v>6007.8945677811498</v>
      </c>
      <c r="BZ47" s="585">
        <f>SUM('Schedule 3B_Income_Eastern:Schedule 3D_Income_The Cape'!BZ47)</f>
        <v>0</v>
      </c>
      <c r="CA47" s="585">
        <f>SUM('Schedule 3B_Income_Eastern:Schedule 3D_Income_The Cape'!CA47)</f>
        <v>10806.774189115305</v>
      </c>
      <c r="CB47" s="588">
        <f t="shared" si="135"/>
        <v>20967.673696911086</v>
      </c>
      <c r="CC47" s="589">
        <f t="shared" si="136"/>
        <v>21962.083852447566</v>
      </c>
      <c r="CD47" s="300">
        <v>25</v>
      </c>
      <c r="CE47" s="414">
        <f t="shared" si="101"/>
        <v>40982.125645685788</v>
      </c>
      <c r="CF47" s="414">
        <f t="shared" si="102"/>
        <v>36747.690039985959</v>
      </c>
      <c r="CG47" s="414">
        <f t="shared" si="103"/>
        <v>101756.76281387443</v>
      </c>
      <c r="CH47" s="414">
        <f t="shared" si="104"/>
        <v>115753.9455703305</v>
      </c>
      <c r="CI47" s="416">
        <f t="shared" si="105"/>
        <v>295240.52406987676</v>
      </c>
      <c r="CJ47" s="414">
        <f t="shared" si="106"/>
        <v>356981.81851048529</v>
      </c>
      <c r="CK47" s="414">
        <f t="shared" si="107"/>
        <v>357097.81851048622</v>
      </c>
      <c r="CL47" s="414">
        <f t="shared" si="108"/>
        <v>651282.92851049197</v>
      </c>
      <c r="CM47" s="414">
        <f t="shared" si="109"/>
        <v>739343.78851048939</v>
      </c>
      <c r="CN47" s="416">
        <f t="shared" si="110"/>
        <v>2104706.3540419531</v>
      </c>
      <c r="CO47" s="414">
        <f t="shared" si="111"/>
        <v>397963.94415617111</v>
      </c>
      <c r="CP47" s="414">
        <f t="shared" si="112"/>
        <v>393845.50855047221</v>
      </c>
      <c r="CQ47" s="414">
        <f t="shared" si="113"/>
        <v>753039.69132436637</v>
      </c>
      <c r="CR47" s="414">
        <f t="shared" si="114"/>
        <v>855097.73408081988</v>
      </c>
      <c r="CS47" s="416">
        <f t="shared" si="115"/>
        <v>2399946.87811183</v>
      </c>
    </row>
    <row r="48" spans="1:101" ht="15.75" customHeight="1">
      <c r="A48" s="88" t="s">
        <v>213</v>
      </c>
      <c r="B48" s="300">
        <v>26</v>
      </c>
      <c r="C48" s="585">
        <f>SUM('Schedule 3B_Income_Eastern:Schedule 3D_Income_The Cape'!C48)</f>
        <v>21632.637462383016</v>
      </c>
      <c r="D48" s="585">
        <f>SUM('Schedule 3B_Income_Eastern:Schedule 3D_Income_The Cape'!D48)</f>
        <v>5617.68290075804</v>
      </c>
      <c r="E48" s="585">
        <f>SUM('Schedule 3B_Income_Eastern:Schedule 3D_Income_The Cape'!E48)</f>
        <v>27211.911145263628</v>
      </c>
      <c r="F48" s="585">
        <f>SUM('Schedule 3B_Income_Eastern:Schedule 3D_Income_The Cape'!F48)</f>
        <v>5398.861668459489</v>
      </c>
      <c r="G48" s="585">
        <f>SUM('Schedule 3B_Income_Eastern:Schedule 3D_Income_The Cape'!G48)</f>
        <v>36575.289610190295</v>
      </c>
      <c r="H48" s="585">
        <f>SUM('Schedule 3B_Income_Eastern:Schedule 3D_Income_The Cape'!H48)</f>
        <v>2211.3482378638232</v>
      </c>
      <c r="I48" s="585">
        <f>SUM('Schedule 3B_Income_Eastern:Schedule 3D_Income_The Cape'!I48)</f>
        <v>17226.715773122742</v>
      </c>
      <c r="J48" s="585">
        <f>SUM('Schedule 3B_Income_Eastern:Schedule 3D_Income_The Cape'!J48)</f>
        <v>2077.4883039358065</v>
      </c>
      <c r="K48" s="586">
        <f t="shared" si="89"/>
        <v>117951.93510197684</v>
      </c>
      <c r="L48" s="587">
        <f>SUM('Schedule 3B_Income_Eastern:Schedule 3D_Income_The Cape'!L48)</f>
        <v>0</v>
      </c>
      <c r="M48" s="585">
        <f>SUM('Schedule 3B_Income_Eastern:Schedule 3D_Income_The Cape'!M48)</f>
        <v>65140.793851459581</v>
      </c>
      <c r="N48" s="585">
        <f>SUM('Schedule 3B_Income_Eastern:Schedule 3D_Income_The Cape'!N48)</f>
        <v>0</v>
      </c>
      <c r="O48" s="585">
        <f>SUM('Schedule 3B_Income_Eastern:Schedule 3D_Income_The Cape'!O48)</f>
        <v>128503.74059042957</v>
      </c>
      <c r="P48" s="585">
        <f>SUM('Schedule 3B_Income_Eastern:Schedule 3D_Income_The Cape'!P48)</f>
        <v>0</v>
      </c>
      <c r="Q48" s="585">
        <f>SUM('Schedule 3B_Income_Eastern:Schedule 3D_Income_The Cape'!Q48)</f>
        <v>98863.394114276132</v>
      </c>
      <c r="R48" s="585">
        <f>SUM('Schedule 3B_Income_Eastern:Schedule 3D_Income_The Cape'!R48)</f>
        <v>0</v>
      </c>
      <c r="S48" s="585">
        <f>SUM('Schedule 3B_Income_Eastern:Schedule 3D_Income_The Cape'!S48)</f>
        <v>107672.13973172661</v>
      </c>
      <c r="T48" s="588">
        <f t="shared" si="90"/>
        <v>400180.06828789192</v>
      </c>
      <c r="U48" s="589">
        <f t="shared" si="91"/>
        <v>518132.00338986877</v>
      </c>
      <c r="V48" s="300">
        <v>26</v>
      </c>
      <c r="W48" s="585">
        <f>SUM('Schedule 3B_Income_Eastern:Schedule 3D_Income_The Cape'!W48)</f>
        <v>873.0263972632406</v>
      </c>
      <c r="X48" s="585">
        <f>SUM('Schedule 3B_Income_Eastern:Schedule 3D_Income_The Cape'!X48)</f>
        <v>4148.1579698548894</v>
      </c>
      <c r="Y48" s="585">
        <f>SUM('Schedule 3B_Income_Eastern:Schedule 3D_Income_The Cape'!Y48)</f>
        <v>619.81766195390912</v>
      </c>
      <c r="Z48" s="585">
        <f>SUM('Schedule 3B_Income_Eastern:Schedule 3D_Income_The Cape'!Z48)</f>
        <v>1187.8170299356041</v>
      </c>
      <c r="AA48" s="585">
        <f>SUM('Schedule 3B_Income_Eastern:Schedule 3D_Income_The Cape'!AA48)</f>
        <v>366.12424638749224</v>
      </c>
      <c r="AB48" s="585">
        <f>SUM('Schedule 3B_Income_Eastern:Schedule 3D_Income_The Cape'!AB48)</f>
        <v>527.03600342592586</v>
      </c>
      <c r="AC48" s="585">
        <f>SUM('Schedule 3B_Income_Eastern:Schedule 3D_Income_The Cape'!AC48)</f>
        <v>474.22121099502783</v>
      </c>
      <c r="AD48" s="585">
        <f>SUM('Schedule 3B_Income_Eastern:Schedule 3D_Income_The Cape'!AD48)</f>
        <v>376.95131602676355</v>
      </c>
      <c r="AE48" s="586">
        <f t="shared" si="92"/>
        <v>8573.151835842853</v>
      </c>
      <c r="AF48" s="587">
        <f>SUM('Schedule 3B_Income_Eastern:Schedule 3D_Income_The Cape'!AF48)</f>
        <v>0</v>
      </c>
      <c r="AG48" s="585">
        <f>SUM('Schedule 3B_Income_Eastern:Schedule 3D_Income_The Cape'!AG48)</f>
        <v>29476.829709707097</v>
      </c>
      <c r="AH48" s="585">
        <f>SUM('Schedule 3B_Income_Eastern:Schedule 3D_Income_The Cape'!AH48)</f>
        <v>0</v>
      </c>
      <c r="AI48" s="585">
        <f>SUM('Schedule 3B_Income_Eastern:Schedule 3D_Income_The Cape'!AI48)</f>
        <v>27999.602495640851</v>
      </c>
      <c r="AJ48" s="585">
        <f>SUM('Schedule 3B_Income_Eastern:Schedule 3D_Income_The Cape'!AJ48)</f>
        <v>0</v>
      </c>
      <c r="AK48" s="585">
        <f>SUM('Schedule 3B_Income_Eastern:Schedule 3D_Income_The Cape'!AK48)</f>
        <v>21177.134746068583</v>
      </c>
      <c r="AL48" s="585">
        <f>SUM('Schedule 3B_Income_Eastern:Schedule 3D_Income_The Cape'!AL48)</f>
        <v>0</v>
      </c>
      <c r="AM48" s="585">
        <f>SUM('Schedule 3B_Income_Eastern:Schedule 3D_Income_The Cape'!AM48)</f>
        <v>36696.847009429919</v>
      </c>
      <c r="AN48" s="588">
        <f t="shared" si="93"/>
        <v>115350.41396084646</v>
      </c>
      <c r="AO48" s="589">
        <f t="shared" si="94"/>
        <v>123923.56579668932</v>
      </c>
      <c r="AP48" s="300">
        <v>26</v>
      </c>
      <c r="AQ48" s="585">
        <f>SUM('Schedule 3B_Income_Eastern:Schedule 3D_Income_The Cape'!AQ48)</f>
        <v>82280.315285557503</v>
      </c>
      <c r="AR48" s="585">
        <f>SUM('Schedule 3B_Income_Eastern:Schedule 3D_Income_The Cape'!AR48)</f>
        <v>39480.790448117987</v>
      </c>
      <c r="AS48" s="585">
        <f>SUM('Schedule 3B_Income_Eastern:Schedule 3D_Income_The Cape'!AS48)</f>
        <v>88123.139613495092</v>
      </c>
      <c r="AT48" s="585">
        <f>SUM('Schedule 3B_Income_Eastern:Schedule 3D_Income_The Cape'!AT48)</f>
        <v>31986.260776673022</v>
      </c>
      <c r="AU48" s="585">
        <f>SUM('Schedule 3B_Income_Eastern:Schedule 3D_Income_The Cape'!AU48)</f>
        <v>86720.19100935648</v>
      </c>
      <c r="AV48" s="585">
        <f>SUM('Schedule 3B_Income_Eastern:Schedule 3D_Income_The Cape'!AV48)</f>
        <v>30191.743025646527</v>
      </c>
      <c r="AW48" s="585">
        <f>SUM('Schedule 3B_Income_Eastern:Schedule 3D_Income_The Cape'!AW48)</f>
        <v>98009.8714280118</v>
      </c>
      <c r="AX48" s="585">
        <f>SUM('Schedule 3B_Income_Eastern:Schedule 3D_Income_The Cape'!AX48)</f>
        <v>27640.353936402764</v>
      </c>
      <c r="AY48" s="586">
        <f t="shared" si="95"/>
        <v>484432.66552326118</v>
      </c>
      <c r="AZ48" s="587">
        <f>SUM('Schedule 3B_Income_Eastern:Schedule 3D_Income_The Cape'!AZ48)</f>
        <v>0</v>
      </c>
      <c r="BA48" s="585">
        <f>SUM('Schedule 3B_Income_Eastern:Schedule 3D_Income_The Cape'!BA48)</f>
        <v>388173.62453238026</v>
      </c>
      <c r="BB48" s="585">
        <f>SUM('Schedule 3B_Income_Eastern:Schedule 3D_Income_The Cape'!BB48)</f>
        <v>0</v>
      </c>
      <c r="BC48" s="585">
        <f>SUM('Schedule 3B_Income_Eastern:Schedule 3D_Income_The Cape'!BC48)</f>
        <v>400781.5649590026</v>
      </c>
      <c r="BD48" s="585">
        <f>SUM('Schedule 3B_Income_Eastern:Schedule 3D_Income_The Cape'!BD48)</f>
        <v>0</v>
      </c>
      <c r="BE48" s="585">
        <f>SUM('Schedule 3B_Income_Eastern:Schedule 3D_Income_The Cape'!BE48)</f>
        <v>451210.69641472958</v>
      </c>
      <c r="BF48" s="585">
        <f>SUM('Schedule 3B_Income_Eastern:Schedule 3D_Income_The Cape'!BF48)</f>
        <v>0</v>
      </c>
      <c r="BG48" s="585">
        <f>SUM('Schedule 3B_Income_Eastern:Schedule 3D_Income_The Cape'!BG48)</f>
        <v>462889.13284218119</v>
      </c>
      <c r="BH48" s="588">
        <f t="shared" si="96"/>
        <v>1703055.0187482936</v>
      </c>
      <c r="BI48" s="589">
        <f t="shared" si="97"/>
        <v>2187487.6842715549</v>
      </c>
      <c r="BJ48" s="300">
        <v>26</v>
      </c>
      <c r="BK48" s="585">
        <f>SUM('Schedule 3B_Income_Eastern:Schedule 3D_Income_The Cape'!BK48)</f>
        <v>1749.9330451895985</v>
      </c>
      <c r="BL48" s="585">
        <f>SUM('Schedule 3B_Income_Eastern:Schedule 3D_Income_The Cape'!BL48)</f>
        <v>6026.349300494172</v>
      </c>
      <c r="BM48" s="585">
        <f>SUM('Schedule 3B_Income_Eastern:Schedule 3D_Income_The Cape'!BM48)</f>
        <v>246.7799957282092</v>
      </c>
      <c r="BN48" s="585">
        <f>SUM('Schedule 3B_Income_Eastern:Schedule 3D_Income_The Cape'!BN48)</f>
        <v>1811.5083020435106</v>
      </c>
      <c r="BO48" s="585">
        <f>SUM('Schedule 3B_Income_Eastern:Schedule 3D_Income_The Cape'!BO48)</f>
        <v>1246.6013010611625</v>
      </c>
      <c r="BP48" s="585">
        <f>SUM('Schedule 3B_Income_Eastern:Schedule 3D_Income_The Cape'!BP48)</f>
        <v>2253.3475029105794</v>
      </c>
      <c r="BQ48" s="585">
        <f>SUM('Schedule 3B_Income_Eastern:Schedule 3D_Income_The Cape'!BQ48)</f>
        <v>1517.0487482780147</v>
      </c>
      <c r="BR48" s="585">
        <f>SUM('Schedule 3B_Income_Eastern:Schedule 3D_Income_The Cape'!BR48)</f>
        <v>2601.7462215529804</v>
      </c>
      <c r="BS48" s="586">
        <f t="shared" si="98"/>
        <v>17453.314417258229</v>
      </c>
      <c r="BT48" s="587">
        <f>SUM('Schedule 3B_Income_Eastern:Schedule 3D_Income_The Cape'!BT48)</f>
        <v>0</v>
      </c>
      <c r="BU48" s="585">
        <f>SUM('Schedule 3B_Income_Eastern:Schedule 3D_Income_The Cape'!BU48)</f>
        <v>29225.071983099169</v>
      </c>
      <c r="BV48" s="585">
        <f>SUM('Schedule 3B_Income_Eastern:Schedule 3D_Income_The Cape'!BV48)</f>
        <v>0</v>
      </c>
      <c r="BW48" s="585">
        <f>SUM('Schedule 3B_Income_Eastern:Schedule 3D_Income_The Cape'!BW48)</f>
        <v>23288.956679207186</v>
      </c>
      <c r="BX48" s="585">
        <f>SUM('Schedule 3B_Income_Eastern:Schedule 3D_Income_The Cape'!BX48)</f>
        <v>0</v>
      </c>
      <c r="BY48" s="585">
        <f>SUM('Schedule 3B_Income_Eastern:Schedule 3D_Income_The Cape'!BY48)</f>
        <v>26147.461379014869</v>
      </c>
      <c r="BZ48" s="585">
        <f>SUM('Schedule 3B_Income_Eastern:Schedule 3D_Income_The Cape'!BZ48)</f>
        <v>0</v>
      </c>
      <c r="CA48" s="585">
        <f>SUM('Schedule 3B_Income_Eastern:Schedule 3D_Income_The Cape'!CA48)</f>
        <v>32947.716310038013</v>
      </c>
      <c r="CB48" s="588">
        <f t="shared" si="99"/>
        <v>111609.20635135924</v>
      </c>
      <c r="CC48" s="589">
        <f t="shared" si="100"/>
        <v>129062.52076861747</v>
      </c>
      <c r="CD48" s="300">
        <v>26</v>
      </c>
      <c r="CE48" s="414">
        <f t="shared" si="101"/>
        <v>161808.89280961844</v>
      </c>
      <c r="CF48" s="414">
        <f t="shared" si="102"/>
        <v>156586.09619355245</v>
      </c>
      <c r="CG48" s="414">
        <f t="shared" si="103"/>
        <v>160091.68093684228</v>
      </c>
      <c r="CH48" s="414">
        <f t="shared" si="104"/>
        <v>149924.3969383259</v>
      </c>
      <c r="CI48" s="416">
        <f t="shared" si="105"/>
        <v>628411.06687833916</v>
      </c>
      <c r="CJ48" s="414">
        <f t="shared" si="106"/>
        <v>512016.32007664611</v>
      </c>
      <c r="CK48" s="414">
        <f t="shared" si="107"/>
        <v>580573.8647242802</v>
      </c>
      <c r="CL48" s="414">
        <f t="shared" si="108"/>
        <v>597398.68665408914</v>
      </c>
      <c r="CM48" s="414">
        <f t="shared" si="109"/>
        <v>640205.83589337568</v>
      </c>
      <c r="CN48" s="416">
        <f t="shared" si="110"/>
        <v>2330194.7073483914</v>
      </c>
      <c r="CO48" s="414">
        <f t="shared" si="111"/>
        <v>673825.21288626455</v>
      </c>
      <c r="CP48" s="414">
        <f t="shared" si="112"/>
        <v>737159.96091783268</v>
      </c>
      <c r="CQ48" s="414">
        <f t="shared" si="113"/>
        <v>757490.36759093136</v>
      </c>
      <c r="CR48" s="414">
        <f t="shared" si="114"/>
        <v>790130.23283170164</v>
      </c>
      <c r="CS48" s="416">
        <f t="shared" si="115"/>
        <v>2958605.7742267302</v>
      </c>
    </row>
    <row r="49" spans="1:101" ht="15.75" customHeight="1">
      <c r="A49" s="88" t="s">
        <v>214</v>
      </c>
      <c r="B49" s="300">
        <v>27</v>
      </c>
      <c r="C49" s="585">
        <f>SUM('Schedule 3B_Income_Eastern:Schedule 3D_Income_The Cape'!C49)</f>
        <v>22584.208933636262</v>
      </c>
      <c r="D49" s="585">
        <f>SUM('Schedule 3B_Income_Eastern:Schedule 3D_Income_The Cape'!D49)</f>
        <v>311763.379827909</v>
      </c>
      <c r="E49" s="585">
        <f>SUM('Schedule 3B_Income_Eastern:Schedule 3D_Income_The Cape'!E49)</f>
        <v>113150.41470653248</v>
      </c>
      <c r="F49" s="585">
        <f>SUM('Schedule 3B_Income_Eastern:Schedule 3D_Income_The Cape'!F49)</f>
        <v>1036661.9253551993</v>
      </c>
      <c r="G49" s="585">
        <f>SUM('Schedule 3B_Income_Eastern:Schedule 3D_Income_The Cape'!G49)</f>
        <v>114635.42110832295</v>
      </c>
      <c r="H49" s="585">
        <f>SUM('Schedule 3B_Income_Eastern:Schedule 3D_Income_The Cape'!H49)</f>
        <v>857206.33626432135</v>
      </c>
      <c r="I49" s="585">
        <f>SUM('Schedule 3B_Income_Eastern:Schedule 3D_Income_The Cape'!I49)</f>
        <v>118605.19724793032</v>
      </c>
      <c r="J49" s="585">
        <f>SUM('Schedule 3B_Income_Eastern:Schedule 3D_Income_The Cape'!J49)</f>
        <v>399270.22659896896</v>
      </c>
      <c r="K49" s="586">
        <f t="shared" si="89"/>
        <v>2973877.1100428207</v>
      </c>
      <c r="L49" s="587">
        <f>SUM('Schedule 3B_Income_Eastern:Schedule 3D_Income_The Cape'!L49)</f>
        <v>0</v>
      </c>
      <c r="M49" s="585">
        <f>SUM('Schedule 3B_Income_Eastern:Schedule 3D_Income_The Cape'!M49)</f>
        <v>167319.81154116083</v>
      </c>
      <c r="N49" s="585">
        <f>SUM('Schedule 3B_Income_Eastern:Schedule 3D_Income_The Cape'!N49)</f>
        <v>0</v>
      </c>
      <c r="O49" s="585">
        <f>SUM('Schedule 3B_Income_Eastern:Schedule 3D_Income_The Cape'!O49)</f>
        <v>878699.58955005754</v>
      </c>
      <c r="P49" s="585">
        <f>SUM('Schedule 3B_Income_Eastern:Schedule 3D_Income_The Cape'!P49)</f>
        <v>0</v>
      </c>
      <c r="Q49" s="585">
        <f>SUM('Schedule 3B_Income_Eastern:Schedule 3D_Income_The Cape'!Q49)</f>
        <v>468186.98689652176</v>
      </c>
      <c r="R49" s="585">
        <f>SUM('Schedule 3B_Income_Eastern:Schedule 3D_Income_The Cape'!R49)</f>
        <v>0</v>
      </c>
      <c r="S49" s="585">
        <f>SUM('Schedule 3B_Income_Eastern:Schedule 3D_Income_The Cape'!S49)</f>
        <v>285633.21712805668</v>
      </c>
      <c r="T49" s="588">
        <f t="shared" si="90"/>
        <v>1799839.6051157969</v>
      </c>
      <c r="U49" s="589">
        <f t="shared" si="91"/>
        <v>4773716.7151586171</v>
      </c>
      <c r="V49" s="300">
        <v>27</v>
      </c>
      <c r="W49" s="585">
        <f>SUM('Schedule 3B_Income_Eastern:Schedule 3D_Income_The Cape'!W49)</f>
        <v>7376.4765183381587</v>
      </c>
      <c r="X49" s="585">
        <f>SUM('Schedule 3B_Income_Eastern:Schedule 3D_Income_The Cape'!X49)</f>
        <v>4626.0988447029094</v>
      </c>
      <c r="Y49" s="585">
        <f>SUM('Schedule 3B_Income_Eastern:Schedule 3D_Income_The Cape'!Y49)</f>
        <v>0</v>
      </c>
      <c r="Z49" s="585">
        <f>SUM('Schedule 3B_Income_Eastern:Schedule 3D_Income_The Cape'!Z49)</f>
        <v>0</v>
      </c>
      <c r="AA49" s="585">
        <f>SUM('Schedule 3B_Income_Eastern:Schedule 3D_Income_The Cape'!AA49)</f>
        <v>0</v>
      </c>
      <c r="AB49" s="585">
        <f>SUM('Schedule 3B_Income_Eastern:Schedule 3D_Income_The Cape'!AB49)</f>
        <v>0</v>
      </c>
      <c r="AC49" s="585">
        <f>SUM('Schedule 3B_Income_Eastern:Schedule 3D_Income_The Cape'!AC49)</f>
        <v>0</v>
      </c>
      <c r="AD49" s="585">
        <f>SUM('Schedule 3B_Income_Eastern:Schedule 3D_Income_The Cape'!AD49)</f>
        <v>0</v>
      </c>
      <c r="AE49" s="586">
        <f t="shared" si="92"/>
        <v>12002.575363041069</v>
      </c>
      <c r="AF49" s="587">
        <f>SUM('Schedule 3B_Income_Eastern:Schedule 3D_Income_The Cape'!AF49)</f>
        <v>0</v>
      </c>
      <c r="AG49" s="585">
        <f>SUM('Schedule 3B_Income_Eastern:Schedule 3D_Income_The Cape'!AG49)</f>
        <v>65507.022372429637</v>
      </c>
      <c r="AH49" s="585">
        <f>SUM('Schedule 3B_Income_Eastern:Schedule 3D_Income_The Cape'!AH49)</f>
        <v>0</v>
      </c>
      <c r="AI49" s="585">
        <f>SUM('Schedule 3B_Income_Eastern:Schedule 3D_Income_The Cape'!AI49)</f>
        <v>18459.90264250273</v>
      </c>
      <c r="AJ49" s="585">
        <f>SUM('Schedule 3B_Income_Eastern:Schedule 3D_Income_The Cape'!AJ49)</f>
        <v>0</v>
      </c>
      <c r="AK49" s="585">
        <f>SUM('Schedule 3B_Income_Eastern:Schedule 3D_Income_The Cape'!AK49)</f>
        <v>105.53108284487713</v>
      </c>
      <c r="AL49" s="585">
        <f>SUM('Schedule 3B_Income_Eastern:Schedule 3D_Income_The Cape'!AL49)</f>
        <v>0</v>
      </c>
      <c r="AM49" s="585">
        <f>SUM('Schedule 3B_Income_Eastern:Schedule 3D_Income_The Cape'!AM49)</f>
        <v>2004.1351352337779</v>
      </c>
      <c r="AN49" s="588">
        <f t="shared" si="93"/>
        <v>86076.591233011015</v>
      </c>
      <c r="AO49" s="589">
        <f t="shared" si="94"/>
        <v>98079.166596052091</v>
      </c>
      <c r="AP49" s="300">
        <v>27</v>
      </c>
      <c r="AQ49" s="585">
        <f>SUM('Schedule 3B_Income_Eastern:Schedule 3D_Income_The Cape'!AQ49)</f>
        <v>246121.60938773598</v>
      </c>
      <c r="AR49" s="585">
        <f>SUM('Schedule 3B_Income_Eastern:Schedule 3D_Income_The Cape'!AR49)</f>
        <v>841575.9355721341</v>
      </c>
      <c r="AS49" s="585">
        <f>SUM('Schedule 3B_Income_Eastern:Schedule 3D_Income_The Cape'!AS49)</f>
        <v>84326.311018906359</v>
      </c>
      <c r="AT49" s="585">
        <f>SUM('Schedule 3B_Income_Eastern:Schedule 3D_Income_The Cape'!AT49)</f>
        <v>215586.39369912125</v>
      </c>
      <c r="AU49" s="585">
        <f>SUM('Schedule 3B_Income_Eastern:Schedule 3D_Income_The Cape'!AU49)</f>
        <v>110900.08948868717</v>
      </c>
      <c r="AV49" s="585">
        <f>SUM('Schedule 3B_Income_Eastern:Schedule 3D_Income_The Cape'!AV49)</f>
        <v>184133.81298275327</v>
      </c>
      <c r="AW49" s="585">
        <f>SUM('Schedule 3B_Income_Eastern:Schedule 3D_Income_The Cape'!AW49)</f>
        <v>127310.60906339204</v>
      </c>
      <c r="AX49" s="585">
        <f>SUM('Schedule 3B_Income_Eastern:Schedule 3D_Income_The Cape'!AX49)</f>
        <v>146713.4441638572</v>
      </c>
      <c r="AY49" s="586">
        <f t="shared" si="95"/>
        <v>1956668.2053765876</v>
      </c>
      <c r="AZ49" s="587">
        <f>SUM('Schedule 3B_Income_Eastern:Schedule 3D_Income_The Cape'!AZ49)</f>
        <v>0</v>
      </c>
      <c r="BA49" s="585">
        <f>SUM('Schedule 3B_Income_Eastern:Schedule 3D_Income_The Cape'!BA49)</f>
        <v>1762744.6147642331</v>
      </c>
      <c r="BB49" s="585">
        <f>SUM('Schedule 3B_Income_Eastern:Schedule 3D_Income_The Cape'!BB49)</f>
        <v>0</v>
      </c>
      <c r="BC49" s="585">
        <f>SUM('Schedule 3B_Income_Eastern:Schedule 3D_Income_The Cape'!BC49)</f>
        <v>1181358.0123001162</v>
      </c>
      <c r="BD49" s="585">
        <f>SUM('Schedule 3B_Income_Eastern:Schedule 3D_Income_The Cape'!BD49)</f>
        <v>0</v>
      </c>
      <c r="BE49" s="585">
        <f>SUM('Schedule 3B_Income_Eastern:Schedule 3D_Income_The Cape'!BE49)</f>
        <v>939543.45218724431</v>
      </c>
      <c r="BF49" s="585">
        <f>SUM('Schedule 3B_Income_Eastern:Schedule 3D_Income_The Cape'!BF49)</f>
        <v>0</v>
      </c>
      <c r="BG49" s="585">
        <f>SUM('Schedule 3B_Income_Eastern:Schedule 3D_Income_The Cape'!BG49)</f>
        <v>1308408.5722558731</v>
      </c>
      <c r="BH49" s="588">
        <f t="shared" si="96"/>
        <v>5192054.651507467</v>
      </c>
      <c r="BI49" s="589">
        <f t="shared" si="97"/>
        <v>7148722.8568840548</v>
      </c>
      <c r="BJ49" s="300">
        <v>27</v>
      </c>
      <c r="BK49" s="585">
        <f>SUM('Schedule 3B_Income_Eastern:Schedule 3D_Income_The Cape'!BK49)</f>
        <v>432635.53813582711</v>
      </c>
      <c r="BL49" s="585">
        <f>SUM('Schedule 3B_Income_Eastern:Schedule 3D_Income_The Cape'!BL49)</f>
        <v>5656960.6380889826</v>
      </c>
      <c r="BM49" s="585">
        <f>SUM('Schedule 3B_Income_Eastern:Schedule 3D_Income_The Cape'!BM49)</f>
        <v>393233.81877571676</v>
      </c>
      <c r="BN49" s="585">
        <f>SUM('Schedule 3B_Income_Eastern:Schedule 3D_Income_The Cape'!BN49)</f>
        <v>4380963.8710260829</v>
      </c>
      <c r="BO49" s="585">
        <f>SUM('Schedule 3B_Income_Eastern:Schedule 3D_Income_The Cape'!BO49)</f>
        <v>423004.51736031234</v>
      </c>
      <c r="BP49" s="585">
        <f>SUM('Schedule 3B_Income_Eastern:Schedule 3D_Income_The Cape'!BP49)</f>
        <v>5204458.684967123</v>
      </c>
      <c r="BQ49" s="585">
        <f>SUM('Schedule 3B_Income_Eastern:Schedule 3D_Income_The Cape'!BQ49)</f>
        <v>501700.31184218422</v>
      </c>
      <c r="BR49" s="585">
        <f>SUM('Schedule 3B_Income_Eastern:Schedule 3D_Income_The Cape'!BR49)</f>
        <v>5616513.3478613757</v>
      </c>
      <c r="BS49" s="586">
        <f t="shared" si="98"/>
        <v>22609470.728057604</v>
      </c>
      <c r="BT49" s="587">
        <f>SUM('Schedule 3B_Income_Eastern:Schedule 3D_Income_The Cape'!BT49)</f>
        <v>0</v>
      </c>
      <c r="BU49" s="585">
        <f>SUM('Schedule 3B_Income_Eastern:Schedule 3D_Income_The Cape'!BU49)</f>
        <v>330937.81724097632</v>
      </c>
      <c r="BV49" s="585">
        <f>SUM('Schedule 3B_Income_Eastern:Schedule 3D_Income_The Cape'!BV49)</f>
        <v>0</v>
      </c>
      <c r="BW49" s="585">
        <f>SUM('Schedule 3B_Income_Eastern:Schedule 3D_Income_The Cape'!BW49)</f>
        <v>1092609.7640524153</v>
      </c>
      <c r="BX49" s="585">
        <f>SUM('Schedule 3B_Income_Eastern:Schedule 3D_Income_The Cape'!BX49)</f>
        <v>0</v>
      </c>
      <c r="BY49" s="585">
        <f>SUM('Schedule 3B_Income_Eastern:Schedule 3D_Income_The Cape'!BY49)</f>
        <v>527597.18878921436</v>
      </c>
      <c r="BZ49" s="585">
        <f>SUM('Schedule 3B_Income_Eastern:Schedule 3D_Income_The Cape'!BZ49)</f>
        <v>0</v>
      </c>
      <c r="CA49" s="585">
        <f>SUM('Schedule 3B_Income_Eastern:Schedule 3D_Income_The Cape'!CA49)</f>
        <v>336725.0606725699</v>
      </c>
      <c r="CB49" s="588">
        <f t="shared" si="99"/>
        <v>2287869.830755176</v>
      </c>
      <c r="CC49" s="589">
        <f t="shared" si="100"/>
        <v>24897340.558812782</v>
      </c>
      <c r="CD49" s="300">
        <v>27</v>
      </c>
      <c r="CE49" s="414">
        <f t="shared" si="101"/>
        <v>7523643.8853092659</v>
      </c>
      <c r="CF49" s="414">
        <f t="shared" si="102"/>
        <v>6223922.734581559</v>
      </c>
      <c r="CG49" s="414">
        <f t="shared" si="103"/>
        <v>6894338.8621715195</v>
      </c>
      <c r="CH49" s="414">
        <f t="shared" si="104"/>
        <v>6910113.1367777083</v>
      </c>
      <c r="CI49" s="416">
        <f t="shared" si="105"/>
        <v>27552018.618840054</v>
      </c>
      <c r="CJ49" s="414">
        <f t="shared" si="106"/>
        <v>2326509.2659188001</v>
      </c>
      <c r="CK49" s="414">
        <f t="shared" si="107"/>
        <v>3171127.2685450916</v>
      </c>
      <c r="CL49" s="414">
        <f t="shared" si="108"/>
        <v>1935433.1589558255</v>
      </c>
      <c r="CM49" s="414">
        <f t="shared" si="109"/>
        <v>1932770.9851917336</v>
      </c>
      <c r="CN49" s="416">
        <f t="shared" si="110"/>
        <v>9365840.6786114499</v>
      </c>
      <c r="CO49" s="414">
        <f t="shared" si="111"/>
        <v>9850153.1512280647</v>
      </c>
      <c r="CP49" s="414">
        <f t="shared" si="112"/>
        <v>9395050.003126651</v>
      </c>
      <c r="CQ49" s="414">
        <f t="shared" si="113"/>
        <v>8829772.021127345</v>
      </c>
      <c r="CR49" s="414">
        <f t="shared" si="114"/>
        <v>8842884.1219694428</v>
      </c>
      <c r="CS49" s="416">
        <f t="shared" si="115"/>
        <v>36917859.297451504</v>
      </c>
    </row>
    <row r="50" spans="1:101" ht="15.75" customHeight="1">
      <c r="A50" s="88" t="s">
        <v>215</v>
      </c>
      <c r="B50" s="300">
        <v>28</v>
      </c>
      <c r="C50" s="585">
        <f>SUM('Schedule 3B_Income_Eastern:Schedule 3D_Income_The Cape'!C50)</f>
        <v>46246.16748959932</v>
      </c>
      <c r="D50" s="585">
        <f>SUM('Schedule 3B_Income_Eastern:Schedule 3D_Income_The Cape'!D50)</f>
        <v>175949.76630612611</v>
      </c>
      <c r="E50" s="585">
        <f>SUM('Schedule 3B_Income_Eastern:Schedule 3D_Income_The Cape'!E50)</f>
        <v>231702.6538427792</v>
      </c>
      <c r="F50" s="585">
        <f>SUM('Schedule 3B_Income_Eastern:Schedule 3D_Income_The Cape'!F50)</f>
        <v>896238.38244991086</v>
      </c>
      <c r="G50" s="585">
        <f>SUM('Schedule 3B_Income_Eastern:Schedule 3D_Income_The Cape'!G50)</f>
        <v>180615.12078818277</v>
      </c>
      <c r="H50" s="585">
        <f>SUM('Schedule 3B_Income_Eastern:Schedule 3D_Income_The Cape'!H50)</f>
        <v>777985.742661278</v>
      </c>
      <c r="I50" s="585">
        <f>SUM('Schedule 3B_Income_Eastern:Schedule 3D_Income_The Cape'!I50)</f>
        <v>109206.95074199289</v>
      </c>
      <c r="J50" s="585">
        <f>SUM('Schedule 3B_Income_Eastern:Schedule 3D_Income_The Cape'!J50)</f>
        <v>387048.32930532651</v>
      </c>
      <c r="K50" s="586">
        <f t="shared" si="89"/>
        <v>2804993.113585196</v>
      </c>
      <c r="L50" s="587">
        <f>SUM('Schedule 3B_Income_Eastern:Schedule 3D_Income_The Cape'!L50)</f>
        <v>0</v>
      </c>
      <c r="M50" s="585">
        <f>SUM('Schedule 3B_Income_Eastern:Schedule 3D_Income_The Cape'!M50)</f>
        <v>0</v>
      </c>
      <c r="N50" s="585">
        <f>SUM('Schedule 3B_Income_Eastern:Schedule 3D_Income_The Cape'!N50)</f>
        <v>0</v>
      </c>
      <c r="O50" s="585">
        <f>SUM('Schedule 3B_Income_Eastern:Schedule 3D_Income_The Cape'!O50)</f>
        <v>0</v>
      </c>
      <c r="P50" s="585">
        <f>SUM('Schedule 3B_Income_Eastern:Schedule 3D_Income_The Cape'!P50)</f>
        <v>0</v>
      </c>
      <c r="Q50" s="585">
        <f>SUM('Schedule 3B_Income_Eastern:Schedule 3D_Income_The Cape'!Q50)</f>
        <v>0</v>
      </c>
      <c r="R50" s="585">
        <f>SUM('Schedule 3B_Income_Eastern:Schedule 3D_Income_The Cape'!R50)</f>
        <v>0</v>
      </c>
      <c r="S50" s="585">
        <f>SUM('Schedule 3B_Income_Eastern:Schedule 3D_Income_The Cape'!S50)</f>
        <v>0</v>
      </c>
      <c r="T50" s="588">
        <f t="shared" si="90"/>
        <v>0</v>
      </c>
      <c r="U50" s="589">
        <f t="shared" si="91"/>
        <v>2804993.113585196</v>
      </c>
      <c r="V50" s="300">
        <v>28</v>
      </c>
      <c r="W50" s="585">
        <f>SUM('Schedule 3B_Income_Eastern:Schedule 3D_Income_The Cape'!W50)</f>
        <v>0</v>
      </c>
      <c r="X50" s="585">
        <f>SUM('Schedule 3B_Income_Eastern:Schedule 3D_Income_The Cape'!X50)</f>
        <v>16863.27936317198</v>
      </c>
      <c r="Y50" s="585">
        <f>SUM('Schedule 3B_Income_Eastern:Schedule 3D_Income_The Cape'!Y50)</f>
        <v>0</v>
      </c>
      <c r="Z50" s="585">
        <f>SUM('Schedule 3B_Income_Eastern:Schedule 3D_Income_The Cape'!Z50)</f>
        <v>8794.4763369168522</v>
      </c>
      <c r="AA50" s="585">
        <f>SUM('Schedule 3B_Income_Eastern:Schedule 3D_Income_The Cape'!AA50)</f>
        <v>0</v>
      </c>
      <c r="AB50" s="585">
        <f>SUM('Schedule 3B_Income_Eastern:Schedule 3D_Income_The Cape'!AB50)</f>
        <v>11502.74343489101</v>
      </c>
      <c r="AC50" s="585">
        <f>SUM('Schedule 3B_Income_Eastern:Schedule 3D_Income_The Cape'!AC50)</f>
        <v>292.5410374985392</v>
      </c>
      <c r="AD50" s="585">
        <f>SUM('Schedule 3B_Income_Eastern:Schedule 3D_Income_The Cape'!AD50)</f>
        <v>7493.3472564508629</v>
      </c>
      <c r="AE50" s="586">
        <f t="shared" si="92"/>
        <v>44946.387428929243</v>
      </c>
      <c r="AF50" s="587">
        <f>SUM('Schedule 3B_Income_Eastern:Schedule 3D_Income_The Cape'!AF50)</f>
        <v>0</v>
      </c>
      <c r="AG50" s="585">
        <f>SUM('Schedule 3B_Income_Eastern:Schedule 3D_Income_The Cape'!AG50)</f>
        <v>0</v>
      </c>
      <c r="AH50" s="585">
        <f>SUM('Schedule 3B_Income_Eastern:Schedule 3D_Income_The Cape'!AH50)</f>
        <v>0</v>
      </c>
      <c r="AI50" s="585">
        <f>SUM('Schedule 3B_Income_Eastern:Schedule 3D_Income_The Cape'!AI50)</f>
        <v>0</v>
      </c>
      <c r="AJ50" s="585">
        <f>SUM('Schedule 3B_Income_Eastern:Schedule 3D_Income_The Cape'!AJ50)</f>
        <v>0</v>
      </c>
      <c r="AK50" s="585">
        <f>SUM('Schedule 3B_Income_Eastern:Schedule 3D_Income_The Cape'!AK50)</f>
        <v>0</v>
      </c>
      <c r="AL50" s="585">
        <f>SUM('Schedule 3B_Income_Eastern:Schedule 3D_Income_The Cape'!AL50)</f>
        <v>0</v>
      </c>
      <c r="AM50" s="585">
        <f>SUM('Schedule 3B_Income_Eastern:Schedule 3D_Income_The Cape'!AM50)</f>
        <v>0</v>
      </c>
      <c r="AN50" s="588">
        <f t="shared" si="93"/>
        <v>0</v>
      </c>
      <c r="AO50" s="589">
        <f t="shared" si="94"/>
        <v>44946.387428929243</v>
      </c>
      <c r="AP50" s="300">
        <v>28</v>
      </c>
      <c r="AQ50" s="585">
        <f>SUM('Schedule 3B_Income_Eastern:Schedule 3D_Income_The Cape'!AQ50)</f>
        <v>2431150.2616329319</v>
      </c>
      <c r="AR50" s="585">
        <f>SUM('Schedule 3B_Income_Eastern:Schedule 3D_Income_The Cape'!AR50)</f>
        <v>15489116.962661287</v>
      </c>
      <c r="AS50" s="585">
        <f>SUM('Schedule 3B_Income_Eastern:Schedule 3D_Income_The Cape'!AS50)</f>
        <v>2355156.6752165514</v>
      </c>
      <c r="AT50" s="585">
        <f>SUM('Schedule 3B_Income_Eastern:Schedule 3D_Income_The Cape'!AT50)</f>
        <v>15328348.810600666</v>
      </c>
      <c r="AU50" s="585">
        <f>SUM('Schedule 3B_Income_Eastern:Schedule 3D_Income_The Cape'!AU50)</f>
        <v>2441939.5092352838</v>
      </c>
      <c r="AV50" s="585">
        <f>SUM('Schedule 3B_Income_Eastern:Schedule 3D_Income_The Cape'!AV50)</f>
        <v>16329992.198115192</v>
      </c>
      <c r="AW50" s="585">
        <f>SUM('Schedule 3B_Income_Eastern:Schedule 3D_Income_The Cape'!AW50)</f>
        <v>2698878.6933373162</v>
      </c>
      <c r="AX50" s="585">
        <f>SUM('Schedule 3B_Income_Eastern:Schedule 3D_Income_The Cape'!AX50)</f>
        <v>16856130.200860798</v>
      </c>
      <c r="AY50" s="586">
        <f t="shared" si="95"/>
        <v>73930713.311660022</v>
      </c>
      <c r="AZ50" s="587">
        <f>SUM('Schedule 3B_Income_Eastern:Schedule 3D_Income_The Cape'!AZ50)</f>
        <v>0</v>
      </c>
      <c r="BA50" s="585">
        <f>SUM('Schedule 3B_Income_Eastern:Schedule 3D_Income_The Cape'!BA50)</f>
        <v>0</v>
      </c>
      <c r="BB50" s="585">
        <f>SUM('Schedule 3B_Income_Eastern:Schedule 3D_Income_The Cape'!BB50)</f>
        <v>0</v>
      </c>
      <c r="BC50" s="585">
        <f>SUM('Schedule 3B_Income_Eastern:Schedule 3D_Income_The Cape'!BC50)</f>
        <v>0</v>
      </c>
      <c r="BD50" s="585">
        <f>SUM('Schedule 3B_Income_Eastern:Schedule 3D_Income_The Cape'!BD50)</f>
        <v>0</v>
      </c>
      <c r="BE50" s="585">
        <f>SUM('Schedule 3B_Income_Eastern:Schedule 3D_Income_The Cape'!BE50)</f>
        <v>0</v>
      </c>
      <c r="BF50" s="585">
        <f>SUM('Schedule 3B_Income_Eastern:Schedule 3D_Income_The Cape'!BF50)</f>
        <v>0</v>
      </c>
      <c r="BG50" s="585">
        <f>SUM('Schedule 3B_Income_Eastern:Schedule 3D_Income_The Cape'!BG50)</f>
        <v>0</v>
      </c>
      <c r="BH50" s="588">
        <f t="shared" si="96"/>
        <v>0</v>
      </c>
      <c r="BI50" s="589">
        <f t="shared" si="97"/>
        <v>73930713.311660022</v>
      </c>
      <c r="BJ50" s="300">
        <v>28</v>
      </c>
      <c r="BK50" s="585">
        <f>SUM('Schedule 3B_Income_Eastern:Schedule 3D_Income_The Cape'!BK50)</f>
        <v>37.602429106496039</v>
      </c>
      <c r="BL50" s="585">
        <f>SUM('Schedule 3B_Income_Eastern:Schedule 3D_Income_The Cape'!BL50)</f>
        <v>79972.046172012633</v>
      </c>
      <c r="BM50" s="585">
        <f>SUM('Schedule 3B_Income_Eastern:Schedule 3D_Income_The Cape'!BM50)</f>
        <v>1502.58038526576</v>
      </c>
      <c r="BN50" s="585">
        <f>SUM('Schedule 3B_Income_Eastern:Schedule 3D_Income_The Cape'!BN50)</f>
        <v>60999.500736831251</v>
      </c>
      <c r="BO50" s="585">
        <f>SUM('Schedule 3B_Income_Eastern:Schedule 3D_Income_The Cape'!BO50)</f>
        <v>2486.3886510092111</v>
      </c>
      <c r="BP50" s="585">
        <f>SUM('Schedule 3B_Income_Eastern:Schedule 3D_Income_The Cape'!BP50)</f>
        <v>61968.493490821427</v>
      </c>
      <c r="BQ50" s="585">
        <f>SUM('Schedule 3B_Income_Eastern:Schedule 3D_Income_The Cape'!BQ50)</f>
        <v>3665.7423533549591</v>
      </c>
      <c r="BR50" s="585">
        <f>SUM('Schedule 3B_Income_Eastern:Schedule 3D_Income_The Cape'!BR50)</f>
        <v>118246.33675092386</v>
      </c>
      <c r="BS50" s="586">
        <f t="shared" si="98"/>
        <v>328878.6909693256</v>
      </c>
      <c r="BT50" s="587">
        <f>SUM('Schedule 3B_Income_Eastern:Schedule 3D_Income_The Cape'!BT50)</f>
        <v>0</v>
      </c>
      <c r="BU50" s="585">
        <f>SUM('Schedule 3B_Income_Eastern:Schedule 3D_Income_The Cape'!BU50)</f>
        <v>0</v>
      </c>
      <c r="BV50" s="585">
        <f>SUM('Schedule 3B_Income_Eastern:Schedule 3D_Income_The Cape'!BV50)</f>
        <v>0</v>
      </c>
      <c r="BW50" s="585">
        <f>SUM('Schedule 3B_Income_Eastern:Schedule 3D_Income_The Cape'!BW50)</f>
        <v>0</v>
      </c>
      <c r="BX50" s="585">
        <f>SUM('Schedule 3B_Income_Eastern:Schedule 3D_Income_The Cape'!BX50)</f>
        <v>0</v>
      </c>
      <c r="BY50" s="585">
        <f>SUM('Schedule 3B_Income_Eastern:Schedule 3D_Income_The Cape'!BY50)</f>
        <v>0</v>
      </c>
      <c r="BZ50" s="585">
        <f>SUM('Schedule 3B_Income_Eastern:Schedule 3D_Income_The Cape'!BZ50)</f>
        <v>0</v>
      </c>
      <c r="CA50" s="585">
        <f>SUM('Schedule 3B_Income_Eastern:Schedule 3D_Income_The Cape'!CA50)</f>
        <v>0</v>
      </c>
      <c r="CB50" s="588">
        <f t="shared" si="99"/>
        <v>0</v>
      </c>
      <c r="CC50" s="589">
        <f t="shared" si="100"/>
        <v>328878.6909693256</v>
      </c>
      <c r="CD50" s="300">
        <v>28</v>
      </c>
      <c r="CE50" s="414">
        <f t="shared" si="101"/>
        <v>18239336.086054236</v>
      </c>
      <c r="CF50" s="414">
        <f t="shared" si="102"/>
        <v>18882743.079568923</v>
      </c>
      <c r="CG50" s="414">
        <f t="shared" si="103"/>
        <v>19806490.196376659</v>
      </c>
      <c r="CH50" s="414">
        <f t="shared" si="104"/>
        <v>20180962.141643662</v>
      </c>
      <c r="CI50" s="416">
        <f t="shared" si="105"/>
        <v>77109531.503643483</v>
      </c>
      <c r="CJ50" s="414">
        <f t="shared" si="106"/>
        <v>0</v>
      </c>
      <c r="CK50" s="414">
        <f t="shared" si="107"/>
        <v>0</v>
      </c>
      <c r="CL50" s="414">
        <f t="shared" si="108"/>
        <v>0</v>
      </c>
      <c r="CM50" s="414">
        <f t="shared" si="109"/>
        <v>0</v>
      </c>
      <c r="CN50" s="416">
        <f t="shared" si="110"/>
        <v>0</v>
      </c>
      <c r="CO50" s="414">
        <f t="shared" si="111"/>
        <v>18239336.086054236</v>
      </c>
      <c r="CP50" s="414">
        <f t="shared" si="112"/>
        <v>18882743.079568923</v>
      </c>
      <c r="CQ50" s="414">
        <f t="shared" si="113"/>
        <v>19806490.196376659</v>
      </c>
      <c r="CR50" s="414">
        <f t="shared" si="114"/>
        <v>20180962.141643662</v>
      </c>
      <c r="CS50" s="416">
        <f t="shared" si="115"/>
        <v>77109531.503643453</v>
      </c>
    </row>
    <row r="51" spans="1:101" ht="15.75" customHeight="1">
      <c r="A51" s="88" t="s">
        <v>216</v>
      </c>
      <c r="B51" s="300">
        <v>29</v>
      </c>
      <c r="C51" s="585">
        <f>SUM('Schedule 3B_Income_Eastern:Schedule 3D_Income_The Cape'!C51)</f>
        <v>10782.006514631828</v>
      </c>
      <c r="D51" s="585">
        <f>SUM('Schedule 3B_Income_Eastern:Schedule 3D_Income_The Cape'!D51)</f>
        <v>21465.786683868977</v>
      </c>
      <c r="E51" s="585">
        <f>SUM('Schedule 3B_Income_Eastern:Schedule 3D_Income_The Cape'!E51)</f>
        <v>19001.899521815099</v>
      </c>
      <c r="F51" s="585">
        <f>SUM('Schedule 3B_Income_Eastern:Schedule 3D_Income_The Cape'!F51)</f>
        <v>41759.229055281146</v>
      </c>
      <c r="G51" s="585">
        <f>SUM('Schedule 3B_Income_Eastern:Schedule 3D_Income_The Cape'!G51)</f>
        <v>18534.268630080762</v>
      </c>
      <c r="H51" s="585">
        <f>SUM('Schedule 3B_Income_Eastern:Schedule 3D_Income_The Cape'!H51)</f>
        <v>19234.286531086193</v>
      </c>
      <c r="I51" s="585">
        <f>SUM('Schedule 3B_Income_Eastern:Schedule 3D_Income_The Cape'!I51)</f>
        <v>11867.800746170773</v>
      </c>
      <c r="J51" s="585">
        <f>SUM('Schedule 3B_Income_Eastern:Schedule 3D_Income_The Cape'!J51)</f>
        <v>4048.6866975804774</v>
      </c>
      <c r="K51" s="586">
        <f t="shared" ref="K51:K54" si="137">SUM(C51:J51)</f>
        <v>146693.96438051524</v>
      </c>
      <c r="L51" s="587">
        <f>SUM('Schedule 3B_Income_Eastern:Schedule 3D_Income_The Cape'!L51)</f>
        <v>0</v>
      </c>
      <c r="M51" s="585">
        <f>SUM('Schedule 3B_Income_Eastern:Schedule 3D_Income_The Cape'!M51)</f>
        <v>59177.099528157822</v>
      </c>
      <c r="N51" s="585">
        <f>SUM('Schedule 3B_Income_Eastern:Schedule 3D_Income_The Cape'!N51)</f>
        <v>0</v>
      </c>
      <c r="O51" s="585">
        <f>SUM('Schedule 3B_Income_Eastern:Schedule 3D_Income_The Cape'!O51)</f>
        <v>93991.425543915189</v>
      </c>
      <c r="P51" s="585">
        <f>SUM('Schedule 3B_Income_Eastern:Schedule 3D_Income_The Cape'!P51)</f>
        <v>0</v>
      </c>
      <c r="Q51" s="585">
        <f>SUM('Schedule 3B_Income_Eastern:Schedule 3D_Income_The Cape'!Q51)</f>
        <v>64789.496729280254</v>
      </c>
      <c r="R51" s="585">
        <f>SUM('Schedule 3B_Income_Eastern:Schedule 3D_Income_The Cape'!R51)</f>
        <v>0</v>
      </c>
      <c r="S51" s="585">
        <f>SUM('Schedule 3B_Income_Eastern:Schedule 3D_Income_The Cape'!S51)</f>
        <v>59301.266785684224</v>
      </c>
      <c r="T51" s="588">
        <f t="shared" ref="T51:T54" si="138">SUM(L51:S51)</f>
        <v>277259.28858703747</v>
      </c>
      <c r="U51" s="589">
        <f t="shared" ref="U51:U54" si="139">SUM(T51,K51)</f>
        <v>423953.25296755275</v>
      </c>
      <c r="V51" s="300">
        <v>29</v>
      </c>
      <c r="W51" s="585">
        <f>SUM('Schedule 3B_Income_Eastern:Schedule 3D_Income_The Cape'!W51)</f>
        <v>3006.894244534617</v>
      </c>
      <c r="X51" s="585">
        <f>SUM('Schedule 3B_Income_Eastern:Schedule 3D_Income_The Cape'!X51)</f>
        <v>216.92401323111852</v>
      </c>
      <c r="Y51" s="585">
        <f>SUM('Schedule 3B_Income_Eastern:Schedule 3D_Income_The Cape'!Y51)</f>
        <v>200.13652462322219</v>
      </c>
      <c r="Z51" s="585">
        <f>SUM('Schedule 3B_Income_Eastern:Schedule 3D_Income_The Cape'!Z51)</f>
        <v>316.67513708574666</v>
      </c>
      <c r="AA51" s="585">
        <f>SUM('Schedule 3B_Income_Eastern:Schedule 3D_Income_The Cape'!AA51)</f>
        <v>528.95556782504775</v>
      </c>
      <c r="AB51" s="585">
        <f>SUM('Schedule 3B_Income_Eastern:Schedule 3D_Income_The Cape'!AB51)</f>
        <v>72.360542794124186</v>
      </c>
      <c r="AC51" s="585">
        <f>SUM('Schedule 3B_Income_Eastern:Schedule 3D_Income_The Cape'!AC51)</f>
        <v>403.35111312602407</v>
      </c>
      <c r="AD51" s="585">
        <f>SUM('Schedule 3B_Income_Eastern:Schedule 3D_Income_The Cape'!AD51)</f>
        <v>0</v>
      </c>
      <c r="AE51" s="586">
        <f t="shared" ref="AE51:AE54" si="140">SUM(W51:AD51)</f>
        <v>4745.2971432199001</v>
      </c>
      <c r="AF51" s="587">
        <f>SUM('Schedule 3B_Income_Eastern:Schedule 3D_Income_The Cape'!AF51)</f>
        <v>0</v>
      </c>
      <c r="AG51" s="585">
        <f>SUM('Schedule 3B_Income_Eastern:Schedule 3D_Income_The Cape'!AG51)</f>
        <v>10518.859731180026</v>
      </c>
      <c r="AH51" s="585">
        <f>SUM('Schedule 3B_Income_Eastern:Schedule 3D_Income_The Cape'!AH51)</f>
        <v>0</v>
      </c>
      <c r="AI51" s="585">
        <f>SUM('Schedule 3B_Income_Eastern:Schedule 3D_Income_The Cape'!AI51)</f>
        <v>12413.991536604877</v>
      </c>
      <c r="AJ51" s="585">
        <f>SUM('Schedule 3B_Income_Eastern:Schedule 3D_Income_The Cape'!AJ51)</f>
        <v>0</v>
      </c>
      <c r="AK51" s="585">
        <f>SUM('Schedule 3B_Income_Eastern:Schedule 3D_Income_The Cape'!AK51)</f>
        <v>5065.7236694622188</v>
      </c>
      <c r="AL51" s="585">
        <f>SUM('Schedule 3B_Income_Eastern:Schedule 3D_Income_The Cape'!AL51)</f>
        <v>0</v>
      </c>
      <c r="AM51" s="585">
        <f>SUM('Schedule 3B_Income_Eastern:Schedule 3D_Income_The Cape'!AM51)</f>
        <v>14524.59183150699</v>
      </c>
      <c r="AN51" s="588">
        <f t="shared" ref="AN51:AN54" si="141">SUM(AF51:AM51)</f>
        <v>42523.166768754112</v>
      </c>
      <c r="AO51" s="589">
        <f t="shared" ref="AO51:AO54" si="142">SUM(AN51,AE51)</f>
        <v>47268.46391197401</v>
      </c>
      <c r="AP51" s="300">
        <v>29</v>
      </c>
      <c r="AQ51" s="585">
        <f>SUM('Schedule 3B_Income_Eastern:Schedule 3D_Income_The Cape'!AQ51)</f>
        <v>134555.88227269289</v>
      </c>
      <c r="AR51" s="585">
        <f>SUM('Schedule 3B_Income_Eastern:Schedule 3D_Income_The Cape'!AR51)</f>
        <v>252752.7277561446</v>
      </c>
      <c r="AS51" s="585">
        <f>SUM('Schedule 3B_Income_Eastern:Schedule 3D_Income_The Cape'!AS51)</f>
        <v>105453.96171300985</v>
      </c>
      <c r="AT51" s="585">
        <f>SUM('Schedule 3B_Income_Eastern:Schedule 3D_Income_The Cape'!AT51)</f>
        <v>271717.85748919065</v>
      </c>
      <c r="AU51" s="585">
        <f>SUM('Schedule 3B_Income_Eastern:Schedule 3D_Income_The Cape'!AU51)</f>
        <v>87136.716383815161</v>
      </c>
      <c r="AV51" s="585">
        <f>SUM('Schedule 3B_Income_Eastern:Schedule 3D_Income_The Cape'!AV51)</f>
        <v>294764.09814757213</v>
      </c>
      <c r="AW51" s="585">
        <f>SUM('Schedule 3B_Income_Eastern:Schedule 3D_Income_The Cape'!AW51)</f>
        <v>133323.39393985292</v>
      </c>
      <c r="AX51" s="585">
        <f>SUM('Schedule 3B_Income_Eastern:Schedule 3D_Income_The Cape'!AX51)</f>
        <v>342430.2749962961</v>
      </c>
      <c r="AY51" s="586">
        <f t="shared" ref="AY51:AY54" si="143">SUM(AQ51:AX51)</f>
        <v>1622134.9126985741</v>
      </c>
      <c r="AZ51" s="587">
        <f>SUM('Schedule 3B_Income_Eastern:Schedule 3D_Income_The Cape'!AZ51)</f>
        <v>0</v>
      </c>
      <c r="BA51" s="585">
        <f>SUM('Schedule 3B_Income_Eastern:Schedule 3D_Income_The Cape'!BA51)</f>
        <v>715508.18244250631</v>
      </c>
      <c r="BB51" s="585">
        <f>SUM('Schedule 3B_Income_Eastern:Schedule 3D_Income_The Cape'!BB51)</f>
        <v>0</v>
      </c>
      <c r="BC51" s="585">
        <f>SUM('Schedule 3B_Income_Eastern:Schedule 3D_Income_The Cape'!BC51)</f>
        <v>643502.05913117016</v>
      </c>
      <c r="BD51" s="585">
        <f>SUM('Schedule 3B_Income_Eastern:Schedule 3D_Income_The Cape'!BD51)</f>
        <v>0</v>
      </c>
      <c r="BE51" s="585">
        <f>SUM('Schedule 3B_Income_Eastern:Schedule 3D_Income_The Cape'!BE51)</f>
        <v>741976.38096122188</v>
      </c>
      <c r="BF51" s="585">
        <f>SUM('Schedule 3B_Income_Eastern:Schedule 3D_Income_The Cape'!BF51)</f>
        <v>0</v>
      </c>
      <c r="BG51" s="585">
        <f>SUM('Schedule 3B_Income_Eastern:Schedule 3D_Income_The Cape'!BG51)</f>
        <v>695462.56613430323</v>
      </c>
      <c r="BH51" s="588">
        <f t="shared" ref="BH51:BH54" si="144">SUM(AZ51:BG51)</f>
        <v>2796449.1886692015</v>
      </c>
      <c r="BI51" s="589">
        <f t="shared" ref="BI51:BI54" si="145">SUM(BH51,AY51)</f>
        <v>4418584.1013677754</v>
      </c>
      <c r="BJ51" s="300">
        <v>29</v>
      </c>
      <c r="BK51" s="585">
        <f>SUM('Schedule 3B_Income_Eastern:Schedule 3D_Income_The Cape'!BK51)</f>
        <v>2370.3831260928223</v>
      </c>
      <c r="BL51" s="585">
        <f>SUM('Schedule 3B_Income_Eastern:Schedule 3D_Income_The Cape'!BL51)</f>
        <v>10144.405325771782</v>
      </c>
      <c r="BM51" s="585">
        <f>SUM('Schedule 3B_Income_Eastern:Schedule 3D_Income_The Cape'!BM51)</f>
        <v>4837.2682707583053</v>
      </c>
      <c r="BN51" s="585">
        <f>SUM('Schedule 3B_Income_Eastern:Schedule 3D_Income_The Cape'!BN51)</f>
        <v>1713.9073392227538</v>
      </c>
      <c r="BO51" s="585">
        <f>SUM('Schedule 3B_Income_Eastern:Schedule 3D_Income_The Cape'!BO51)</f>
        <v>2674.4456616708303</v>
      </c>
      <c r="BP51" s="585">
        <f>SUM('Schedule 3B_Income_Eastern:Schedule 3D_Income_The Cape'!BP51)</f>
        <v>8618.3014479863996</v>
      </c>
      <c r="BQ51" s="585">
        <f>SUM('Schedule 3B_Income_Eastern:Schedule 3D_Income_The Cape'!BQ51)</f>
        <v>4501.3330070599877</v>
      </c>
      <c r="BR51" s="585">
        <f>SUM('Schedule 3B_Income_Eastern:Schedule 3D_Income_The Cape'!BR51)</f>
        <v>6914.2480519776254</v>
      </c>
      <c r="BS51" s="586">
        <f t="shared" ref="BS51:BS54" si="146">SUM(BK51:BR51)</f>
        <v>41774.292230540508</v>
      </c>
      <c r="BT51" s="587">
        <f>SUM('Schedule 3B_Income_Eastern:Schedule 3D_Income_The Cape'!BT51)</f>
        <v>0</v>
      </c>
      <c r="BU51" s="585">
        <f>SUM('Schedule 3B_Income_Eastern:Schedule 3D_Income_The Cape'!BU51)</f>
        <v>62940.021810741993</v>
      </c>
      <c r="BV51" s="585">
        <f>SUM('Schedule 3B_Income_Eastern:Schedule 3D_Income_The Cape'!BV51)</f>
        <v>0</v>
      </c>
      <c r="BW51" s="585">
        <f>SUM('Schedule 3B_Income_Eastern:Schedule 3D_Income_The Cape'!BW51)</f>
        <v>44601.685070311563</v>
      </c>
      <c r="BX51" s="585">
        <f>SUM('Schedule 3B_Income_Eastern:Schedule 3D_Income_The Cape'!BX51)</f>
        <v>0</v>
      </c>
      <c r="BY51" s="585">
        <f>SUM('Schedule 3B_Income_Eastern:Schedule 3D_Income_The Cape'!BY51)</f>
        <v>55972.88649670958</v>
      </c>
      <c r="BZ51" s="585">
        <f>SUM('Schedule 3B_Income_Eastern:Schedule 3D_Income_The Cape'!BZ51)</f>
        <v>0</v>
      </c>
      <c r="CA51" s="585">
        <f>SUM('Schedule 3B_Income_Eastern:Schedule 3D_Income_The Cape'!CA51)</f>
        <v>90528.937177214058</v>
      </c>
      <c r="CB51" s="588">
        <f t="shared" ref="CB51:CB54" si="147">SUM(BT51:CA51)</f>
        <v>254043.53055497719</v>
      </c>
      <c r="CC51" s="589">
        <f t="shared" ref="CC51:CC54" si="148">SUM(CB51,BS51)</f>
        <v>295817.82278551767</v>
      </c>
      <c r="CD51" s="300">
        <v>29</v>
      </c>
      <c r="CE51" s="414">
        <f t="shared" si="101"/>
        <v>435295.00993696868</v>
      </c>
      <c r="CF51" s="414">
        <f t="shared" si="102"/>
        <v>445000.93505098677</v>
      </c>
      <c r="CG51" s="414">
        <f t="shared" si="103"/>
        <v>431563.43291283061</v>
      </c>
      <c r="CH51" s="414">
        <f t="shared" si="104"/>
        <v>503489.08855206391</v>
      </c>
      <c r="CI51" s="416">
        <f t="shared" si="105"/>
        <v>1815348.4664528498</v>
      </c>
      <c r="CJ51" s="414">
        <f t="shared" si="106"/>
        <v>848144.16351258615</v>
      </c>
      <c r="CK51" s="414">
        <f t="shared" si="107"/>
        <v>794509.16128200176</v>
      </c>
      <c r="CL51" s="414">
        <f t="shared" si="108"/>
        <v>867804.48785667389</v>
      </c>
      <c r="CM51" s="414">
        <f t="shared" si="109"/>
        <v>859817.3619287085</v>
      </c>
      <c r="CN51" s="416">
        <f t="shared" si="110"/>
        <v>3370275.1745799705</v>
      </c>
      <c r="CO51" s="414">
        <f t="shared" si="111"/>
        <v>1283439.1734495549</v>
      </c>
      <c r="CP51" s="414">
        <f t="shared" si="112"/>
        <v>1239510.0963329885</v>
      </c>
      <c r="CQ51" s="414">
        <f t="shared" si="113"/>
        <v>1299367.9207695047</v>
      </c>
      <c r="CR51" s="414">
        <f t="shared" si="114"/>
        <v>1363306.4504807724</v>
      </c>
      <c r="CS51" s="416">
        <f t="shared" si="115"/>
        <v>5185623.6410328187</v>
      </c>
    </row>
    <row r="52" spans="1:101" ht="15.75" customHeight="1">
      <c r="A52" s="88" t="s">
        <v>217</v>
      </c>
      <c r="B52" s="300">
        <v>30</v>
      </c>
      <c r="C52" s="585">
        <f>SUM('Schedule 3B_Income_Eastern:Schedule 3D_Income_The Cape'!C52)</f>
        <v>111085.80611227936</v>
      </c>
      <c r="D52" s="585">
        <f>SUM('Schedule 3B_Income_Eastern:Schedule 3D_Income_The Cape'!D52)</f>
        <v>217824.50140240483</v>
      </c>
      <c r="E52" s="585">
        <f>SUM('Schedule 3B_Income_Eastern:Schedule 3D_Income_The Cape'!E52)</f>
        <v>348313.98407731624</v>
      </c>
      <c r="F52" s="585">
        <f>SUM('Schedule 3B_Income_Eastern:Schedule 3D_Income_The Cape'!F52)</f>
        <v>626808.27711580368</v>
      </c>
      <c r="G52" s="585">
        <f>SUM('Schedule 3B_Income_Eastern:Schedule 3D_Income_The Cape'!G52)</f>
        <v>289011.98774958577</v>
      </c>
      <c r="H52" s="585">
        <f>SUM('Schedule 3B_Income_Eastern:Schedule 3D_Income_The Cape'!H52)</f>
        <v>531458.7702521811</v>
      </c>
      <c r="I52" s="585">
        <f>SUM('Schedule 3B_Income_Eastern:Schedule 3D_Income_The Cape'!I52)</f>
        <v>188912.85449931838</v>
      </c>
      <c r="J52" s="585">
        <f>SUM('Schedule 3B_Income_Eastern:Schedule 3D_Income_The Cape'!J52)</f>
        <v>291870.63095427153</v>
      </c>
      <c r="K52" s="586">
        <f t="shared" si="137"/>
        <v>2605286.8121631611</v>
      </c>
      <c r="L52" s="587">
        <f>SUM('Schedule 3B_Income_Eastern:Schedule 3D_Income_The Cape'!L52)</f>
        <v>0</v>
      </c>
      <c r="M52" s="585">
        <f>SUM('Schedule 3B_Income_Eastern:Schedule 3D_Income_The Cape'!M52)</f>
        <v>0</v>
      </c>
      <c r="N52" s="585">
        <f>SUM('Schedule 3B_Income_Eastern:Schedule 3D_Income_The Cape'!N52)</f>
        <v>0</v>
      </c>
      <c r="O52" s="585">
        <f>SUM('Schedule 3B_Income_Eastern:Schedule 3D_Income_The Cape'!O52)</f>
        <v>0</v>
      </c>
      <c r="P52" s="585">
        <f>SUM('Schedule 3B_Income_Eastern:Schedule 3D_Income_The Cape'!P52)</f>
        <v>0</v>
      </c>
      <c r="Q52" s="585">
        <f>SUM('Schedule 3B_Income_Eastern:Schedule 3D_Income_The Cape'!Q52)</f>
        <v>0</v>
      </c>
      <c r="R52" s="585">
        <f>SUM('Schedule 3B_Income_Eastern:Schedule 3D_Income_The Cape'!R52)</f>
        <v>0</v>
      </c>
      <c r="S52" s="585">
        <f>SUM('Schedule 3B_Income_Eastern:Schedule 3D_Income_The Cape'!S52)</f>
        <v>0</v>
      </c>
      <c r="T52" s="588">
        <f t="shared" si="138"/>
        <v>0</v>
      </c>
      <c r="U52" s="589">
        <f t="shared" si="139"/>
        <v>2605286.8121631611</v>
      </c>
      <c r="V52" s="300">
        <v>30</v>
      </c>
      <c r="W52" s="585">
        <f>SUM('Schedule 3B_Income_Eastern:Schedule 3D_Income_The Cape'!W52)</f>
        <v>4947.9896387589688</v>
      </c>
      <c r="X52" s="585">
        <f>SUM('Schedule 3B_Income_Eastern:Schedule 3D_Income_The Cape'!X52)</f>
        <v>9970.0340614364486</v>
      </c>
      <c r="Y52" s="585">
        <f>SUM('Schedule 3B_Income_Eastern:Schedule 3D_Income_The Cape'!Y52)</f>
        <v>4244.8161130964654</v>
      </c>
      <c r="Z52" s="585">
        <f>SUM('Schedule 3B_Income_Eastern:Schedule 3D_Income_The Cape'!Z52)</f>
        <v>34643.747519558252</v>
      </c>
      <c r="AA52" s="585">
        <f>SUM('Schedule 3B_Income_Eastern:Schedule 3D_Income_The Cape'!AA52)</f>
        <v>2890.783584474485</v>
      </c>
      <c r="AB52" s="585">
        <f>SUM('Schedule 3B_Income_Eastern:Schedule 3D_Income_The Cape'!AB52)</f>
        <v>28330.499214001618</v>
      </c>
      <c r="AC52" s="585">
        <f>SUM('Schedule 3B_Income_Eastern:Schedule 3D_Income_The Cape'!AC52)</f>
        <v>5749.0002166414315</v>
      </c>
      <c r="AD52" s="585">
        <f>SUM('Schedule 3B_Income_Eastern:Schedule 3D_Income_The Cape'!AD52)</f>
        <v>17565.697700324177</v>
      </c>
      <c r="AE52" s="586">
        <f t="shared" si="140"/>
        <v>108342.56804829184</v>
      </c>
      <c r="AF52" s="587">
        <f>SUM('Schedule 3B_Income_Eastern:Schedule 3D_Income_The Cape'!AF52)</f>
        <v>0</v>
      </c>
      <c r="AG52" s="585">
        <f>SUM('Schedule 3B_Income_Eastern:Schedule 3D_Income_The Cape'!AG52)</f>
        <v>0</v>
      </c>
      <c r="AH52" s="585">
        <f>SUM('Schedule 3B_Income_Eastern:Schedule 3D_Income_The Cape'!AH52)</f>
        <v>0</v>
      </c>
      <c r="AI52" s="585">
        <f>SUM('Schedule 3B_Income_Eastern:Schedule 3D_Income_The Cape'!AI52)</f>
        <v>0</v>
      </c>
      <c r="AJ52" s="585">
        <f>SUM('Schedule 3B_Income_Eastern:Schedule 3D_Income_The Cape'!AJ52)</f>
        <v>0</v>
      </c>
      <c r="AK52" s="585">
        <f>SUM('Schedule 3B_Income_Eastern:Schedule 3D_Income_The Cape'!AK52)</f>
        <v>0</v>
      </c>
      <c r="AL52" s="585">
        <f>SUM('Schedule 3B_Income_Eastern:Schedule 3D_Income_The Cape'!AL52)</f>
        <v>0</v>
      </c>
      <c r="AM52" s="585">
        <f>SUM('Schedule 3B_Income_Eastern:Schedule 3D_Income_The Cape'!AM52)</f>
        <v>0</v>
      </c>
      <c r="AN52" s="588">
        <f t="shared" si="141"/>
        <v>0</v>
      </c>
      <c r="AO52" s="589">
        <f t="shared" si="142"/>
        <v>108342.56804829184</v>
      </c>
      <c r="AP52" s="300">
        <v>30</v>
      </c>
      <c r="AQ52" s="585">
        <f>SUM('Schedule 3B_Income_Eastern:Schedule 3D_Income_The Cape'!AQ52)</f>
        <v>3569430.8842455717</v>
      </c>
      <c r="AR52" s="585">
        <f>SUM('Schedule 3B_Income_Eastern:Schedule 3D_Income_The Cape'!AR52)</f>
        <v>8408130.7529160716</v>
      </c>
      <c r="AS52" s="585">
        <f>SUM('Schedule 3B_Income_Eastern:Schedule 3D_Income_The Cape'!AS52)</f>
        <v>3573045.471645168</v>
      </c>
      <c r="AT52" s="585">
        <f>SUM('Schedule 3B_Income_Eastern:Schedule 3D_Income_The Cape'!AT52)</f>
        <v>8642384.8896778207</v>
      </c>
      <c r="AU52" s="585">
        <f>SUM('Schedule 3B_Income_Eastern:Schedule 3D_Income_The Cape'!AU52)</f>
        <v>3857528.8581671226</v>
      </c>
      <c r="AV52" s="585">
        <f>SUM('Schedule 3B_Income_Eastern:Schedule 3D_Income_The Cape'!AV52)</f>
        <v>9981096.4644957911</v>
      </c>
      <c r="AW52" s="585">
        <f>SUM('Schedule 3B_Income_Eastern:Schedule 3D_Income_The Cape'!AW52)</f>
        <v>4832227.9724830333</v>
      </c>
      <c r="AX52" s="585">
        <f>SUM('Schedule 3B_Income_Eastern:Schedule 3D_Income_The Cape'!AX52)</f>
        <v>11299320.161741799</v>
      </c>
      <c r="AY52" s="586">
        <f t="shared" si="143"/>
        <v>54163165.455372378</v>
      </c>
      <c r="AZ52" s="587">
        <f>SUM('Schedule 3B_Income_Eastern:Schedule 3D_Income_The Cape'!AZ52)</f>
        <v>0</v>
      </c>
      <c r="BA52" s="585">
        <f>SUM('Schedule 3B_Income_Eastern:Schedule 3D_Income_The Cape'!BA52)</f>
        <v>-1239.5234503971142</v>
      </c>
      <c r="BB52" s="585">
        <f>SUM('Schedule 3B_Income_Eastern:Schedule 3D_Income_The Cape'!BB52)</f>
        <v>0</v>
      </c>
      <c r="BC52" s="585">
        <f>SUM('Schedule 3B_Income_Eastern:Schedule 3D_Income_The Cape'!BC52)</f>
        <v>-640.24179130756386</v>
      </c>
      <c r="BD52" s="585">
        <f>SUM('Schedule 3B_Income_Eastern:Schedule 3D_Income_The Cape'!BD52)</f>
        <v>0</v>
      </c>
      <c r="BE52" s="585">
        <f>SUM('Schedule 3B_Income_Eastern:Schedule 3D_Income_The Cape'!BE52)</f>
        <v>0</v>
      </c>
      <c r="BF52" s="585">
        <f>SUM('Schedule 3B_Income_Eastern:Schedule 3D_Income_The Cape'!BF52)</f>
        <v>0</v>
      </c>
      <c r="BG52" s="585">
        <f>SUM('Schedule 3B_Income_Eastern:Schedule 3D_Income_The Cape'!BG52)</f>
        <v>5590.5574093150517</v>
      </c>
      <c r="BH52" s="588">
        <f t="shared" si="144"/>
        <v>3710.7921676103738</v>
      </c>
      <c r="BI52" s="589">
        <f t="shared" si="145"/>
        <v>54166876.24753999</v>
      </c>
      <c r="BJ52" s="300">
        <v>30</v>
      </c>
      <c r="BK52" s="585">
        <f>SUM('Schedule 3B_Income_Eastern:Schedule 3D_Income_The Cape'!BK52)</f>
        <v>0</v>
      </c>
      <c r="BL52" s="585">
        <f>SUM('Schedule 3B_Income_Eastern:Schedule 3D_Income_The Cape'!BL52)</f>
        <v>16162.914119771416</v>
      </c>
      <c r="BM52" s="585">
        <f>SUM('Schedule 3B_Income_Eastern:Schedule 3D_Income_The Cape'!BM52)</f>
        <v>0</v>
      </c>
      <c r="BN52" s="585">
        <f>SUM('Schedule 3B_Income_Eastern:Schedule 3D_Income_The Cape'!BN52)</f>
        <v>822.55661200358975</v>
      </c>
      <c r="BO52" s="585">
        <f>SUM('Schedule 3B_Income_Eastern:Schedule 3D_Income_The Cape'!BO52)</f>
        <v>6240.1722090575076</v>
      </c>
      <c r="BP52" s="585">
        <f>SUM('Schedule 3B_Income_Eastern:Schedule 3D_Income_The Cape'!BP52)</f>
        <v>0</v>
      </c>
      <c r="BQ52" s="585">
        <f>SUM('Schedule 3B_Income_Eastern:Schedule 3D_Income_The Cape'!BQ52)</f>
        <v>7277.0294115005536</v>
      </c>
      <c r="BR52" s="585">
        <f>SUM('Schedule 3B_Income_Eastern:Schedule 3D_Income_The Cape'!BR52)</f>
        <v>21425.187544972439</v>
      </c>
      <c r="BS52" s="586">
        <f t="shared" si="146"/>
        <v>51927.859897305505</v>
      </c>
      <c r="BT52" s="587">
        <f>SUM('Schedule 3B_Income_Eastern:Schedule 3D_Income_The Cape'!BT52)</f>
        <v>0</v>
      </c>
      <c r="BU52" s="585">
        <f>SUM('Schedule 3B_Income_Eastern:Schedule 3D_Income_The Cape'!BU52)</f>
        <v>0</v>
      </c>
      <c r="BV52" s="585">
        <f>SUM('Schedule 3B_Income_Eastern:Schedule 3D_Income_The Cape'!BV52)</f>
        <v>0</v>
      </c>
      <c r="BW52" s="585">
        <f>SUM('Schedule 3B_Income_Eastern:Schedule 3D_Income_The Cape'!BW52)</f>
        <v>0</v>
      </c>
      <c r="BX52" s="585">
        <f>SUM('Schedule 3B_Income_Eastern:Schedule 3D_Income_The Cape'!BX52)</f>
        <v>0</v>
      </c>
      <c r="BY52" s="585">
        <f>SUM('Schedule 3B_Income_Eastern:Schedule 3D_Income_The Cape'!BY52)</f>
        <v>0</v>
      </c>
      <c r="BZ52" s="585">
        <f>SUM('Schedule 3B_Income_Eastern:Schedule 3D_Income_The Cape'!BZ52)</f>
        <v>0</v>
      </c>
      <c r="CA52" s="585">
        <f>SUM('Schedule 3B_Income_Eastern:Schedule 3D_Income_The Cape'!CA52)</f>
        <v>0</v>
      </c>
      <c r="CB52" s="588">
        <f t="shared" si="147"/>
        <v>0</v>
      </c>
      <c r="CC52" s="589">
        <f t="shared" si="148"/>
        <v>51927.859897305505</v>
      </c>
      <c r="CD52" s="300">
        <v>30</v>
      </c>
      <c r="CE52" s="414">
        <f t="shared" si="101"/>
        <v>12337552.882496294</v>
      </c>
      <c r="CF52" s="414">
        <f t="shared" si="102"/>
        <v>13230263.742760766</v>
      </c>
      <c r="CG52" s="414">
        <f t="shared" si="103"/>
        <v>14696557.535672214</v>
      </c>
      <c r="CH52" s="414">
        <f t="shared" si="104"/>
        <v>16664348.534551861</v>
      </c>
      <c r="CI52" s="416">
        <f t="shared" si="105"/>
        <v>56928722.695481136</v>
      </c>
      <c r="CJ52" s="414">
        <f t="shared" si="106"/>
        <v>-1239.5234503971142</v>
      </c>
      <c r="CK52" s="414">
        <f t="shared" si="107"/>
        <v>-640.24179130756386</v>
      </c>
      <c r="CL52" s="414">
        <f t="shared" si="108"/>
        <v>0</v>
      </c>
      <c r="CM52" s="414">
        <f t="shared" si="109"/>
        <v>5590.5574093150517</v>
      </c>
      <c r="CN52" s="416">
        <f t="shared" si="110"/>
        <v>3710.7921676103738</v>
      </c>
      <c r="CO52" s="414">
        <f t="shared" si="111"/>
        <v>12336313.359045897</v>
      </c>
      <c r="CP52" s="414">
        <f t="shared" si="112"/>
        <v>13229623.500969458</v>
      </c>
      <c r="CQ52" s="414">
        <f t="shared" si="113"/>
        <v>14696557.535672214</v>
      </c>
      <c r="CR52" s="414">
        <f t="shared" si="114"/>
        <v>16669939.091961175</v>
      </c>
      <c r="CS52" s="416">
        <f t="shared" si="115"/>
        <v>56932433.487648748</v>
      </c>
    </row>
    <row r="53" spans="1:101" ht="15.75" customHeight="1">
      <c r="A53" s="88" t="s">
        <v>218</v>
      </c>
      <c r="B53" s="300">
        <v>31</v>
      </c>
      <c r="C53" s="585">
        <f>SUM('Schedule 3B_Income_Eastern:Schedule 3D_Income_The Cape'!C53)</f>
        <v>86969.96823583798</v>
      </c>
      <c r="D53" s="585">
        <f>SUM('Schedule 3B_Income_Eastern:Schedule 3D_Income_The Cape'!D53)</f>
        <v>145092.83295678601</v>
      </c>
      <c r="E53" s="585">
        <f>SUM('Schedule 3B_Income_Eastern:Schedule 3D_Income_The Cape'!E53)</f>
        <v>398138.03944523516</v>
      </c>
      <c r="F53" s="585">
        <f>SUM('Schedule 3B_Income_Eastern:Schedule 3D_Income_The Cape'!F53)</f>
        <v>498479.78664118069</v>
      </c>
      <c r="G53" s="585">
        <f>SUM('Schedule 3B_Income_Eastern:Schedule 3D_Income_The Cape'!G53)</f>
        <v>384870.22990569886</v>
      </c>
      <c r="H53" s="585">
        <f>SUM('Schedule 3B_Income_Eastern:Schedule 3D_Income_The Cape'!H53)</f>
        <v>447650.09613282443</v>
      </c>
      <c r="I53" s="585">
        <f>SUM('Schedule 3B_Income_Eastern:Schedule 3D_Income_The Cape'!I53)</f>
        <v>180144.45494172009</v>
      </c>
      <c r="J53" s="585">
        <f>SUM('Schedule 3B_Income_Eastern:Schedule 3D_Income_The Cape'!J53)</f>
        <v>204153.80577297113</v>
      </c>
      <c r="K53" s="586">
        <f t="shared" si="137"/>
        <v>2345499.2140322542</v>
      </c>
      <c r="L53" s="587">
        <f>SUM('Schedule 3B_Income_Eastern:Schedule 3D_Income_The Cape'!L53)</f>
        <v>0</v>
      </c>
      <c r="M53" s="585">
        <f>SUM('Schedule 3B_Income_Eastern:Schedule 3D_Income_The Cape'!M53)</f>
        <v>0</v>
      </c>
      <c r="N53" s="585">
        <f>SUM('Schedule 3B_Income_Eastern:Schedule 3D_Income_The Cape'!N53)</f>
        <v>0</v>
      </c>
      <c r="O53" s="585">
        <f>SUM('Schedule 3B_Income_Eastern:Schedule 3D_Income_The Cape'!O53)</f>
        <v>0</v>
      </c>
      <c r="P53" s="585">
        <f>SUM('Schedule 3B_Income_Eastern:Schedule 3D_Income_The Cape'!P53)</f>
        <v>0</v>
      </c>
      <c r="Q53" s="585">
        <f>SUM('Schedule 3B_Income_Eastern:Schedule 3D_Income_The Cape'!Q53)</f>
        <v>0</v>
      </c>
      <c r="R53" s="585">
        <f>SUM('Schedule 3B_Income_Eastern:Schedule 3D_Income_The Cape'!R53)</f>
        <v>0</v>
      </c>
      <c r="S53" s="585">
        <f>SUM('Schedule 3B_Income_Eastern:Schedule 3D_Income_The Cape'!S53)</f>
        <v>0</v>
      </c>
      <c r="T53" s="588">
        <f t="shared" si="138"/>
        <v>0</v>
      </c>
      <c r="U53" s="589">
        <f t="shared" si="139"/>
        <v>2345499.2140322542</v>
      </c>
      <c r="V53" s="300">
        <v>31</v>
      </c>
      <c r="W53" s="585">
        <f>SUM('Schedule 3B_Income_Eastern:Schedule 3D_Income_The Cape'!W53)</f>
        <v>49567.762063688053</v>
      </c>
      <c r="X53" s="585">
        <f>SUM('Schedule 3B_Income_Eastern:Schedule 3D_Income_The Cape'!X53)</f>
        <v>14750.012846740865</v>
      </c>
      <c r="Y53" s="585">
        <f>SUM('Schedule 3B_Income_Eastern:Schedule 3D_Income_The Cape'!Y53)</f>
        <v>46923.311912959827</v>
      </c>
      <c r="Z53" s="585">
        <f>SUM('Schedule 3B_Income_Eastern:Schedule 3D_Income_The Cape'!Z53)</f>
        <v>23968.798606796725</v>
      </c>
      <c r="AA53" s="585">
        <f>SUM('Schedule 3B_Income_Eastern:Schedule 3D_Income_The Cape'!AA53)</f>
        <v>37614.276453884653</v>
      </c>
      <c r="AB53" s="585">
        <f>SUM('Schedule 3B_Income_Eastern:Schedule 3D_Income_The Cape'!AB53)</f>
        <v>24857.072558979002</v>
      </c>
      <c r="AC53" s="585">
        <f>SUM('Schedule 3B_Income_Eastern:Schedule 3D_Income_The Cape'!AC53)</f>
        <v>30554.103300587878</v>
      </c>
      <c r="AD53" s="585">
        <f>SUM('Schedule 3B_Income_Eastern:Schedule 3D_Income_The Cape'!AD53)</f>
        <v>11039.472830028644</v>
      </c>
      <c r="AE53" s="586">
        <f t="shared" si="140"/>
        <v>239274.81057366569</v>
      </c>
      <c r="AF53" s="587">
        <f>SUM('Schedule 3B_Income_Eastern:Schedule 3D_Income_The Cape'!AF53)</f>
        <v>0</v>
      </c>
      <c r="AG53" s="585">
        <f>SUM('Schedule 3B_Income_Eastern:Schedule 3D_Income_The Cape'!AG53)</f>
        <v>0</v>
      </c>
      <c r="AH53" s="585">
        <f>SUM('Schedule 3B_Income_Eastern:Schedule 3D_Income_The Cape'!AH53)</f>
        <v>0</v>
      </c>
      <c r="AI53" s="585">
        <f>SUM('Schedule 3B_Income_Eastern:Schedule 3D_Income_The Cape'!AI53)</f>
        <v>0</v>
      </c>
      <c r="AJ53" s="585">
        <f>SUM('Schedule 3B_Income_Eastern:Schedule 3D_Income_The Cape'!AJ53)</f>
        <v>0</v>
      </c>
      <c r="AK53" s="585">
        <f>SUM('Schedule 3B_Income_Eastern:Schedule 3D_Income_The Cape'!AK53)</f>
        <v>0</v>
      </c>
      <c r="AL53" s="585">
        <f>SUM('Schedule 3B_Income_Eastern:Schedule 3D_Income_The Cape'!AL53)</f>
        <v>0</v>
      </c>
      <c r="AM53" s="585">
        <f>SUM('Schedule 3B_Income_Eastern:Schedule 3D_Income_The Cape'!AM53)</f>
        <v>0</v>
      </c>
      <c r="AN53" s="588">
        <f t="shared" si="141"/>
        <v>0</v>
      </c>
      <c r="AO53" s="589">
        <f t="shared" si="142"/>
        <v>239274.81057366569</v>
      </c>
      <c r="AP53" s="300">
        <v>31</v>
      </c>
      <c r="AQ53" s="585">
        <f>SUM('Schedule 3B_Income_Eastern:Schedule 3D_Income_The Cape'!AQ53)</f>
        <v>6499533.4980621925</v>
      </c>
      <c r="AR53" s="585">
        <f>SUM('Schedule 3B_Income_Eastern:Schedule 3D_Income_The Cape'!AR53)</f>
        <v>8885787.0593809485</v>
      </c>
      <c r="AS53" s="585">
        <f>SUM('Schedule 3B_Income_Eastern:Schedule 3D_Income_The Cape'!AS53)</f>
        <v>6311634.7910709707</v>
      </c>
      <c r="AT53" s="585">
        <f>SUM('Schedule 3B_Income_Eastern:Schedule 3D_Income_The Cape'!AT53)</f>
        <v>9483687.4426528811</v>
      </c>
      <c r="AU53" s="585">
        <f>SUM('Schedule 3B_Income_Eastern:Schedule 3D_Income_The Cape'!AU53)</f>
        <v>7244649.0033837659</v>
      </c>
      <c r="AV53" s="585">
        <f>SUM('Schedule 3B_Income_Eastern:Schedule 3D_Income_The Cape'!AV53)</f>
        <v>10400532.411137361</v>
      </c>
      <c r="AW53" s="585">
        <f>SUM('Schedule 3B_Income_Eastern:Schedule 3D_Income_The Cape'!AW53)</f>
        <v>8189920.2252362818</v>
      </c>
      <c r="AX53" s="585">
        <f>SUM('Schedule 3B_Income_Eastern:Schedule 3D_Income_The Cape'!AX53)</f>
        <v>11048267.954428518</v>
      </c>
      <c r="AY53" s="586">
        <f t="shared" si="143"/>
        <v>68064012.385352924</v>
      </c>
      <c r="AZ53" s="587">
        <f>SUM('Schedule 3B_Income_Eastern:Schedule 3D_Income_The Cape'!AZ53)</f>
        <v>0</v>
      </c>
      <c r="BA53" s="585">
        <f>SUM('Schedule 3B_Income_Eastern:Schedule 3D_Income_The Cape'!BA53)</f>
        <v>0</v>
      </c>
      <c r="BB53" s="585">
        <f>SUM('Schedule 3B_Income_Eastern:Schedule 3D_Income_The Cape'!BB53)</f>
        <v>0</v>
      </c>
      <c r="BC53" s="585">
        <f>SUM('Schedule 3B_Income_Eastern:Schedule 3D_Income_The Cape'!BC53)</f>
        <v>212.99656508290104</v>
      </c>
      <c r="BD53" s="585">
        <f>SUM('Schedule 3B_Income_Eastern:Schedule 3D_Income_The Cape'!BD53)</f>
        <v>0</v>
      </c>
      <c r="BE53" s="585">
        <f>SUM('Schedule 3B_Income_Eastern:Schedule 3D_Income_The Cape'!BE53)</f>
        <v>2387.9278471000007</v>
      </c>
      <c r="BF53" s="585">
        <f>SUM('Schedule 3B_Income_Eastern:Schedule 3D_Income_The Cape'!BF53)</f>
        <v>0</v>
      </c>
      <c r="BG53" s="585">
        <f>SUM('Schedule 3B_Income_Eastern:Schedule 3D_Income_The Cape'!BG53)</f>
        <v>56379.627564837414</v>
      </c>
      <c r="BH53" s="588">
        <f t="shared" si="144"/>
        <v>58980.551977020317</v>
      </c>
      <c r="BI53" s="589">
        <f t="shared" si="145"/>
        <v>68122992.937329948</v>
      </c>
      <c r="BJ53" s="300">
        <v>31</v>
      </c>
      <c r="BK53" s="585">
        <f>SUM('Schedule 3B_Income_Eastern:Schedule 3D_Income_The Cape'!BK53)</f>
        <v>0</v>
      </c>
      <c r="BL53" s="585">
        <f>SUM('Schedule 3B_Income_Eastern:Schedule 3D_Income_The Cape'!BL53)</f>
        <v>10165.376680515488</v>
      </c>
      <c r="BM53" s="585">
        <f>SUM('Schedule 3B_Income_Eastern:Schedule 3D_Income_The Cape'!BM53)</f>
        <v>848.39068902547217</v>
      </c>
      <c r="BN53" s="585">
        <f>SUM('Schedule 3B_Income_Eastern:Schedule 3D_Income_The Cape'!BN53)</f>
        <v>3164.869617087566</v>
      </c>
      <c r="BO53" s="585">
        <f>SUM('Schedule 3B_Income_Eastern:Schedule 3D_Income_The Cape'!BO53)</f>
        <v>821.19165995942876</v>
      </c>
      <c r="BP53" s="585">
        <f>SUM('Schedule 3B_Income_Eastern:Schedule 3D_Income_The Cape'!BP53)</f>
        <v>2986.6814038274761</v>
      </c>
      <c r="BQ53" s="585">
        <f>SUM('Schedule 3B_Income_Eastern:Schedule 3D_Income_The Cape'!BQ53)</f>
        <v>0</v>
      </c>
      <c r="BR53" s="585">
        <f>SUM('Schedule 3B_Income_Eastern:Schedule 3D_Income_The Cape'!BR53)</f>
        <v>6144.3369242609842</v>
      </c>
      <c r="BS53" s="586">
        <f t="shared" si="146"/>
        <v>24130.846974676417</v>
      </c>
      <c r="BT53" s="587">
        <f>SUM('Schedule 3B_Income_Eastern:Schedule 3D_Income_The Cape'!BT53)</f>
        <v>0</v>
      </c>
      <c r="BU53" s="585">
        <f>SUM('Schedule 3B_Income_Eastern:Schedule 3D_Income_The Cape'!BU53)</f>
        <v>0</v>
      </c>
      <c r="BV53" s="585">
        <f>SUM('Schedule 3B_Income_Eastern:Schedule 3D_Income_The Cape'!BV53)</f>
        <v>0</v>
      </c>
      <c r="BW53" s="585">
        <f>SUM('Schedule 3B_Income_Eastern:Schedule 3D_Income_The Cape'!BW53)</f>
        <v>0</v>
      </c>
      <c r="BX53" s="585">
        <f>SUM('Schedule 3B_Income_Eastern:Schedule 3D_Income_The Cape'!BX53)</f>
        <v>0</v>
      </c>
      <c r="BY53" s="585">
        <f>SUM('Schedule 3B_Income_Eastern:Schedule 3D_Income_The Cape'!BY53)</f>
        <v>0</v>
      </c>
      <c r="BZ53" s="585">
        <f>SUM('Schedule 3B_Income_Eastern:Schedule 3D_Income_The Cape'!BZ53)</f>
        <v>0</v>
      </c>
      <c r="CA53" s="585">
        <f>SUM('Schedule 3B_Income_Eastern:Schedule 3D_Income_The Cape'!CA53)</f>
        <v>0</v>
      </c>
      <c r="CB53" s="588">
        <f t="shared" si="147"/>
        <v>0</v>
      </c>
      <c r="CC53" s="589">
        <f t="shared" si="148"/>
        <v>24130.846974676417</v>
      </c>
      <c r="CD53" s="300">
        <v>31</v>
      </c>
      <c r="CE53" s="414">
        <f t="shared" si="101"/>
        <v>15691866.51022671</v>
      </c>
      <c r="CF53" s="414">
        <f t="shared" si="102"/>
        <v>16766845.430636138</v>
      </c>
      <c r="CG53" s="414">
        <f t="shared" si="103"/>
        <v>18543980.962636303</v>
      </c>
      <c r="CH53" s="414">
        <f t="shared" si="104"/>
        <v>19670224.353434369</v>
      </c>
      <c r="CI53" s="416">
        <f t="shared" si="105"/>
        <v>70672917.25693351</v>
      </c>
      <c r="CJ53" s="414">
        <f t="shared" si="106"/>
        <v>0</v>
      </c>
      <c r="CK53" s="414">
        <f t="shared" si="107"/>
        <v>212.99656508290104</v>
      </c>
      <c r="CL53" s="414">
        <f t="shared" si="108"/>
        <v>2387.9278471000007</v>
      </c>
      <c r="CM53" s="414">
        <f t="shared" si="109"/>
        <v>56379.627564837414</v>
      </c>
      <c r="CN53" s="416">
        <f t="shared" si="110"/>
        <v>58980.551977020317</v>
      </c>
      <c r="CO53" s="414">
        <f t="shared" si="111"/>
        <v>15691866.51022671</v>
      </c>
      <c r="CP53" s="414">
        <f t="shared" si="112"/>
        <v>16767058.427201221</v>
      </c>
      <c r="CQ53" s="414">
        <f t="shared" si="113"/>
        <v>18546368.890483402</v>
      </c>
      <c r="CR53" s="414">
        <f t="shared" si="114"/>
        <v>19726603.980999205</v>
      </c>
      <c r="CS53" s="416">
        <f t="shared" si="115"/>
        <v>70731897.808910534</v>
      </c>
    </row>
    <row r="54" spans="1:101" ht="15.75" customHeight="1">
      <c r="A54" s="88" t="s">
        <v>219</v>
      </c>
      <c r="B54" s="300">
        <v>32</v>
      </c>
      <c r="C54" s="585">
        <f>SUM('Schedule 3B_Income_Eastern:Schedule 3D_Income_The Cape'!C54)</f>
        <v>0</v>
      </c>
      <c r="D54" s="585">
        <f>SUM('Schedule 3B_Income_Eastern:Schedule 3D_Income_The Cape'!D54)</f>
        <v>0</v>
      </c>
      <c r="E54" s="585">
        <f>SUM('Schedule 3B_Income_Eastern:Schedule 3D_Income_The Cape'!E54)</f>
        <v>0</v>
      </c>
      <c r="F54" s="585">
        <f>SUM('Schedule 3B_Income_Eastern:Schedule 3D_Income_The Cape'!F54)</f>
        <v>0</v>
      </c>
      <c r="G54" s="585">
        <f>SUM('Schedule 3B_Income_Eastern:Schedule 3D_Income_The Cape'!G54)</f>
        <v>0</v>
      </c>
      <c r="H54" s="585">
        <f>SUM('Schedule 3B_Income_Eastern:Schedule 3D_Income_The Cape'!H54)</f>
        <v>0</v>
      </c>
      <c r="I54" s="585">
        <f>SUM('Schedule 3B_Income_Eastern:Schedule 3D_Income_The Cape'!I54)</f>
        <v>0</v>
      </c>
      <c r="J54" s="585">
        <f>SUM('Schedule 3B_Income_Eastern:Schedule 3D_Income_The Cape'!J54)</f>
        <v>0</v>
      </c>
      <c r="K54" s="586">
        <f t="shared" si="137"/>
        <v>0</v>
      </c>
      <c r="L54" s="587">
        <f>SUM('Schedule 3B_Income_Eastern:Schedule 3D_Income_The Cape'!L54)</f>
        <v>0</v>
      </c>
      <c r="M54" s="585">
        <f>SUM('Schedule 3B_Income_Eastern:Schedule 3D_Income_The Cape'!M54)</f>
        <v>0</v>
      </c>
      <c r="N54" s="585">
        <f>SUM('Schedule 3B_Income_Eastern:Schedule 3D_Income_The Cape'!N54)</f>
        <v>0</v>
      </c>
      <c r="O54" s="585">
        <f>SUM('Schedule 3B_Income_Eastern:Schedule 3D_Income_The Cape'!O54)</f>
        <v>0</v>
      </c>
      <c r="P54" s="585">
        <f>SUM('Schedule 3B_Income_Eastern:Schedule 3D_Income_The Cape'!P54)</f>
        <v>0</v>
      </c>
      <c r="Q54" s="585">
        <f>SUM('Schedule 3B_Income_Eastern:Schedule 3D_Income_The Cape'!Q54)</f>
        <v>0</v>
      </c>
      <c r="R54" s="585">
        <f>SUM('Schedule 3B_Income_Eastern:Schedule 3D_Income_The Cape'!R54)</f>
        <v>0</v>
      </c>
      <c r="S54" s="585">
        <f>SUM('Schedule 3B_Income_Eastern:Schedule 3D_Income_The Cape'!S54)</f>
        <v>0</v>
      </c>
      <c r="T54" s="588">
        <f t="shared" si="138"/>
        <v>0</v>
      </c>
      <c r="U54" s="589">
        <f t="shared" si="139"/>
        <v>0</v>
      </c>
      <c r="V54" s="300">
        <v>32</v>
      </c>
      <c r="W54" s="585">
        <f>SUM('Schedule 3B_Income_Eastern:Schedule 3D_Income_The Cape'!W54)</f>
        <v>0</v>
      </c>
      <c r="X54" s="585">
        <f>SUM('Schedule 3B_Income_Eastern:Schedule 3D_Income_The Cape'!X54)</f>
        <v>0</v>
      </c>
      <c r="Y54" s="585">
        <f>SUM('Schedule 3B_Income_Eastern:Schedule 3D_Income_The Cape'!Y54)</f>
        <v>0</v>
      </c>
      <c r="Z54" s="585">
        <f>SUM('Schedule 3B_Income_Eastern:Schedule 3D_Income_The Cape'!Z54)</f>
        <v>0</v>
      </c>
      <c r="AA54" s="585">
        <f>SUM('Schedule 3B_Income_Eastern:Schedule 3D_Income_The Cape'!AA54)</f>
        <v>0</v>
      </c>
      <c r="AB54" s="585">
        <f>SUM('Schedule 3B_Income_Eastern:Schedule 3D_Income_The Cape'!AB54)</f>
        <v>0</v>
      </c>
      <c r="AC54" s="585">
        <f>SUM('Schedule 3B_Income_Eastern:Schedule 3D_Income_The Cape'!AC54)</f>
        <v>0</v>
      </c>
      <c r="AD54" s="585">
        <f>SUM('Schedule 3B_Income_Eastern:Schedule 3D_Income_The Cape'!AD54)</f>
        <v>0</v>
      </c>
      <c r="AE54" s="586">
        <f t="shared" si="140"/>
        <v>0</v>
      </c>
      <c r="AF54" s="587">
        <f>SUM('Schedule 3B_Income_Eastern:Schedule 3D_Income_The Cape'!AF54)</f>
        <v>0</v>
      </c>
      <c r="AG54" s="585">
        <f>SUM('Schedule 3B_Income_Eastern:Schedule 3D_Income_The Cape'!AG54)</f>
        <v>0</v>
      </c>
      <c r="AH54" s="585">
        <f>SUM('Schedule 3B_Income_Eastern:Schedule 3D_Income_The Cape'!AH54)</f>
        <v>0</v>
      </c>
      <c r="AI54" s="585">
        <f>SUM('Schedule 3B_Income_Eastern:Schedule 3D_Income_The Cape'!AI54)</f>
        <v>0</v>
      </c>
      <c r="AJ54" s="585">
        <f>SUM('Schedule 3B_Income_Eastern:Schedule 3D_Income_The Cape'!AJ54)</f>
        <v>0</v>
      </c>
      <c r="AK54" s="585">
        <f>SUM('Schedule 3B_Income_Eastern:Schedule 3D_Income_The Cape'!AK54)</f>
        <v>0</v>
      </c>
      <c r="AL54" s="585">
        <f>SUM('Schedule 3B_Income_Eastern:Schedule 3D_Income_The Cape'!AL54)</f>
        <v>0</v>
      </c>
      <c r="AM54" s="585">
        <f>SUM('Schedule 3B_Income_Eastern:Schedule 3D_Income_The Cape'!AM54)</f>
        <v>0</v>
      </c>
      <c r="AN54" s="588">
        <f t="shared" si="141"/>
        <v>0</v>
      </c>
      <c r="AO54" s="589">
        <f t="shared" si="142"/>
        <v>0</v>
      </c>
      <c r="AP54" s="300">
        <v>32</v>
      </c>
      <c r="AQ54" s="585">
        <f>SUM('Schedule 3B_Income_Eastern:Schedule 3D_Income_The Cape'!AQ54)</f>
        <v>0</v>
      </c>
      <c r="AR54" s="585">
        <f>SUM('Schedule 3B_Income_Eastern:Schedule 3D_Income_The Cape'!AR54)</f>
        <v>0</v>
      </c>
      <c r="AS54" s="585">
        <f>SUM('Schedule 3B_Income_Eastern:Schedule 3D_Income_The Cape'!AS54)</f>
        <v>0</v>
      </c>
      <c r="AT54" s="585">
        <f>SUM('Schedule 3B_Income_Eastern:Schedule 3D_Income_The Cape'!AT54)</f>
        <v>0</v>
      </c>
      <c r="AU54" s="585">
        <f>SUM('Schedule 3B_Income_Eastern:Schedule 3D_Income_The Cape'!AU54)</f>
        <v>0</v>
      </c>
      <c r="AV54" s="585">
        <f>SUM('Schedule 3B_Income_Eastern:Schedule 3D_Income_The Cape'!AV54)</f>
        <v>0</v>
      </c>
      <c r="AW54" s="585">
        <f>SUM('Schedule 3B_Income_Eastern:Schedule 3D_Income_The Cape'!AW54)</f>
        <v>0</v>
      </c>
      <c r="AX54" s="585">
        <f>SUM('Schedule 3B_Income_Eastern:Schedule 3D_Income_The Cape'!AX54)</f>
        <v>0</v>
      </c>
      <c r="AY54" s="586">
        <f t="shared" si="143"/>
        <v>0</v>
      </c>
      <c r="AZ54" s="587">
        <f>SUM('Schedule 3B_Income_Eastern:Schedule 3D_Income_The Cape'!AZ54)</f>
        <v>0</v>
      </c>
      <c r="BA54" s="585">
        <f>SUM('Schedule 3B_Income_Eastern:Schedule 3D_Income_The Cape'!BA54)</f>
        <v>0</v>
      </c>
      <c r="BB54" s="585">
        <f>SUM('Schedule 3B_Income_Eastern:Schedule 3D_Income_The Cape'!BB54)</f>
        <v>0</v>
      </c>
      <c r="BC54" s="585">
        <f>SUM('Schedule 3B_Income_Eastern:Schedule 3D_Income_The Cape'!BC54)</f>
        <v>0</v>
      </c>
      <c r="BD54" s="585">
        <f>SUM('Schedule 3B_Income_Eastern:Schedule 3D_Income_The Cape'!BD54)</f>
        <v>0</v>
      </c>
      <c r="BE54" s="585">
        <f>SUM('Schedule 3B_Income_Eastern:Schedule 3D_Income_The Cape'!BE54)</f>
        <v>0</v>
      </c>
      <c r="BF54" s="585">
        <f>SUM('Schedule 3B_Income_Eastern:Schedule 3D_Income_The Cape'!BF54)</f>
        <v>0</v>
      </c>
      <c r="BG54" s="585">
        <f>SUM('Schedule 3B_Income_Eastern:Schedule 3D_Income_The Cape'!BG54)</f>
        <v>0</v>
      </c>
      <c r="BH54" s="588">
        <f t="shared" si="144"/>
        <v>0</v>
      </c>
      <c r="BI54" s="589">
        <f t="shared" si="145"/>
        <v>0</v>
      </c>
      <c r="BJ54" s="300">
        <v>32</v>
      </c>
      <c r="BK54" s="585">
        <f>SUM('Schedule 3B_Income_Eastern:Schedule 3D_Income_The Cape'!BK54)</f>
        <v>0</v>
      </c>
      <c r="BL54" s="585">
        <f>SUM('Schedule 3B_Income_Eastern:Schedule 3D_Income_The Cape'!BL54)</f>
        <v>0</v>
      </c>
      <c r="BM54" s="585">
        <f>SUM('Schedule 3B_Income_Eastern:Schedule 3D_Income_The Cape'!BM54)</f>
        <v>0</v>
      </c>
      <c r="BN54" s="585">
        <f>SUM('Schedule 3B_Income_Eastern:Schedule 3D_Income_The Cape'!BN54)</f>
        <v>0</v>
      </c>
      <c r="BO54" s="585">
        <f>SUM('Schedule 3B_Income_Eastern:Schedule 3D_Income_The Cape'!BO54)</f>
        <v>0</v>
      </c>
      <c r="BP54" s="585">
        <f>SUM('Schedule 3B_Income_Eastern:Schedule 3D_Income_The Cape'!BP54)</f>
        <v>0</v>
      </c>
      <c r="BQ54" s="585">
        <f>SUM('Schedule 3B_Income_Eastern:Schedule 3D_Income_The Cape'!BQ54)</f>
        <v>0</v>
      </c>
      <c r="BR54" s="585">
        <f>SUM('Schedule 3B_Income_Eastern:Schedule 3D_Income_The Cape'!BR54)</f>
        <v>0</v>
      </c>
      <c r="BS54" s="586">
        <f t="shared" si="146"/>
        <v>0</v>
      </c>
      <c r="BT54" s="587">
        <f>SUM('Schedule 3B_Income_Eastern:Schedule 3D_Income_The Cape'!BT54)</f>
        <v>0</v>
      </c>
      <c r="BU54" s="585">
        <f>SUM('Schedule 3B_Income_Eastern:Schedule 3D_Income_The Cape'!BU54)</f>
        <v>0</v>
      </c>
      <c r="BV54" s="585">
        <f>SUM('Schedule 3B_Income_Eastern:Schedule 3D_Income_The Cape'!BV54)</f>
        <v>0</v>
      </c>
      <c r="BW54" s="585">
        <f>SUM('Schedule 3B_Income_Eastern:Schedule 3D_Income_The Cape'!BW54)</f>
        <v>0</v>
      </c>
      <c r="BX54" s="585">
        <f>SUM('Schedule 3B_Income_Eastern:Schedule 3D_Income_The Cape'!BX54)</f>
        <v>0</v>
      </c>
      <c r="BY54" s="585">
        <f>SUM('Schedule 3B_Income_Eastern:Schedule 3D_Income_The Cape'!BY54)</f>
        <v>0</v>
      </c>
      <c r="BZ54" s="585">
        <f>SUM('Schedule 3B_Income_Eastern:Schedule 3D_Income_The Cape'!BZ54)</f>
        <v>0</v>
      </c>
      <c r="CA54" s="585">
        <f>SUM('Schedule 3B_Income_Eastern:Schedule 3D_Income_The Cape'!CA54)</f>
        <v>0</v>
      </c>
      <c r="CB54" s="588">
        <f t="shared" si="147"/>
        <v>0</v>
      </c>
      <c r="CC54" s="589">
        <f t="shared" si="148"/>
        <v>0</v>
      </c>
      <c r="CD54" s="300">
        <v>32</v>
      </c>
      <c r="CE54" s="414">
        <f t="shared" si="101"/>
        <v>0</v>
      </c>
      <c r="CF54" s="414">
        <f t="shared" si="102"/>
        <v>0</v>
      </c>
      <c r="CG54" s="414">
        <f t="shared" si="103"/>
        <v>0</v>
      </c>
      <c r="CH54" s="414">
        <f t="shared" si="104"/>
        <v>0</v>
      </c>
      <c r="CI54" s="416">
        <f t="shared" si="105"/>
        <v>0</v>
      </c>
      <c r="CJ54" s="414">
        <f t="shared" si="106"/>
        <v>0</v>
      </c>
      <c r="CK54" s="414">
        <f t="shared" si="107"/>
        <v>0</v>
      </c>
      <c r="CL54" s="414">
        <f t="shared" si="108"/>
        <v>0</v>
      </c>
      <c r="CM54" s="414">
        <f t="shared" si="109"/>
        <v>0</v>
      </c>
      <c r="CN54" s="416">
        <f t="shared" si="110"/>
        <v>0</v>
      </c>
      <c r="CO54" s="414">
        <f t="shared" si="111"/>
        <v>0</v>
      </c>
      <c r="CP54" s="414">
        <f t="shared" si="112"/>
        <v>0</v>
      </c>
      <c r="CQ54" s="414">
        <f t="shared" si="113"/>
        <v>0</v>
      </c>
      <c r="CR54" s="414">
        <f t="shared" si="114"/>
        <v>0</v>
      </c>
      <c r="CS54" s="416">
        <f t="shared" si="115"/>
        <v>0</v>
      </c>
    </row>
    <row r="55" spans="1:101" ht="15.75" customHeight="1">
      <c r="A55" s="88" t="s">
        <v>220</v>
      </c>
      <c r="B55" s="300">
        <v>33</v>
      </c>
      <c r="C55" s="585">
        <f>SUM('Schedule 3B_Income_Eastern:Schedule 3D_Income_The Cape'!C55)</f>
        <v>48276.628656827859</v>
      </c>
      <c r="D55" s="585">
        <f>SUM('Schedule 3B_Income_Eastern:Schedule 3D_Income_The Cape'!D55)</f>
        <v>477396.82970285357</v>
      </c>
      <c r="E55" s="585">
        <f>SUM('Schedule 3B_Income_Eastern:Schedule 3D_Income_The Cape'!E55)</f>
        <v>71296.24716982845</v>
      </c>
      <c r="F55" s="585">
        <f>SUM('Schedule 3B_Income_Eastern:Schedule 3D_Income_The Cape'!F55)</f>
        <v>912398.54350864596</v>
      </c>
      <c r="G55" s="585">
        <f>SUM('Schedule 3B_Income_Eastern:Schedule 3D_Income_The Cape'!G55)</f>
        <v>78962.929770243252</v>
      </c>
      <c r="H55" s="585">
        <f>SUM('Schedule 3B_Income_Eastern:Schedule 3D_Income_The Cape'!H55)</f>
        <v>758257.82657735655</v>
      </c>
      <c r="I55" s="585">
        <f>SUM('Schedule 3B_Income_Eastern:Schedule 3D_Income_The Cape'!I55)</f>
        <v>70787.942594306209</v>
      </c>
      <c r="J55" s="585">
        <f>SUM('Schedule 3B_Income_Eastern:Schedule 3D_Income_The Cape'!J55)</f>
        <v>555215.9814913827</v>
      </c>
      <c r="K55" s="586">
        <f t="shared" si="89"/>
        <v>2972592.9294714443</v>
      </c>
      <c r="L55" s="587">
        <f>SUM('Schedule 3B_Income_Eastern:Schedule 3D_Income_The Cape'!L55)</f>
        <v>0</v>
      </c>
      <c r="M55" s="585">
        <f>SUM('Schedule 3B_Income_Eastern:Schedule 3D_Income_The Cape'!M55)</f>
        <v>70330.269898422514</v>
      </c>
      <c r="N55" s="585">
        <f>SUM('Schedule 3B_Income_Eastern:Schedule 3D_Income_The Cape'!N55)</f>
        <v>0</v>
      </c>
      <c r="O55" s="585">
        <f>SUM('Schedule 3B_Income_Eastern:Schedule 3D_Income_The Cape'!O55)</f>
        <v>249145.11926097673</v>
      </c>
      <c r="P55" s="585">
        <f>SUM('Schedule 3B_Income_Eastern:Schedule 3D_Income_The Cape'!P55)</f>
        <v>0</v>
      </c>
      <c r="Q55" s="585">
        <f>SUM('Schedule 3B_Income_Eastern:Schedule 3D_Income_The Cape'!Q55)</f>
        <v>140169.54533172079</v>
      </c>
      <c r="R55" s="585">
        <f>SUM('Schedule 3B_Income_Eastern:Schedule 3D_Income_The Cape'!R55)</f>
        <v>0</v>
      </c>
      <c r="S55" s="585">
        <f>SUM('Schedule 3B_Income_Eastern:Schedule 3D_Income_The Cape'!S55)</f>
        <v>98811.260323711133</v>
      </c>
      <c r="T55" s="588">
        <f t="shared" si="90"/>
        <v>558456.19481483113</v>
      </c>
      <c r="U55" s="589">
        <f t="shared" si="91"/>
        <v>3531049.1242862754</v>
      </c>
      <c r="V55" s="300">
        <v>33</v>
      </c>
      <c r="W55" s="585">
        <f>SUM('Schedule 3B_Income_Eastern:Schedule 3D_Income_The Cape'!W55)</f>
        <v>9165.89211408958</v>
      </c>
      <c r="X55" s="585">
        <f>SUM('Schedule 3B_Income_Eastern:Schedule 3D_Income_The Cape'!X55)</f>
        <v>162262.32210102488</v>
      </c>
      <c r="Y55" s="585">
        <f>SUM('Schedule 3B_Income_Eastern:Schedule 3D_Income_The Cape'!Y55)</f>
        <v>7760.4126030421312</v>
      </c>
      <c r="Z55" s="585">
        <f>SUM('Schedule 3B_Income_Eastern:Schedule 3D_Income_The Cape'!Z55)</f>
        <v>159749.41436471275</v>
      </c>
      <c r="AA55" s="585">
        <f>SUM('Schedule 3B_Income_Eastern:Schedule 3D_Income_The Cape'!AA55)</f>
        <v>13269.355736681835</v>
      </c>
      <c r="AB55" s="585">
        <f>SUM('Schedule 3B_Income_Eastern:Schedule 3D_Income_The Cape'!AB55)</f>
        <v>166080.65151157495</v>
      </c>
      <c r="AC55" s="585">
        <f>SUM('Schedule 3B_Income_Eastern:Schedule 3D_Income_The Cape'!AC55)</f>
        <v>8407.3754758351879</v>
      </c>
      <c r="AD55" s="585">
        <f>SUM('Schedule 3B_Income_Eastern:Schedule 3D_Income_The Cape'!AD55)</f>
        <v>165704.07065867211</v>
      </c>
      <c r="AE55" s="586">
        <f t="shared" si="92"/>
        <v>692399.49456563347</v>
      </c>
      <c r="AF55" s="587">
        <f>SUM('Schedule 3B_Income_Eastern:Schedule 3D_Income_The Cape'!AF55)</f>
        <v>0</v>
      </c>
      <c r="AG55" s="585">
        <f>SUM('Schedule 3B_Income_Eastern:Schedule 3D_Income_The Cape'!AG55)</f>
        <v>34700.344913714071</v>
      </c>
      <c r="AH55" s="585">
        <f>SUM('Schedule 3B_Income_Eastern:Schedule 3D_Income_The Cape'!AH55)</f>
        <v>0</v>
      </c>
      <c r="AI55" s="585">
        <f>SUM('Schedule 3B_Income_Eastern:Schedule 3D_Income_The Cape'!AI55)</f>
        <v>24970.371437235553</v>
      </c>
      <c r="AJ55" s="585">
        <f>SUM('Schedule 3B_Income_Eastern:Schedule 3D_Income_The Cape'!AJ55)</f>
        <v>0</v>
      </c>
      <c r="AK55" s="585">
        <f>SUM('Schedule 3B_Income_Eastern:Schedule 3D_Income_The Cape'!AK55)</f>
        <v>19706.630226274388</v>
      </c>
      <c r="AL55" s="585">
        <f>SUM('Schedule 3B_Income_Eastern:Schedule 3D_Income_The Cape'!AL55)</f>
        <v>0</v>
      </c>
      <c r="AM55" s="585">
        <f>SUM('Schedule 3B_Income_Eastern:Schedule 3D_Income_The Cape'!AM55)</f>
        <v>27497.376929712533</v>
      </c>
      <c r="AN55" s="588">
        <f t="shared" si="93"/>
        <v>106874.72350693654</v>
      </c>
      <c r="AO55" s="589">
        <f t="shared" si="94"/>
        <v>799274.21807257005</v>
      </c>
      <c r="AP55" s="300">
        <v>33</v>
      </c>
      <c r="AQ55" s="585">
        <f>SUM('Schedule 3B_Income_Eastern:Schedule 3D_Income_The Cape'!AQ55)</f>
        <v>790819.76673769648</v>
      </c>
      <c r="AR55" s="585">
        <f>SUM('Schedule 3B_Income_Eastern:Schedule 3D_Income_The Cape'!AR55)</f>
        <v>5673549.7797429673</v>
      </c>
      <c r="AS55" s="585">
        <f>SUM('Schedule 3B_Income_Eastern:Schedule 3D_Income_The Cape'!AS55)</f>
        <v>835605.70358626754</v>
      </c>
      <c r="AT55" s="585">
        <f>SUM('Schedule 3B_Income_Eastern:Schedule 3D_Income_The Cape'!AT55)</f>
        <v>5883737.9167808825</v>
      </c>
      <c r="AU55" s="585">
        <f>SUM('Schedule 3B_Income_Eastern:Schedule 3D_Income_The Cape'!AU55)</f>
        <v>860604.81950717466</v>
      </c>
      <c r="AV55" s="585">
        <f>SUM('Schedule 3B_Income_Eastern:Schedule 3D_Income_The Cape'!AV55)</f>
        <v>6311301.3764147796</v>
      </c>
      <c r="AW55" s="585">
        <f>SUM('Schedule 3B_Income_Eastern:Schedule 3D_Income_The Cape'!AW55)</f>
        <v>917513.07386282738</v>
      </c>
      <c r="AX55" s="585">
        <f>SUM('Schedule 3B_Income_Eastern:Schedule 3D_Income_The Cape'!AX55)</f>
        <v>6690353.0183221633</v>
      </c>
      <c r="AY55" s="586">
        <f t="shared" si="95"/>
        <v>27963485.454954758</v>
      </c>
      <c r="AZ55" s="587">
        <f>SUM('Schedule 3B_Income_Eastern:Schedule 3D_Income_The Cape'!AZ55)</f>
        <v>0</v>
      </c>
      <c r="BA55" s="585">
        <f>SUM('Schedule 3B_Income_Eastern:Schedule 3D_Income_The Cape'!BA55)</f>
        <v>1817453.3622386048</v>
      </c>
      <c r="BB55" s="585">
        <f>SUM('Schedule 3B_Income_Eastern:Schedule 3D_Income_The Cape'!BB55)</f>
        <v>0</v>
      </c>
      <c r="BC55" s="585">
        <f>SUM('Schedule 3B_Income_Eastern:Schedule 3D_Income_The Cape'!BC55)</f>
        <v>1558744.5029345774</v>
      </c>
      <c r="BD55" s="585">
        <f>SUM('Schedule 3B_Income_Eastern:Schedule 3D_Income_The Cape'!BD55)</f>
        <v>0</v>
      </c>
      <c r="BE55" s="585">
        <f>SUM('Schedule 3B_Income_Eastern:Schedule 3D_Income_The Cape'!BE55)</f>
        <v>1586654.1893540961</v>
      </c>
      <c r="BF55" s="585">
        <f>SUM('Schedule 3B_Income_Eastern:Schedule 3D_Income_The Cape'!BF55)</f>
        <v>0</v>
      </c>
      <c r="BG55" s="585">
        <f>SUM('Schedule 3B_Income_Eastern:Schedule 3D_Income_The Cape'!BG55)</f>
        <v>1827244.953773139</v>
      </c>
      <c r="BH55" s="588">
        <f t="shared" si="96"/>
        <v>6790097.008300418</v>
      </c>
      <c r="BI55" s="589">
        <f t="shared" si="97"/>
        <v>34753582.463255174</v>
      </c>
      <c r="BJ55" s="300">
        <v>33</v>
      </c>
      <c r="BK55" s="585">
        <f>SUM('Schedule 3B_Income_Eastern:Schedule 3D_Income_The Cape'!BK55)</f>
        <v>4684.7326324293408</v>
      </c>
      <c r="BL55" s="585">
        <f>SUM('Schedule 3B_Income_Eastern:Schedule 3D_Income_The Cape'!BL55)</f>
        <v>49898.0534004168</v>
      </c>
      <c r="BM55" s="585">
        <f>SUM('Schedule 3B_Income_Eastern:Schedule 3D_Income_The Cape'!BM55)</f>
        <v>3010.6158545985195</v>
      </c>
      <c r="BN55" s="585">
        <f>SUM('Schedule 3B_Income_Eastern:Schedule 3D_Income_The Cape'!BN55)</f>
        <v>54163.009216153281</v>
      </c>
      <c r="BO55" s="585">
        <f>SUM('Schedule 3B_Income_Eastern:Schedule 3D_Income_The Cape'!BO55)</f>
        <v>2945.295193379392</v>
      </c>
      <c r="BP55" s="585">
        <f>SUM('Schedule 3B_Income_Eastern:Schedule 3D_Income_The Cape'!BP55)</f>
        <v>67145.307423368504</v>
      </c>
      <c r="BQ55" s="585">
        <f>SUM('Schedule 3B_Income_Eastern:Schedule 3D_Income_The Cape'!BQ55)</f>
        <v>5735.7749239045188</v>
      </c>
      <c r="BR55" s="585">
        <f>SUM('Schedule 3B_Income_Eastern:Schedule 3D_Income_The Cape'!BR55)</f>
        <v>71397.514823518941</v>
      </c>
      <c r="BS55" s="586">
        <f t="shared" si="98"/>
        <v>258980.30346776929</v>
      </c>
      <c r="BT55" s="587">
        <f>SUM('Schedule 3B_Income_Eastern:Schedule 3D_Income_The Cape'!BT55)</f>
        <v>0</v>
      </c>
      <c r="BU55" s="585">
        <f>SUM('Schedule 3B_Income_Eastern:Schedule 3D_Income_The Cape'!BU55)</f>
        <v>33580.403632696485</v>
      </c>
      <c r="BV55" s="585">
        <f>SUM('Schedule 3B_Income_Eastern:Schedule 3D_Income_The Cape'!BV55)</f>
        <v>0</v>
      </c>
      <c r="BW55" s="585">
        <f>SUM('Schedule 3B_Income_Eastern:Schedule 3D_Income_The Cape'!BW55)</f>
        <v>30547.627995987757</v>
      </c>
      <c r="BX55" s="585">
        <f>SUM('Schedule 3B_Income_Eastern:Schedule 3D_Income_The Cape'!BX55)</f>
        <v>0</v>
      </c>
      <c r="BY55" s="585">
        <f>SUM('Schedule 3B_Income_Eastern:Schedule 3D_Income_The Cape'!BY55)</f>
        <v>19951.700881433837</v>
      </c>
      <c r="BZ55" s="585">
        <f>SUM('Schedule 3B_Income_Eastern:Schedule 3D_Income_The Cape'!BZ55)</f>
        <v>0</v>
      </c>
      <c r="CA55" s="585">
        <f>SUM('Schedule 3B_Income_Eastern:Schedule 3D_Income_The Cape'!CA55)</f>
        <v>30251.521883197544</v>
      </c>
      <c r="CB55" s="588">
        <f t="shared" si="99"/>
        <v>114331.25439331561</v>
      </c>
      <c r="CC55" s="589">
        <f t="shared" si="100"/>
        <v>373311.55786108493</v>
      </c>
      <c r="CD55" s="300">
        <v>33</v>
      </c>
      <c r="CE55" s="414">
        <f t="shared" si="101"/>
        <v>7216054.005088306</v>
      </c>
      <c r="CF55" s="414">
        <f t="shared" si="102"/>
        <v>7927721.8630841309</v>
      </c>
      <c r="CG55" s="414">
        <f t="shared" si="103"/>
        <v>8258567.5621345583</v>
      </c>
      <c r="CH55" s="414">
        <f t="shared" si="104"/>
        <v>8485114.7521526087</v>
      </c>
      <c r="CI55" s="416">
        <f t="shared" si="105"/>
        <v>31887458.182459604</v>
      </c>
      <c r="CJ55" s="414">
        <f t="shared" si="106"/>
        <v>1956064.3806834379</v>
      </c>
      <c r="CK55" s="414">
        <f t="shared" si="107"/>
        <v>1863407.6216287774</v>
      </c>
      <c r="CL55" s="414">
        <f t="shared" si="108"/>
        <v>1766482.0657935252</v>
      </c>
      <c r="CM55" s="414">
        <f t="shared" si="109"/>
        <v>1983805.1129097603</v>
      </c>
      <c r="CN55" s="416">
        <f t="shared" si="110"/>
        <v>7569759.1810155017</v>
      </c>
      <c r="CO55" s="414">
        <f t="shared" si="111"/>
        <v>9172118.385771744</v>
      </c>
      <c r="CP55" s="414">
        <f t="shared" si="112"/>
        <v>9791129.4847129099</v>
      </c>
      <c r="CQ55" s="414">
        <f t="shared" si="113"/>
        <v>10025049.627928084</v>
      </c>
      <c r="CR55" s="414">
        <f t="shared" si="114"/>
        <v>10468919.865062369</v>
      </c>
      <c r="CS55" s="416">
        <f t="shared" si="115"/>
        <v>39457217.363475099</v>
      </c>
    </row>
    <row r="56" spans="1:101" ht="15.75" customHeight="1">
      <c r="A56" s="88" t="s">
        <v>221</v>
      </c>
      <c r="B56" s="300">
        <v>34</v>
      </c>
      <c r="C56" s="585">
        <f>SUM('Schedule 3B_Income_Eastern:Schedule 3D_Income_The Cape'!C56)</f>
        <v>23489.807435048391</v>
      </c>
      <c r="D56" s="585">
        <f>SUM('Schedule 3B_Income_Eastern:Schedule 3D_Income_The Cape'!D56)</f>
        <v>123930.72589053615</v>
      </c>
      <c r="E56" s="585">
        <f>SUM('Schedule 3B_Income_Eastern:Schedule 3D_Income_The Cape'!E56)</f>
        <v>49468.524017350494</v>
      </c>
      <c r="F56" s="585">
        <f>SUM('Schedule 3B_Income_Eastern:Schedule 3D_Income_The Cape'!F56)</f>
        <v>178323.96560351772</v>
      </c>
      <c r="G56" s="585">
        <f>SUM('Schedule 3B_Income_Eastern:Schedule 3D_Income_The Cape'!G56)</f>
        <v>47787.867268476868</v>
      </c>
      <c r="H56" s="585">
        <f>SUM('Schedule 3B_Income_Eastern:Schedule 3D_Income_The Cape'!H56)</f>
        <v>154693.48394364677</v>
      </c>
      <c r="I56" s="585">
        <f>SUM('Schedule 3B_Income_Eastern:Schedule 3D_Income_The Cape'!I56)</f>
        <v>32635.746093563161</v>
      </c>
      <c r="J56" s="585">
        <f>SUM('Schedule 3B_Income_Eastern:Schedule 3D_Income_The Cape'!J56)</f>
        <v>103396.17154652969</v>
      </c>
      <c r="K56" s="586">
        <f t="shared" si="89"/>
        <v>713726.29179866915</v>
      </c>
      <c r="L56" s="587">
        <f>SUM('Schedule 3B_Income_Eastern:Schedule 3D_Income_The Cape'!L56)</f>
        <v>0</v>
      </c>
      <c r="M56" s="585">
        <f>SUM('Schedule 3B_Income_Eastern:Schedule 3D_Income_The Cape'!M56)</f>
        <v>56203.119482879309</v>
      </c>
      <c r="N56" s="585">
        <f>SUM('Schedule 3B_Income_Eastern:Schedule 3D_Income_The Cape'!N56)</f>
        <v>0</v>
      </c>
      <c r="O56" s="585">
        <f>SUM('Schedule 3B_Income_Eastern:Schedule 3D_Income_The Cape'!O56)</f>
        <v>150426.77065183752</v>
      </c>
      <c r="P56" s="585">
        <f>SUM('Schedule 3B_Income_Eastern:Schedule 3D_Income_The Cape'!P56)</f>
        <v>0</v>
      </c>
      <c r="Q56" s="585">
        <f>SUM('Schedule 3B_Income_Eastern:Schedule 3D_Income_The Cape'!Q56)</f>
        <v>124005.66084822833</v>
      </c>
      <c r="R56" s="585">
        <f>SUM('Schedule 3B_Income_Eastern:Schedule 3D_Income_The Cape'!R56)</f>
        <v>0</v>
      </c>
      <c r="S56" s="585">
        <f>SUM('Schedule 3B_Income_Eastern:Schedule 3D_Income_The Cape'!S56)</f>
        <v>78444.379872854217</v>
      </c>
      <c r="T56" s="588">
        <f t="shared" si="90"/>
        <v>409079.93085579935</v>
      </c>
      <c r="U56" s="589">
        <f t="shared" si="91"/>
        <v>1122806.2226544684</v>
      </c>
      <c r="V56" s="300">
        <v>34</v>
      </c>
      <c r="W56" s="585">
        <f>SUM('Schedule 3B_Income_Eastern:Schedule 3D_Income_The Cape'!W56)</f>
        <v>8855.3420526416994</v>
      </c>
      <c r="X56" s="585">
        <f>SUM('Schedule 3B_Income_Eastern:Schedule 3D_Income_The Cape'!X56)</f>
        <v>40796.245426144887</v>
      </c>
      <c r="Y56" s="585">
        <f>SUM('Schedule 3B_Income_Eastern:Schedule 3D_Income_The Cape'!Y56)</f>
        <v>5181.018641607785</v>
      </c>
      <c r="Z56" s="585">
        <f>SUM('Schedule 3B_Income_Eastern:Schedule 3D_Income_The Cape'!Z56)</f>
        <v>29925.25995086064</v>
      </c>
      <c r="AA56" s="585">
        <f>SUM('Schedule 3B_Income_Eastern:Schedule 3D_Income_The Cape'!AA56)</f>
        <v>6759.178202248364</v>
      </c>
      <c r="AB56" s="585">
        <f>SUM('Schedule 3B_Income_Eastern:Schedule 3D_Income_The Cape'!AB56)</f>
        <v>28826.721686287714</v>
      </c>
      <c r="AC56" s="585">
        <f>SUM('Schedule 3B_Income_Eastern:Schedule 3D_Income_The Cape'!AC56)</f>
        <v>8153.1085574093731</v>
      </c>
      <c r="AD56" s="585">
        <f>SUM('Schedule 3B_Income_Eastern:Schedule 3D_Income_The Cape'!AD56)</f>
        <v>29796.868951162844</v>
      </c>
      <c r="AE56" s="586">
        <f t="shared" si="92"/>
        <v>158293.7434683633</v>
      </c>
      <c r="AF56" s="587">
        <f>SUM('Schedule 3B_Income_Eastern:Schedule 3D_Income_The Cape'!AF56)</f>
        <v>0</v>
      </c>
      <c r="AG56" s="585">
        <f>SUM('Schedule 3B_Income_Eastern:Schedule 3D_Income_The Cape'!AG56)</f>
        <v>26364.282387750976</v>
      </c>
      <c r="AH56" s="585">
        <f>SUM('Schedule 3B_Income_Eastern:Schedule 3D_Income_The Cape'!AH56)</f>
        <v>0</v>
      </c>
      <c r="AI56" s="585">
        <f>SUM('Schedule 3B_Income_Eastern:Schedule 3D_Income_The Cape'!AI56)</f>
        <v>14855.24830166149</v>
      </c>
      <c r="AJ56" s="585">
        <f>SUM('Schedule 3B_Income_Eastern:Schedule 3D_Income_The Cape'!AJ56)</f>
        <v>0</v>
      </c>
      <c r="AK56" s="585">
        <f>SUM('Schedule 3B_Income_Eastern:Schedule 3D_Income_The Cape'!AK56)</f>
        <v>12444.216021351594</v>
      </c>
      <c r="AL56" s="585">
        <f>SUM('Schedule 3B_Income_Eastern:Schedule 3D_Income_The Cape'!AL56)</f>
        <v>0</v>
      </c>
      <c r="AM56" s="585">
        <f>SUM('Schedule 3B_Income_Eastern:Schedule 3D_Income_The Cape'!AM56)</f>
        <v>19167.766806552507</v>
      </c>
      <c r="AN56" s="588">
        <f t="shared" si="93"/>
        <v>72831.513517316576</v>
      </c>
      <c r="AO56" s="589">
        <f t="shared" si="94"/>
        <v>231125.25698567988</v>
      </c>
      <c r="AP56" s="300">
        <v>34</v>
      </c>
      <c r="AQ56" s="585">
        <f>SUM('Schedule 3B_Income_Eastern:Schedule 3D_Income_The Cape'!AQ56)</f>
        <v>325327.17604538455</v>
      </c>
      <c r="AR56" s="585">
        <f>SUM('Schedule 3B_Income_Eastern:Schedule 3D_Income_The Cape'!AR56)</f>
        <v>1056715.9535576552</v>
      </c>
      <c r="AS56" s="585">
        <f>SUM('Schedule 3B_Income_Eastern:Schedule 3D_Income_The Cape'!AS56)</f>
        <v>287755.58444094105</v>
      </c>
      <c r="AT56" s="585">
        <f>SUM('Schedule 3B_Income_Eastern:Schedule 3D_Income_The Cape'!AT56)</f>
        <v>1055797.2492267638</v>
      </c>
      <c r="AU56" s="585">
        <f>SUM('Schedule 3B_Income_Eastern:Schedule 3D_Income_The Cape'!AU56)</f>
        <v>347993.93048756017</v>
      </c>
      <c r="AV56" s="585">
        <f>SUM('Schedule 3B_Income_Eastern:Schedule 3D_Income_The Cape'!AV56)</f>
        <v>1162913.901201515</v>
      </c>
      <c r="AW56" s="585">
        <f>SUM('Schedule 3B_Income_Eastern:Schedule 3D_Income_The Cape'!AW56)</f>
        <v>457585.86489767366</v>
      </c>
      <c r="AX56" s="585">
        <f>SUM('Schedule 3B_Income_Eastern:Schedule 3D_Income_The Cape'!AX56)</f>
        <v>1242009.6284390213</v>
      </c>
      <c r="AY56" s="586">
        <f t="shared" si="95"/>
        <v>5936099.2882965142</v>
      </c>
      <c r="AZ56" s="587">
        <f>SUM('Schedule 3B_Income_Eastern:Schedule 3D_Income_The Cape'!AZ56)</f>
        <v>0</v>
      </c>
      <c r="BA56" s="585">
        <f>SUM('Schedule 3B_Income_Eastern:Schedule 3D_Income_The Cape'!BA56)</f>
        <v>611973.72011784848</v>
      </c>
      <c r="BB56" s="585">
        <f>SUM('Schedule 3B_Income_Eastern:Schedule 3D_Income_The Cape'!BB56)</f>
        <v>0</v>
      </c>
      <c r="BC56" s="585">
        <f>SUM('Schedule 3B_Income_Eastern:Schedule 3D_Income_The Cape'!BC56)</f>
        <v>639380.4994693856</v>
      </c>
      <c r="BD56" s="585">
        <f>SUM('Schedule 3B_Income_Eastern:Schedule 3D_Income_The Cape'!BD56)</f>
        <v>0</v>
      </c>
      <c r="BE56" s="585">
        <f>SUM('Schedule 3B_Income_Eastern:Schedule 3D_Income_The Cape'!BE56)</f>
        <v>623149.60058405937</v>
      </c>
      <c r="BF56" s="585">
        <f>SUM('Schedule 3B_Income_Eastern:Schedule 3D_Income_The Cape'!BF56)</f>
        <v>0</v>
      </c>
      <c r="BG56" s="585">
        <f>SUM('Schedule 3B_Income_Eastern:Schedule 3D_Income_The Cape'!BG56)</f>
        <v>702299.38130362565</v>
      </c>
      <c r="BH56" s="588">
        <f t="shared" si="96"/>
        <v>2576803.201474919</v>
      </c>
      <c r="BI56" s="589">
        <f t="shared" si="97"/>
        <v>8512902.4897714332</v>
      </c>
      <c r="BJ56" s="300">
        <v>34</v>
      </c>
      <c r="BK56" s="585">
        <f>SUM('Schedule 3B_Income_Eastern:Schedule 3D_Income_The Cape'!BK56)</f>
        <v>24242.616066277282</v>
      </c>
      <c r="BL56" s="585">
        <f>SUM('Schedule 3B_Income_Eastern:Schedule 3D_Income_The Cape'!BL56)</f>
        <v>43742.645762789834</v>
      </c>
      <c r="BM56" s="585">
        <f>SUM('Schedule 3B_Income_Eastern:Schedule 3D_Income_The Cape'!BM56)</f>
        <v>10219.494435145587</v>
      </c>
      <c r="BN56" s="585">
        <f>SUM('Schedule 3B_Income_Eastern:Schedule 3D_Income_The Cape'!BN56)</f>
        <v>27616.688392363554</v>
      </c>
      <c r="BO56" s="585">
        <f>SUM('Schedule 3B_Income_Eastern:Schedule 3D_Income_The Cape'!BO56)</f>
        <v>22393.527729326885</v>
      </c>
      <c r="BP56" s="585">
        <f>SUM('Schedule 3B_Income_Eastern:Schedule 3D_Income_The Cape'!BP56)</f>
        <v>26523.666510507726</v>
      </c>
      <c r="BQ56" s="585">
        <f>SUM('Schedule 3B_Income_Eastern:Schedule 3D_Income_The Cape'!BQ56)</f>
        <v>15509.9468207025</v>
      </c>
      <c r="BR56" s="585">
        <f>SUM('Schedule 3B_Income_Eastern:Schedule 3D_Income_The Cape'!BR56)</f>
        <v>22336.920129826394</v>
      </c>
      <c r="BS56" s="586">
        <f t="shared" si="98"/>
        <v>192585.50584693975</v>
      </c>
      <c r="BT56" s="587">
        <f>SUM('Schedule 3B_Income_Eastern:Schedule 3D_Income_The Cape'!BT56)</f>
        <v>0</v>
      </c>
      <c r="BU56" s="585">
        <f>SUM('Schedule 3B_Income_Eastern:Schedule 3D_Income_The Cape'!BU56)</f>
        <v>101909.83527559084</v>
      </c>
      <c r="BV56" s="585">
        <f>SUM('Schedule 3B_Income_Eastern:Schedule 3D_Income_The Cape'!BV56)</f>
        <v>0</v>
      </c>
      <c r="BW56" s="585">
        <f>SUM('Schedule 3B_Income_Eastern:Schedule 3D_Income_The Cape'!BW56)</f>
        <v>99729.932041751934</v>
      </c>
      <c r="BX56" s="585">
        <f>SUM('Schedule 3B_Income_Eastern:Schedule 3D_Income_The Cape'!BX56)</f>
        <v>0</v>
      </c>
      <c r="BY56" s="585">
        <f>SUM('Schedule 3B_Income_Eastern:Schedule 3D_Income_The Cape'!BY56)</f>
        <v>102260.37479703849</v>
      </c>
      <c r="BZ56" s="585">
        <f>SUM('Schedule 3B_Income_Eastern:Schedule 3D_Income_The Cape'!BZ56)</f>
        <v>0</v>
      </c>
      <c r="CA56" s="585">
        <f>SUM('Schedule 3B_Income_Eastern:Schedule 3D_Income_The Cape'!CA56)</f>
        <v>65788.184859020505</v>
      </c>
      <c r="CB56" s="588">
        <f t="shared" si="99"/>
        <v>369688.32697340177</v>
      </c>
      <c r="CC56" s="589">
        <f t="shared" si="100"/>
        <v>562273.83282034146</v>
      </c>
      <c r="CD56" s="300">
        <v>34</v>
      </c>
      <c r="CE56" s="414">
        <f t="shared" si="101"/>
        <v>1647100.5122364778</v>
      </c>
      <c r="CF56" s="414">
        <f t="shared" si="102"/>
        <v>1644287.7847085507</v>
      </c>
      <c r="CG56" s="414">
        <f t="shared" si="103"/>
        <v>1797892.2770295695</v>
      </c>
      <c r="CH56" s="414">
        <f t="shared" si="104"/>
        <v>1911424.2554358887</v>
      </c>
      <c r="CI56" s="416">
        <f t="shared" si="105"/>
        <v>7000704.8294104869</v>
      </c>
      <c r="CJ56" s="414">
        <f t="shared" si="106"/>
        <v>796450.9572640697</v>
      </c>
      <c r="CK56" s="414">
        <f t="shared" si="107"/>
        <v>904392.45046463655</v>
      </c>
      <c r="CL56" s="414">
        <f t="shared" si="108"/>
        <v>861859.85225067777</v>
      </c>
      <c r="CM56" s="414">
        <f t="shared" si="109"/>
        <v>865699.71284205292</v>
      </c>
      <c r="CN56" s="416">
        <f t="shared" si="110"/>
        <v>3428402.9728214368</v>
      </c>
      <c r="CO56" s="414">
        <f t="shared" si="111"/>
        <v>2443551.4695005482</v>
      </c>
      <c r="CP56" s="414">
        <f t="shared" si="112"/>
        <v>2548680.2351731872</v>
      </c>
      <c r="CQ56" s="414">
        <f t="shared" si="113"/>
        <v>2659752.1292802473</v>
      </c>
      <c r="CR56" s="414">
        <f t="shared" si="114"/>
        <v>2777123.9682779415</v>
      </c>
      <c r="CS56" s="416">
        <f t="shared" si="115"/>
        <v>10429107.802231923</v>
      </c>
    </row>
    <row r="57" spans="1:101" ht="15.75" customHeight="1">
      <c r="A57" s="88" t="s">
        <v>222</v>
      </c>
      <c r="B57" s="300">
        <v>35</v>
      </c>
      <c r="C57" s="585">
        <f>SUM('Schedule 3B_Income_Eastern:Schedule 3D_Income_The Cape'!C57)</f>
        <v>23056.32943248962</v>
      </c>
      <c r="D57" s="585">
        <f>SUM('Schedule 3B_Income_Eastern:Schedule 3D_Income_The Cape'!D57)</f>
        <v>55217.437031124697</v>
      </c>
      <c r="E57" s="585">
        <f>SUM('Schedule 3B_Income_Eastern:Schedule 3D_Income_The Cape'!E57)</f>
        <v>24125.434589483844</v>
      </c>
      <c r="F57" s="585">
        <f>SUM('Schedule 3B_Income_Eastern:Schedule 3D_Income_The Cape'!F57)</f>
        <v>49296.904069804092</v>
      </c>
      <c r="G57" s="585">
        <f>SUM('Schedule 3B_Income_Eastern:Schedule 3D_Income_The Cape'!G57)</f>
        <v>29482.16750294705</v>
      </c>
      <c r="H57" s="585">
        <f>SUM('Schedule 3B_Income_Eastern:Schedule 3D_Income_The Cape'!H57)</f>
        <v>64468.158291418265</v>
      </c>
      <c r="I57" s="585">
        <f>SUM('Schedule 3B_Income_Eastern:Schedule 3D_Income_The Cape'!I57)</f>
        <v>27426.423145057066</v>
      </c>
      <c r="J57" s="585">
        <f>SUM('Schedule 3B_Income_Eastern:Schedule 3D_Income_The Cape'!J57)</f>
        <v>32387.441730311355</v>
      </c>
      <c r="K57" s="586">
        <f t="shared" si="89"/>
        <v>305460.295792636</v>
      </c>
      <c r="L57" s="587">
        <f>SUM('Schedule 3B_Income_Eastern:Schedule 3D_Income_The Cape'!L57)</f>
        <v>0</v>
      </c>
      <c r="M57" s="585">
        <f>SUM('Schedule 3B_Income_Eastern:Schedule 3D_Income_The Cape'!M57)</f>
        <v>46137.761750545134</v>
      </c>
      <c r="N57" s="585">
        <f>SUM('Schedule 3B_Income_Eastern:Schedule 3D_Income_The Cape'!N57)</f>
        <v>0</v>
      </c>
      <c r="O57" s="585">
        <f>SUM('Schedule 3B_Income_Eastern:Schedule 3D_Income_The Cape'!O57)</f>
        <v>90469.910381506139</v>
      </c>
      <c r="P57" s="585">
        <f>SUM('Schedule 3B_Income_Eastern:Schedule 3D_Income_The Cape'!P57)</f>
        <v>0</v>
      </c>
      <c r="Q57" s="585">
        <f>SUM('Schedule 3B_Income_Eastern:Schedule 3D_Income_The Cape'!Q57)</f>
        <v>97646.643696893385</v>
      </c>
      <c r="R57" s="585">
        <f>SUM('Schedule 3B_Income_Eastern:Schedule 3D_Income_The Cape'!R57)</f>
        <v>0</v>
      </c>
      <c r="S57" s="585">
        <f>SUM('Schedule 3B_Income_Eastern:Schedule 3D_Income_The Cape'!S57)</f>
        <v>63683.863375733134</v>
      </c>
      <c r="T57" s="588">
        <f t="shared" si="90"/>
        <v>297938.17920467776</v>
      </c>
      <c r="U57" s="589">
        <f t="shared" si="91"/>
        <v>603398.47499731369</v>
      </c>
      <c r="V57" s="300">
        <v>35</v>
      </c>
      <c r="W57" s="585">
        <f>SUM('Schedule 3B_Income_Eastern:Schedule 3D_Income_The Cape'!W57)</f>
        <v>1573.8016671514047</v>
      </c>
      <c r="X57" s="585">
        <f>SUM('Schedule 3B_Income_Eastern:Schedule 3D_Income_The Cape'!X57)</f>
        <v>13294.69883385908</v>
      </c>
      <c r="Y57" s="585">
        <f>SUM('Schedule 3B_Income_Eastern:Schedule 3D_Income_The Cape'!Y57)</f>
        <v>454.33343281683813</v>
      </c>
      <c r="Z57" s="585">
        <f>SUM('Schedule 3B_Income_Eastern:Schedule 3D_Income_The Cape'!Z57)</f>
        <v>3731.3475671276392</v>
      </c>
      <c r="AA57" s="585">
        <f>SUM('Schedule 3B_Income_Eastern:Schedule 3D_Income_The Cape'!AA57)</f>
        <v>2785.1572921458401</v>
      </c>
      <c r="AB57" s="585">
        <f>SUM('Schedule 3B_Income_Eastern:Schedule 3D_Income_The Cape'!AB57)</f>
        <v>6854.7745193397132</v>
      </c>
      <c r="AC57" s="585">
        <f>SUM('Schedule 3B_Income_Eastern:Schedule 3D_Income_The Cape'!AC57)</f>
        <v>3467.8403730221798</v>
      </c>
      <c r="AD57" s="585">
        <f>SUM('Schedule 3B_Income_Eastern:Schedule 3D_Income_The Cape'!AD57)</f>
        <v>5601.0841545562325</v>
      </c>
      <c r="AE57" s="586">
        <f t="shared" si="92"/>
        <v>37763.037840018922</v>
      </c>
      <c r="AF57" s="587">
        <f>SUM('Schedule 3B_Income_Eastern:Schedule 3D_Income_The Cape'!AF57)</f>
        <v>0</v>
      </c>
      <c r="AG57" s="585">
        <f>SUM('Schedule 3B_Income_Eastern:Schedule 3D_Income_The Cape'!AG57)</f>
        <v>19459.174810151002</v>
      </c>
      <c r="AH57" s="585">
        <f>SUM('Schedule 3B_Income_Eastern:Schedule 3D_Income_The Cape'!AH57)</f>
        <v>0</v>
      </c>
      <c r="AI57" s="585">
        <f>SUM('Schedule 3B_Income_Eastern:Schedule 3D_Income_The Cape'!AI57)</f>
        <v>11864.792154064782</v>
      </c>
      <c r="AJ57" s="585">
        <f>SUM('Schedule 3B_Income_Eastern:Schedule 3D_Income_The Cape'!AJ57)</f>
        <v>0</v>
      </c>
      <c r="AK57" s="585">
        <f>SUM('Schedule 3B_Income_Eastern:Schedule 3D_Income_The Cape'!AK57)</f>
        <v>15230.957878552916</v>
      </c>
      <c r="AL57" s="585">
        <f>SUM('Schedule 3B_Income_Eastern:Schedule 3D_Income_The Cape'!AL57)</f>
        <v>0</v>
      </c>
      <c r="AM57" s="585">
        <f>SUM('Schedule 3B_Income_Eastern:Schedule 3D_Income_The Cape'!AM57)</f>
        <v>15326.031594165474</v>
      </c>
      <c r="AN57" s="588">
        <f t="shared" si="93"/>
        <v>61880.956436934168</v>
      </c>
      <c r="AO57" s="589">
        <f t="shared" si="94"/>
        <v>99643.99427695309</v>
      </c>
      <c r="AP57" s="300">
        <v>35</v>
      </c>
      <c r="AQ57" s="585">
        <f>SUM('Schedule 3B_Income_Eastern:Schedule 3D_Income_The Cape'!AQ57)</f>
        <v>194799.46399137107</v>
      </c>
      <c r="AR57" s="585">
        <f>SUM('Schedule 3B_Income_Eastern:Schedule 3D_Income_The Cape'!AR57)</f>
        <v>777593.81234471151</v>
      </c>
      <c r="AS57" s="585">
        <f>SUM('Schedule 3B_Income_Eastern:Schedule 3D_Income_The Cape'!AS57)</f>
        <v>150903.54012562335</v>
      </c>
      <c r="AT57" s="585">
        <f>SUM('Schedule 3B_Income_Eastern:Schedule 3D_Income_The Cape'!AT57)</f>
        <v>419438.46115966944</v>
      </c>
      <c r="AU57" s="585">
        <f>SUM('Schedule 3B_Income_Eastern:Schedule 3D_Income_The Cape'!AU57)</f>
        <v>220795.19153871771</v>
      </c>
      <c r="AV57" s="585">
        <f>SUM('Schedule 3B_Income_Eastern:Schedule 3D_Income_The Cape'!AV57)</f>
        <v>565756.009274157</v>
      </c>
      <c r="AW57" s="585">
        <f>SUM('Schedule 3B_Income_Eastern:Schedule 3D_Income_The Cape'!AW57)</f>
        <v>177288.18785986857</v>
      </c>
      <c r="AX57" s="585">
        <f>SUM('Schedule 3B_Income_Eastern:Schedule 3D_Income_The Cape'!AX57)</f>
        <v>547556.46483102767</v>
      </c>
      <c r="AY57" s="586">
        <f t="shared" si="95"/>
        <v>3054131.1311251461</v>
      </c>
      <c r="AZ57" s="587">
        <f>SUM('Schedule 3B_Income_Eastern:Schedule 3D_Income_The Cape'!AZ57)</f>
        <v>0</v>
      </c>
      <c r="BA57" s="585">
        <f>SUM('Schedule 3B_Income_Eastern:Schedule 3D_Income_The Cape'!BA57)</f>
        <v>797585.46246299986</v>
      </c>
      <c r="BB57" s="585">
        <f>SUM('Schedule 3B_Income_Eastern:Schedule 3D_Income_The Cape'!BB57)</f>
        <v>0</v>
      </c>
      <c r="BC57" s="585">
        <f>SUM('Schedule 3B_Income_Eastern:Schedule 3D_Income_The Cape'!BC57)</f>
        <v>690176.50408748176</v>
      </c>
      <c r="BD57" s="585">
        <f>SUM('Schedule 3B_Income_Eastern:Schedule 3D_Income_The Cape'!BD57)</f>
        <v>0</v>
      </c>
      <c r="BE57" s="585">
        <f>SUM('Schedule 3B_Income_Eastern:Schedule 3D_Income_The Cape'!BE57)</f>
        <v>777843.18858445901</v>
      </c>
      <c r="BF57" s="585">
        <f>SUM('Schedule 3B_Income_Eastern:Schedule 3D_Income_The Cape'!BF57)</f>
        <v>0</v>
      </c>
      <c r="BG57" s="585">
        <f>SUM('Schedule 3B_Income_Eastern:Schedule 3D_Income_The Cape'!BG57)</f>
        <v>814309.2592850012</v>
      </c>
      <c r="BH57" s="588">
        <f t="shared" si="96"/>
        <v>3079914.4144199416</v>
      </c>
      <c r="BI57" s="589">
        <f t="shared" si="97"/>
        <v>6134045.5455450881</v>
      </c>
      <c r="BJ57" s="300">
        <v>35</v>
      </c>
      <c r="BK57" s="585">
        <f>SUM('Schedule 3B_Income_Eastern:Schedule 3D_Income_The Cape'!BK57)</f>
        <v>3351.6365147897068</v>
      </c>
      <c r="BL57" s="585">
        <f>SUM('Schedule 3B_Income_Eastern:Schedule 3D_Income_The Cape'!BL57)</f>
        <v>14111.541601675422</v>
      </c>
      <c r="BM57" s="585">
        <f>SUM('Schedule 3B_Income_Eastern:Schedule 3D_Income_The Cape'!BM57)</f>
        <v>1545.840703316351</v>
      </c>
      <c r="BN57" s="585">
        <f>SUM('Schedule 3B_Income_Eastern:Schedule 3D_Income_The Cape'!BN57)</f>
        <v>4888.4459677024697</v>
      </c>
      <c r="BO57" s="585">
        <f>SUM('Schedule 3B_Income_Eastern:Schedule 3D_Income_The Cape'!BO57)</f>
        <v>10860.905420307126</v>
      </c>
      <c r="BP57" s="585">
        <f>SUM('Schedule 3B_Income_Eastern:Schedule 3D_Income_The Cape'!BP57)</f>
        <v>7872.7366053222195</v>
      </c>
      <c r="BQ57" s="585">
        <f>SUM('Schedule 3B_Income_Eastern:Schedule 3D_Income_The Cape'!BQ57)</f>
        <v>1846.2793075628292</v>
      </c>
      <c r="BR57" s="585">
        <f>SUM('Schedule 3B_Income_Eastern:Schedule 3D_Income_The Cape'!BR57)</f>
        <v>9131.1098133966789</v>
      </c>
      <c r="BS57" s="586">
        <f t="shared" si="98"/>
        <v>53608.495934072809</v>
      </c>
      <c r="BT57" s="587">
        <f>SUM('Schedule 3B_Income_Eastern:Schedule 3D_Income_The Cape'!BT57)</f>
        <v>0</v>
      </c>
      <c r="BU57" s="585">
        <f>SUM('Schedule 3B_Income_Eastern:Schedule 3D_Income_The Cape'!BU57)</f>
        <v>12559.218618351184</v>
      </c>
      <c r="BV57" s="585">
        <f>SUM('Schedule 3B_Income_Eastern:Schedule 3D_Income_The Cape'!BV57)</f>
        <v>0</v>
      </c>
      <c r="BW57" s="585">
        <f>SUM('Schedule 3B_Income_Eastern:Schedule 3D_Income_The Cape'!BW57)</f>
        <v>18909.054541406531</v>
      </c>
      <c r="BX57" s="585">
        <f>SUM('Schedule 3B_Income_Eastern:Schedule 3D_Income_The Cape'!BX57)</f>
        <v>0</v>
      </c>
      <c r="BY57" s="585">
        <f>SUM('Schedule 3B_Income_Eastern:Schedule 3D_Income_The Cape'!BY57)</f>
        <v>26997.613174128506</v>
      </c>
      <c r="BZ57" s="585">
        <f>SUM('Schedule 3B_Income_Eastern:Schedule 3D_Income_The Cape'!BZ57)</f>
        <v>0</v>
      </c>
      <c r="CA57" s="585">
        <f>SUM('Schedule 3B_Income_Eastern:Schedule 3D_Income_The Cape'!CA57)</f>
        <v>34043.582300073795</v>
      </c>
      <c r="CB57" s="588">
        <f t="shared" si="99"/>
        <v>92509.468633960016</v>
      </c>
      <c r="CC57" s="589">
        <f t="shared" si="100"/>
        <v>146117.96456803282</v>
      </c>
      <c r="CD57" s="300">
        <v>35</v>
      </c>
      <c r="CE57" s="414">
        <f t="shared" si="101"/>
        <v>1082998.7214171723</v>
      </c>
      <c r="CF57" s="414">
        <f t="shared" si="102"/>
        <v>654384.30761554406</v>
      </c>
      <c r="CG57" s="414">
        <f t="shared" si="103"/>
        <v>908875.10044435482</v>
      </c>
      <c r="CH57" s="414">
        <f t="shared" si="104"/>
        <v>804704.83121480269</v>
      </c>
      <c r="CI57" s="416">
        <f t="shared" si="105"/>
        <v>3450962.9606918739</v>
      </c>
      <c r="CJ57" s="414">
        <f t="shared" si="106"/>
        <v>875741.61764204712</v>
      </c>
      <c r="CK57" s="414">
        <f t="shared" si="107"/>
        <v>811420.26116445928</v>
      </c>
      <c r="CL57" s="414">
        <f t="shared" si="108"/>
        <v>917718.40333403379</v>
      </c>
      <c r="CM57" s="414">
        <f t="shared" si="109"/>
        <v>927362.73655497364</v>
      </c>
      <c r="CN57" s="416">
        <f t="shared" si="110"/>
        <v>3532243.0186955137</v>
      </c>
      <c r="CO57" s="414">
        <f t="shared" si="111"/>
        <v>1958740.3390592195</v>
      </c>
      <c r="CP57" s="414">
        <f t="shared" si="112"/>
        <v>1465804.5687800029</v>
      </c>
      <c r="CQ57" s="414">
        <f t="shared" si="113"/>
        <v>1826593.5037783887</v>
      </c>
      <c r="CR57" s="414">
        <f t="shared" si="114"/>
        <v>1732067.5677697761</v>
      </c>
      <c r="CS57" s="416">
        <f t="shared" si="115"/>
        <v>6983205.9793873876</v>
      </c>
    </row>
    <row r="58" spans="1:101" ht="15.75" customHeight="1">
      <c r="A58" s="88" t="s">
        <v>223</v>
      </c>
      <c r="B58" s="300">
        <v>36</v>
      </c>
      <c r="C58" s="585">
        <f>SUM('Schedule 3B_Income_Eastern:Schedule 3D_Income_The Cape'!C58)</f>
        <v>0</v>
      </c>
      <c r="D58" s="585">
        <f>SUM('Schedule 3B_Income_Eastern:Schedule 3D_Income_The Cape'!D58)</f>
        <v>0</v>
      </c>
      <c r="E58" s="585">
        <f>SUM('Schedule 3B_Income_Eastern:Schedule 3D_Income_The Cape'!E58)</f>
        <v>18247.986885098631</v>
      </c>
      <c r="F58" s="585">
        <f>SUM('Schedule 3B_Income_Eastern:Schedule 3D_Income_The Cape'!F58)</f>
        <v>0</v>
      </c>
      <c r="G58" s="585">
        <f>SUM('Schedule 3B_Income_Eastern:Schedule 3D_Income_The Cape'!G58)</f>
        <v>30832.053428771444</v>
      </c>
      <c r="H58" s="585">
        <f>SUM('Schedule 3B_Income_Eastern:Schedule 3D_Income_The Cape'!H58)</f>
        <v>0</v>
      </c>
      <c r="I58" s="585">
        <f>SUM('Schedule 3B_Income_Eastern:Schedule 3D_Income_The Cape'!I58)</f>
        <v>5737.5728323641442</v>
      </c>
      <c r="J58" s="585">
        <f>SUM('Schedule 3B_Income_Eastern:Schedule 3D_Income_The Cape'!J58)</f>
        <v>0</v>
      </c>
      <c r="K58" s="586">
        <f t="shared" si="89"/>
        <v>54817.613146234224</v>
      </c>
      <c r="L58" s="587">
        <f>SUM('Schedule 3B_Income_Eastern:Schedule 3D_Income_The Cape'!L58)</f>
        <v>0</v>
      </c>
      <c r="M58" s="585">
        <f>SUM('Schedule 3B_Income_Eastern:Schedule 3D_Income_The Cape'!M58)</f>
        <v>0</v>
      </c>
      <c r="N58" s="585">
        <f>SUM('Schedule 3B_Income_Eastern:Schedule 3D_Income_The Cape'!N58)</f>
        <v>0</v>
      </c>
      <c r="O58" s="585">
        <f>SUM('Schedule 3B_Income_Eastern:Schedule 3D_Income_The Cape'!O58)</f>
        <v>440.09674019263116</v>
      </c>
      <c r="P58" s="585">
        <f>SUM('Schedule 3B_Income_Eastern:Schedule 3D_Income_The Cape'!P58)</f>
        <v>0</v>
      </c>
      <c r="Q58" s="585">
        <f>SUM('Schedule 3B_Income_Eastern:Schedule 3D_Income_The Cape'!Q58)</f>
        <v>110.64847403284941</v>
      </c>
      <c r="R58" s="585">
        <f>SUM('Schedule 3B_Income_Eastern:Schedule 3D_Income_The Cape'!R58)</f>
        <v>0</v>
      </c>
      <c r="S58" s="585">
        <f>SUM('Schedule 3B_Income_Eastern:Schedule 3D_Income_The Cape'!S58)</f>
        <v>0</v>
      </c>
      <c r="T58" s="588">
        <f t="shared" si="90"/>
        <v>550.74521422548059</v>
      </c>
      <c r="U58" s="589">
        <f t="shared" si="91"/>
        <v>55368.358360459708</v>
      </c>
      <c r="V58" s="300">
        <v>36</v>
      </c>
      <c r="W58" s="585">
        <f>SUM('Schedule 3B_Income_Eastern:Schedule 3D_Income_The Cape'!W58)</f>
        <v>0</v>
      </c>
      <c r="X58" s="585">
        <f>SUM('Schedule 3B_Income_Eastern:Schedule 3D_Income_The Cape'!X58)</f>
        <v>0</v>
      </c>
      <c r="Y58" s="585">
        <f>SUM('Schedule 3B_Income_Eastern:Schedule 3D_Income_The Cape'!Y58)</f>
        <v>0</v>
      </c>
      <c r="Z58" s="585">
        <f>SUM('Schedule 3B_Income_Eastern:Schedule 3D_Income_The Cape'!Z58)</f>
        <v>0</v>
      </c>
      <c r="AA58" s="585">
        <f>SUM('Schedule 3B_Income_Eastern:Schedule 3D_Income_The Cape'!AA58)</f>
        <v>0</v>
      </c>
      <c r="AB58" s="585">
        <f>SUM('Schedule 3B_Income_Eastern:Schedule 3D_Income_The Cape'!AB58)</f>
        <v>0</v>
      </c>
      <c r="AC58" s="585">
        <f>SUM('Schedule 3B_Income_Eastern:Schedule 3D_Income_The Cape'!AC58)</f>
        <v>0</v>
      </c>
      <c r="AD58" s="585">
        <f>SUM('Schedule 3B_Income_Eastern:Schedule 3D_Income_The Cape'!AD58)</f>
        <v>0</v>
      </c>
      <c r="AE58" s="586">
        <f t="shared" si="92"/>
        <v>0</v>
      </c>
      <c r="AF58" s="587">
        <f>SUM('Schedule 3B_Income_Eastern:Schedule 3D_Income_The Cape'!AF58)</f>
        <v>0</v>
      </c>
      <c r="AG58" s="585">
        <f>SUM('Schedule 3B_Income_Eastern:Schedule 3D_Income_The Cape'!AG58)</f>
        <v>0</v>
      </c>
      <c r="AH58" s="585">
        <f>SUM('Schedule 3B_Income_Eastern:Schedule 3D_Income_The Cape'!AH58)</f>
        <v>0</v>
      </c>
      <c r="AI58" s="585">
        <f>SUM('Schedule 3B_Income_Eastern:Schedule 3D_Income_The Cape'!AI58)</f>
        <v>155.25991153008428</v>
      </c>
      <c r="AJ58" s="585">
        <f>SUM('Schedule 3B_Income_Eastern:Schedule 3D_Income_The Cape'!AJ58)</f>
        <v>0</v>
      </c>
      <c r="AK58" s="585">
        <f>SUM('Schedule 3B_Income_Eastern:Schedule 3D_Income_The Cape'!AK58)</f>
        <v>0</v>
      </c>
      <c r="AL58" s="585">
        <f>SUM('Schedule 3B_Income_Eastern:Schedule 3D_Income_The Cape'!AL58)</f>
        <v>0</v>
      </c>
      <c r="AM58" s="585">
        <f>SUM('Schedule 3B_Income_Eastern:Schedule 3D_Income_The Cape'!AM58)</f>
        <v>0</v>
      </c>
      <c r="AN58" s="588">
        <f t="shared" si="93"/>
        <v>155.25991153008428</v>
      </c>
      <c r="AO58" s="589">
        <f t="shared" si="94"/>
        <v>155.25991153008428</v>
      </c>
      <c r="AP58" s="300">
        <v>36</v>
      </c>
      <c r="AQ58" s="585">
        <f>SUM('Schedule 3B_Income_Eastern:Schedule 3D_Income_The Cape'!AQ58)</f>
        <v>39172.90055851647</v>
      </c>
      <c r="AR58" s="585">
        <f>SUM('Schedule 3B_Income_Eastern:Schedule 3D_Income_The Cape'!AR58)</f>
        <v>0</v>
      </c>
      <c r="AS58" s="585">
        <f>SUM('Schedule 3B_Income_Eastern:Schedule 3D_Income_The Cape'!AS58)</f>
        <v>30547.349730398419</v>
      </c>
      <c r="AT58" s="585">
        <f>SUM('Schedule 3B_Income_Eastern:Schedule 3D_Income_The Cape'!AT58)</f>
        <v>0</v>
      </c>
      <c r="AU58" s="585">
        <f>SUM('Schedule 3B_Income_Eastern:Schedule 3D_Income_The Cape'!AU58)</f>
        <v>60531.594012287103</v>
      </c>
      <c r="AV58" s="585">
        <f>SUM('Schedule 3B_Income_Eastern:Schedule 3D_Income_The Cape'!AV58)</f>
        <v>0</v>
      </c>
      <c r="AW58" s="585">
        <f>SUM('Schedule 3B_Income_Eastern:Schedule 3D_Income_The Cape'!AW58)</f>
        <v>39632.484623510427</v>
      </c>
      <c r="AX58" s="585">
        <f>SUM('Schedule 3B_Income_Eastern:Schedule 3D_Income_The Cape'!AX58)</f>
        <v>11199.598417359439</v>
      </c>
      <c r="AY58" s="586">
        <f t="shared" si="95"/>
        <v>181083.92734207184</v>
      </c>
      <c r="AZ58" s="587">
        <f>SUM('Schedule 3B_Income_Eastern:Schedule 3D_Income_The Cape'!AZ58)</f>
        <v>0</v>
      </c>
      <c r="BA58" s="585">
        <f>SUM('Schedule 3B_Income_Eastern:Schedule 3D_Income_The Cape'!BA58)</f>
        <v>14290.844451696035</v>
      </c>
      <c r="BB58" s="585">
        <f>SUM('Schedule 3B_Income_Eastern:Schedule 3D_Income_The Cape'!BB58)</f>
        <v>0</v>
      </c>
      <c r="BC58" s="585">
        <f>SUM('Schedule 3B_Income_Eastern:Schedule 3D_Income_The Cape'!BC58)</f>
        <v>2200.483700963156</v>
      </c>
      <c r="BD58" s="585">
        <f>SUM('Schedule 3B_Income_Eastern:Schedule 3D_Income_The Cape'!BD58)</f>
        <v>0</v>
      </c>
      <c r="BE58" s="585">
        <f>SUM('Schedule 3B_Income_Eastern:Schedule 3D_Income_The Cape'!BE58)</f>
        <v>6332.7917423250965</v>
      </c>
      <c r="BF58" s="585">
        <f>SUM('Schedule 3B_Income_Eastern:Schedule 3D_Income_The Cape'!BF58)</f>
        <v>0</v>
      </c>
      <c r="BG58" s="585">
        <f>SUM('Schedule 3B_Income_Eastern:Schedule 3D_Income_The Cape'!BG58)</f>
        <v>3548.9314773035394</v>
      </c>
      <c r="BH58" s="588">
        <f t="shared" si="96"/>
        <v>26373.051372287828</v>
      </c>
      <c r="BI58" s="589">
        <f t="shared" si="97"/>
        <v>207456.97871435966</v>
      </c>
      <c r="BJ58" s="300">
        <v>36</v>
      </c>
      <c r="BK58" s="585">
        <f>SUM('Schedule 3B_Income_Eastern:Schedule 3D_Income_The Cape'!BK58)</f>
        <v>963.74225748266224</v>
      </c>
      <c r="BL58" s="585">
        <f>SUM('Schedule 3B_Income_Eastern:Schedule 3D_Income_The Cape'!BL58)</f>
        <v>0</v>
      </c>
      <c r="BM58" s="585">
        <f>SUM('Schedule 3B_Income_Eastern:Schedule 3D_Income_The Cape'!BM58)</f>
        <v>0</v>
      </c>
      <c r="BN58" s="585">
        <f>SUM('Schedule 3B_Income_Eastern:Schedule 3D_Income_The Cape'!BN58)</f>
        <v>0</v>
      </c>
      <c r="BO58" s="585">
        <f>SUM('Schedule 3B_Income_Eastern:Schedule 3D_Income_The Cape'!BO58)</f>
        <v>0</v>
      </c>
      <c r="BP58" s="585">
        <f>SUM('Schedule 3B_Income_Eastern:Schedule 3D_Income_The Cape'!BP58)</f>
        <v>0</v>
      </c>
      <c r="BQ58" s="585">
        <f>SUM('Schedule 3B_Income_Eastern:Schedule 3D_Income_The Cape'!BQ58)</f>
        <v>0</v>
      </c>
      <c r="BR58" s="585">
        <f>SUM('Schedule 3B_Income_Eastern:Schedule 3D_Income_The Cape'!BR58)</f>
        <v>0</v>
      </c>
      <c r="BS58" s="586">
        <f t="shared" si="98"/>
        <v>963.74225748266224</v>
      </c>
      <c r="BT58" s="587">
        <f>SUM('Schedule 3B_Income_Eastern:Schedule 3D_Income_The Cape'!BT58)</f>
        <v>0</v>
      </c>
      <c r="BU58" s="585">
        <f>SUM('Schedule 3B_Income_Eastern:Schedule 3D_Income_The Cape'!BU58)</f>
        <v>0</v>
      </c>
      <c r="BV58" s="585">
        <f>SUM('Schedule 3B_Income_Eastern:Schedule 3D_Income_The Cape'!BV58)</f>
        <v>0</v>
      </c>
      <c r="BW58" s="585">
        <f>SUM('Schedule 3B_Income_Eastern:Schedule 3D_Income_The Cape'!BW58)</f>
        <v>330.07255514447331</v>
      </c>
      <c r="BX58" s="585">
        <f>SUM('Schedule 3B_Income_Eastern:Schedule 3D_Income_The Cape'!BX58)</f>
        <v>0</v>
      </c>
      <c r="BY58" s="585">
        <f>SUM('Schedule 3B_Income_Eastern:Schedule 3D_Income_The Cape'!BY58)</f>
        <v>110.64847403284941</v>
      </c>
      <c r="BZ58" s="585">
        <f>SUM('Schedule 3B_Income_Eastern:Schedule 3D_Income_The Cape'!BZ58)</f>
        <v>0</v>
      </c>
      <c r="CA58" s="585">
        <f>SUM('Schedule 3B_Income_Eastern:Schedule 3D_Income_The Cape'!CA58)</f>
        <v>560.42312437392616</v>
      </c>
      <c r="CB58" s="588">
        <f t="shared" si="99"/>
        <v>1001.1441535512489</v>
      </c>
      <c r="CC58" s="589">
        <f t="shared" si="100"/>
        <v>1964.8864110339111</v>
      </c>
      <c r="CD58" s="300">
        <v>36</v>
      </c>
      <c r="CE58" s="414">
        <f t="shared" si="101"/>
        <v>40136.642815999134</v>
      </c>
      <c r="CF58" s="414">
        <f t="shared" si="102"/>
        <v>48795.33661549705</v>
      </c>
      <c r="CG58" s="414">
        <f t="shared" si="103"/>
        <v>91363.647441058551</v>
      </c>
      <c r="CH58" s="414">
        <f t="shared" si="104"/>
        <v>56569.655873234013</v>
      </c>
      <c r="CI58" s="416">
        <f t="shared" si="105"/>
        <v>236865.28274578872</v>
      </c>
      <c r="CJ58" s="414">
        <f t="shared" si="106"/>
        <v>14290.844451696035</v>
      </c>
      <c r="CK58" s="414">
        <f t="shared" si="107"/>
        <v>3125.9129078303449</v>
      </c>
      <c r="CL58" s="414">
        <f t="shared" si="108"/>
        <v>6554.0886903907958</v>
      </c>
      <c r="CM58" s="414">
        <f t="shared" si="109"/>
        <v>4109.3546016774653</v>
      </c>
      <c r="CN58" s="416">
        <f t="shared" si="110"/>
        <v>28080.200651594641</v>
      </c>
      <c r="CO58" s="414">
        <f t="shared" si="111"/>
        <v>54427.487267695171</v>
      </c>
      <c r="CP58" s="414">
        <f t="shared" si="112"/>
        <v>51921.249523327395</v>
      </c>
      <c r="CQ58" s="414">
        <f t="shared" si="113"/>
        <v>97917.736131449332</v>
      </c>
      <c r="CR58" s="414">
        <f t="shared" si="114"/>
        <v>60679.010474911476</v>
      </c>
      <c r="CS58" s="416">
        <f t="shared" si="115"/>
        <v>264945.48339738336</v>
      </c>
    </row>
    <row r="59" spans="1:101" ht="15.75" customHeight="1">
      <c r="A59" s="88" t="s">
        <v>468</v>
      </c>
      <c r="B59" s="300">
        <v>37</v>
      </c>
      <c r="C59" s="585">
        <f>SUM('Schedule 3B_Income_Eastern:Schedule 3D_Income_The Cape'!C59)</f>
        <v>1007.5650884253926</v>
      </c>
      <c r="D59" s="585">
        <f>SUM('Schedule 3B_Income_Eastern:Schedule 3D_Income_The Cape'!D59)</f>
        <v>3837.2478851496089</v>
      </c>
      <c r="E59" s="585">
        <f>SUM('Schedule 3B_Income_Eastern:Schedule 3D_Income_The Cape'!E59)</f>
        <v>1903.0536210834705</v>
      </c>
      <c r="F59" s="585">
        <f>SUM('Schedule 3B_Income_Eastern:Schedule 3D_Income_The Cape'!F59)</f>
        <v>4847.1374687217221</v>
      </c>
      <c r="G59" s="585">
        <f>SUM('Schedule 3B_Income_Eastern:Schedule 3D_Income_The Cape'!G59)</f>
        <v>2480.2078546455468</v>
      </c>
      <c r="H59" s="585">
        <f>SUM('Schedule 3B_Income_Eastern:Schedule 3D_Income_The Cape'!H59)</f>
        <v>5292.8923032793182</v>
      </c>
      <c r="I59" s="585">
        <f>SUM('Schedule 3B_Income_Eastern:Schedule 3D_Income_The Cape'!I59)</f>
        <v>4822.6405799125496</v>
      </c>
      <c r="J59" s="585">
        <f>SUM('Schedule 3B_Income_Eastern:Schedule 3D_Income_The Cape'!J59)</f>
        <v>4161.6908309892005</v>
      </c>
      <c r="K59" s="586">
        <f t="shared" si="89"/>
        <v>28352.435632206812</v>
      </c>
      <c r="L59" s="587">
        <f>SUM('Schedule 3B_Income_Eastern:Schedule 3D_Income_The Cape'!L59)</f>
        <v>0</v>
      </c>
      <c r="M59" s="585">
        <f>SUM('Schedule 3B_Income_Eastern:Schedule 3D_Income_The Cape'!M59)</f>
        <v>1120.1013240714792</v>
      </c>
      <c r="N59" s="585">
        <f>SUM('Schedule 3B_Income_Eastern:Schedule 3D_Income_The Cape'!N59)</f>
        <v>0</v>
      </c>
      <c r="O59" s="585">
        <f>SUM('Schedule 3B_Income_Eastern:Schedule 3D_Income_The Cape'!O59)</f>
        <v>3126.1232599685463</v>
      </c>
      <c r="P59" s="585">
        <f>SUM('Schedule 3B_Income_Eastern:Schedule 3D_Income_The Cape'!P59)</f>
        <v>0</v>
      </c>
      <c r="Q59" s="585">
        <f>SUM('Schedule 3B_Income_Eastern:Schedule 3D_Income_The Cape'!Q59)</f>
        <v>3086.199904140014</v>
      </c>
      <c r="R59" s="585">
        <f>SUM('Schedule 3B_Income_Eastern:Schedule 3D_Income_The Cape'!R59)</f>
        <v>0</v>
      </c>
      <c r="S59" s="585">
        <f>SUM('Schedule 3B_Income_Eastern:Schedule 3D_Income_The Cape'!S59)</f>
        <v>3533.5433113975682</v>
      </c>
      <c r="T59" s="588">
        <f t="shared" si="90"/>
        <v>10865.967799577607</v>
      </c>
      <c r="U59" s="589">
        <f t="shared" si="91"/>
        <v>39218.40343178442</v>
      </c>
      <c r="V59" s="300">
        <v>37</v>
      </c>
      <c r="W59" s="585">
        <f>SUM('Schedule 3B_Income_Eastern:Schedule 3D_Income_The Cape'!W59)</f>
        <v>0</v>
      </c>
      <c r="X59" s="585">
        <f>SUM('Schedule 3B_Income_Eastern:Schedule 3D_Income_The Cape'!X59)</f>
        <v>697.04502891563129</v>
      </c>
      <c r="Y59" s="585">
        <f>SUM('Schedule 3B_Income_Eastern:Schedule 3D_Income_The Cape'!Y59)</f>
        <v>0</v>
      </c>
      <c r="Z59" s="585">
        <f>SUM('Schedule 3B_Income_Eastern:Schedule 3D_Income_The Cape'!Z59)</f>
        <v>449.91931892042203</v>
      </c>
      <c r="AA59" s="585">
        <f>SUM('Schedule 3B_Income_Eastern:Schedule 3D_Income_The Cape'!AA59)</f>
        <v>331.65248780640252</v>
      </c>
      <c r="AB59" s="585">
        <f>SUM('Schedule 3B_Income_Eastern:Schedule 3D_Income_The Cape'!AB59)</f>
        <v>1589.9219263931175</v>
      </c>
      <c r="AC59" s="585">
        <f>SUM('Schedule 3B_Income_Eastern:Schedule 3D_Income_The Cape'!AC59)</f>
        <v>611.99991351690926</v>
      </c>
      <c r="AD59" s="585">
        <f>SUM('Schedule 3B_Income_Eastern:Schedule 3D_Income_The Cape'!AD59)</f>
        <v>609.23702594053418</v>
      </c>
      <c r="AE59" s="586">
        <f t="shared" si="92"/>
        <v>4289.7757014930166</v>
      </c>
      <c r="AF59" s="587">
        <f>SUM('Schedule 3B_Income_Eastern:Schedule 3D_Income_The Cape'!AF59)</f>
        <v>0</v>
      </c>
      <c r="AG59" s="585">
        <f>SUM('Schedule 3B_Income_Eastern:Schedule 3D_Income_The Cape'!AG59)</f>
        <v>156.85219559532828</v>
      </c>
      <c r="AH59" s="585">
        <f>SUM('Schedule 3B_Income_Eastern:Schedule 3D_Income_The Cape'!AH59)</f>
        <v>0</v>
      </c>
      <c r="AI59" s="585">
        <f>SUM('Schedule 3B_Income_Eastern:Schedule 3D_Income_The Cape'!AI59)</f>
        <v>149.38006842891269</v>
      </c>
      <c r="AJ59" s="585">
        <f>SUM('Schedule 3B_Income_Eastern:Schedule 3D_Income_The Cape'!AJ59)</f>
        <v>0</v>
      </c>
      <c r="AK59" s="585">
        <f>SUM('Schedule 3B_Income_Eastern:Schedule 3D_Income_The Cape'!AK59)</f>
        <v>402.16852046735676</v>
      </c>
      <c r="AL59" s="585">
        <f>SUM('Schedule 3B_Income_Eastern:Schedule 3D_Income_The Cape'!AL59)</f>
        <v>0</v>
      </c>
      <c r="AM59" s="585">
        <f>SUM('Schedule 3B_Income_Eastern:Schedule 3D_Income_The Cape'!AM59)</f>
        <v>823.07299324247094</v>
      </c>
      <c r="AN59" s="588">
        <f t="shared" si="93"/>
        <v>1531.4737777340688</v>
      </c>
      <c r="AO59" s="589">
        <f t="shared" si="94"/>
        <v>5821.2494792270854</v>
      </c>
      <c r="AP59" s="300">
        <v>37</v>
      </c>
      <c r="AQ59" s="585">
        <f>SUM('Schedule 3B_Income_Eastern:Schedule 3D_Income_The Cape'!AQ59)</f>
        <v>12928.015146194506</v>
      </c>
      <c r="AR59" s="585">
        <f>SUM('Schedule 3B_Income_Eastern:Schedule 3D_Income_The Cape'!AR59)</f>
        <v>22857.806607970175</v>
      </c>
      <c r="AS59" s="585">
        <f>SUM('Schedule 3B_Income_Eastern:Schedule 3D_Income_The Cape'!AS59)</f>
        <v>13273.04029995211</v>
      </c>
      <c r="AT59" s="585">
        <f>SUM('Schedule 3B_Income_Eastern:Schedule 3D_Income_The Cape'!AT59)</f>
        <v>23832.151253250529</v>
      </c>
      <c r="AU59" s="585">
        <f>SUM('Schedule 3B_Income_Eastern:Schedule 3D_Income_The Cape'!AU59)</f>
        <v>18360.934979862664</v>
      </c>
      <c r="AV59" s="585">
        <f>SUM('Schedule 3B_Income_Eastern:Schedule 3D_Income_The Cape'!AV59)</f>
        <v>30874.937100452338</v>
      </c>
      <c r="AW59" s="585">
        <f>SUM('Schedule 3B_Income_Eastern:Schedule 3D_Income_The Cape'!AW59)</f>
        <v>25949.680050834395</v>
      </c>
      <c r="AX59" s="585">
        <f>SUM('Schedule 3B_Income_Eastern:Schedule 3D_Income_The Cape'!AX59)</f>
        <v>31074.054364041876</v>
      </c>
      <c r="AY59" s="586">
        <f t="shared" si="95"/>
        <v>179150.61980255862</v>
      </c>
      <c r="AZ59" s="587">
        <f>SUM('Schedule 3B_Income_Eastern:Schedule 3D_Income_The Cape'!AZ59)</f>
        <v>0</v>
      </c>
      <c r="BA59" s="585">
        <f>SUM('Schedule 3B_Income_Eastern:Schedule 3D_Income_The Cape'!BA59)</f>
        <v>9737.2794743576214</v>
      </c>
      <c r="BB59" s="585">
        <f>SUM('Schedule 3B_Income_Eastern:Schedule 3D_Income_The Cape'!BB59)</f>
        <v>0</v>
      </c>
      <c r="BC59" s="585">
        <f>SUM('Schedule 3B_Income_Eastern:Schedule 3D_Income_The Cape'!BC59)</f>
        <v>13027.067851778993</v>
      </c>
      <c r="BD59" s="585">
        <f>SUM('Schedule 3B_Income_Eastern:Schedule 3D_Income_The Cape'!BD59)</f>
        <v>0</v>
      </c>
      <c r="BE59" s="585">
        <f>SUM('Schedule 3B_Income_Eastern:Schedule 3D_Income_The Cape'!BE59)</f>
        <v>27907.843947677331</v>
      </c>
      <c r="BF59" s="585">
        <f>SUM('Schedule 3B_Income_Eastern:Schedule 3D_Income_The Cape'!BF59)</f>
        <v>0</v>
      </c>
      <c r="BG59" s="585">
        <f>SUM('Schedule 3B_Income_Eastern:Schedule 3D_Income_The Cape'!BG59)</f>
        <v>34828.429783048501</v>
      </c>
      <c r="BH59" s="588">
        <f t="shared" si="96"/>
        <v>85500.621056862452</v>
      </c>
      <c r="BI59" s="589">
        <f t="shared" si="97"/>
        <v>264651.24085942109</v>
      </c>
      <c r="BJ59" s="300">
        <v>37</v>
      </c>
      <c r="BK59" s="585">
        <f>SUM('Schedule 3B_Income_Eastern:Schedule 3D_Income_The Cape'!BK59)</f>
        <v>0</v>
      </c>
      <c r="BL59" s="585">
        <f>SUM('Schedule 3B_Income_Eastern:Schedule 3D_Income_The Cape'!BL59)</f>
        <v>0</v>
      </c>
      <c r="BM59" s="585">
        <f>SUM('Schedule 3B_Income_Eastern:Schedule 3D_Income_The Cape'!BM59)</f>
        <v>0</v>
      </c>
      <c r="BN59" s="585">
        <f>SUM('Schedule 3B_Income_Eastern:Schedule 3D_Income_The Cape'!BN59)</f>
        <v>0</v>
      </c>
      <c r="BO59" s="585">
        <f>SUM('Schedule 3B_Income_Eastern:Schedule 3D_Income_The Cape'!BO59)</f>
        <v>0</v>
      </c>
      <c r="BP59" s="585">
        <f>SUM('Schedule 3B_Income_Eastern:Schedule 3D_Income_The Cape'!BP59)</f>
        <v>0</v>
      </c>
      <c r="BQ59" s="585">
        <f>SUM('Schedule 3B_Income_Eastern:Schedule 3D_Income_The Cape'!BQ59)</f>
        <v>0</v>
      </c>
      <c r="BR59" s="585">
        <f>SUM('Schedule 3B_Income_Eastern:Schedule 3D_Income_The Cape'!BR59)</f>
        <v>83.800818033435704</v>
      </c>
      <c r="BS59" s="586">
        <f t="shared" si="98"/>
        <v>83.800818033435704</v>
      </c>
      <c r="BT59" s="587">
        <f>SUM('Schedule 3B_Income_Eastern:Schedule 3D_Income_The Cape'!BT59)</f>
        <v>0</v>
      </c>
      <c r="BU59" s="585">
        <f>SUM('Schedule 3B_Income_Eastern:Schedule 3D_Income_The Cape'!BU59)</f>
        <v>0</v>
      </c>
      <c r="BV59" s="585">
        <f>SUM('Schedule 3B_Income_Eastern:Schedule 3D_Income_The Cape'!BV59)</f>
        <v>0</v>
      </c>
      <c r="BW59" s="585">
        <f>SUM('Schedule 3B_Income_Eastern:Schedule 3D_Income_The Cape'!BW59)</f>
        <v>0</v>
      </c>
      <c r="BX59" s="585">
        <f>SUM('Schedule 3B_Income_Eastern:Schedule 3D_Income_The Cape'!BX59)</f>
        <v>0</v>
      </c>
      <c r="BY59" s="585">
        <f>SUM('Schedule 3B_Income_Eastern:Schedule 3D_Income_The Cape'!BY59)</f>
        <v>0</v>
      </c>
      <c r="BZ59" s="585">
        <f>SUM('Schedule 3B_Income_Eastern:Schedule 3D_Income_The Cape'!BZ59)</f>
        <v>0</v>
      </c>
      <c r="CA59" s="585">
        <f>SUM('Schedule 3B_Income_Eastern:Schedule 3D_Income_The Cape'!CA59)</f>
        <v>0</v>
      </c>
      <c r="CB59" s="588">
        <f t="shared" si="99"/>
        <v>0</v>
      </c>
      <c r="CC59" s="589">
        <f t="shared" si="100"/>
        <v>83.800818033435704</v>
      </c>
      <c r="CD59" s="300">
        <v>37</v>
      </c>
      <c r="CE59" s="414">
        <f t="shared" si="101"/>
        <v>41327.679756655314</v>
      </c>
      <c r="CF59" s="414">
        <f t="shared" si="102"/>
        <v>44305.301961928257</v>
      </c>
      <c r="CG59" s="414">
        <f t="shared" si="103"/>
        <v>58930.546652439385</v>
      </c>
      <c r="CH59" s="414">
        <f t="shared" si="104"/>
        <v>67313.103583268894</v>
      </c>
      <c r="CI59" s="416">
        <f t="shared" si="105"/>
        <v>211876.63195429186</v>
      </c>
      <c r="CJ59" s="414">
        <f t="shared" si="106"/>
        <v>11014.232994024429</v>
      </c>
      <c r="CK59" s="414">
        <f t="shared" si="107"/>
        <v>16302.571180176452</v>
      </c>
      <c r="CL59" s="414">
        <f t="shared" si="108"/>
        <v>31396.212372284703</v>
      </c>
      <c r="CM59" s="414">
        <f t="shared" si="109"/>
        <v>39185.046087688541</v>
      </c>
      <c r="CN59" s="416">
        <f t="shared" si="110"/>
        <v>97898.06263417413</v>
      </c>
      <c r="CO59" s="414">
        <f t="shared" si="111"/>
        <v>52341.912750679745</v>
      </c>
      <c r="CP59" s="414">
        <f t="shared" si="112"/>
        <v>60607.873142104705</v>
      </c>
      <c r="CQ59" s="414">
        <f t="shared" si="113"/>
        <v>90326.759024724088</v>
      </c>
      <c r="CR59" s="414">
        <f t="shared" si="114"/>
        <v>106498.14967095743</v>
      </c>
      <c r="CS59" s="416">
        <f t="shared" si="115"/>
        <v>309774.69458846602</v>
      </c>
    </row>
    <row r="60" spans="1:101" ht="15.75" customHeight="1">
      <c r="A60" s="932" t="s">
        <v>372</v>
      </c>
      <c r="B60" s="933">
        <v>38</v>
      </c>
      <c r="C60" s="585">
        <f>SUM('Schedule 3B_Income_Eastern:Schedule 3D_Income_The Cape'!C60)</f>
        <v>106278.40144399271</v>
      </c>
      <c r="D60" s="585">
        <f>SUM('Schedule 3B_Income_Eastern:Schedule 3D_Income_The Cape'!D60)</f>
        <v>494600.35697462503</v>
      </c>
      <c r="E60" s="585">
        <f>SUM('Schedule 3B_Income_Eastern:Schedule 3D_Income_The Cape'!E60)</f>
        <v>151059.22891606612</v>
      </c>
      <c r="F60" s="585">
        <f>SUM('Schedule 3B_Income_Eastern:Schedule 3D_Income_The Cape'!F60)</f>
        <v>664103.70684759016</v>
      </c>
      <c r="G60" s="585">
        <f>SUM('Schedule 3B_Income_Eastern:Schedule 3D_Income_The Cape'!G60)</f>
        <v>154718.3870227953</v>
      </c>
      <c r="H60" s="585">
        <f>SUM('Schedule 3B_Income_Eastern:Schedule 3D_Income_The Cape'!H60)</f>
        <v>632384.38528129552</v>
      </c>
      <c r="I60" s="585">
        <f>SUM('Schedule 3B_Income_Eastern:Schedule 3D_Income_The Cape'!I60)</f>
        <v>138026.49724284769</v>
      </c>
      <c r="J60" s="585">
        <f>SUM('Schedule 3B_Income_Eastern:Schedule 3D_Income_The Cape'!J60)</f>
        <v>573571.64824159956</v>
      </c>
      <c r="K60" s="586">
        <f>SUM(C60:J60)</f>
        <v>2914742.6119708116</v>
      </c>
      <c r="L60" s="587">
        <f>SUM('Schedule 3B_Income_Eastern:Schedule 3D_Income_The Cape'!L60)</f>
        <v>0</v>
      </c>
      <c r="M60" s="585">
        <f>SUM('Schedule 3B_Income_Eastern:Schedule 3D_Income_The Cape'!M60)</f>
        <v>0</v>
      </c>
      <c r="N60" s="585">
        <f>SUM('Schedule 3B_Income_Eastern:Schedule 3D_Income_The Cape'!N60)</f>
        <v>0</v>
      </c>
      <c r="O60" s="585">
        <f>SUM('Schedule 3B_Income_Eastern:Schedule 3D_Income_The Cape'!O60)</f>
        <v>0</v>
      </c>
      <c r="P60" s="585">
        <f>SUM('Schedule 3B_Income_Eastern:Schedule 3D_Income_The Cape'!P60)</f>
        <v>0</v>
      </c>
      <c r="Q60" s="585">
        <f>SUM('Schedule 3B_Income_Eastern:Schedule 3D_Income_The Cape'!Q60)</f>
        <v>0</v>
      </c>
      <c r="R60" s="585">
        <f>SUM('Schedule 3B_Income_Eastern:Schedule 3D_Income_The Cape'!R60)</f>
        <v>0</v>
      </c>
      <c r="S60" s="585">
        <f>SUM('Schedule 3B_Income_Eastern:Schedule 3D_Income_The Cape'!S60)</f>
        <v>0</v>
      </c>
      <c r="T60" s="588">
        <f>SUM(L60:S60)</f>
        <v>0</v>
      </c>
      <c r="U60" s="589">
        <f>SUM(T60,K60)</f>
        <v>2914742.6119708116</v>
      </c>
      <c r="V60" s="933">
        <v>38</v>
      </c>
      <c r="W60" s="585">
        <f>SUM('Schedule 3B_Income_Eastern:Schedule 3D_Income_The Cape'!W60)</f>
        <v>5410.5368007850839</v>
      </c>
      <c r="X60" s="585">
        <f>SUM('Schedule 3B_Income_Eastern:Schedule 3D_Income_The Cape'!X60)</f>
        <v>110143.07058741064</v>
      </c>
      <c r="Y60" s="585">
        <f>SUM('Schedule 3B_Income_Eastern:Schedule 3D_Income_The Cape'!Y60)</f>
        <v>4331.4474241165908</v>
      </c>
      <c r="Z60" s="585">
        <f>SUM('Schedule 3B_Income_Eastern:Schedule 3D_Income_The Cape'!Z60)</f>
        <v>94131.634199105203</v>
      </c>
      <c r="AA60" s="585">
        <f>SUM('Schedule 3B_Income_Eastern:Schedule 3D_Income_The Cape'!AA60)</f>
        <v>5327.1300921022339</v>
      </c>
      <c r="AB60" s="585">
        <f>SUM('Schedule 3B_Income_Eastern:Schedule 3D_Income_The Cape'!AB60)</f>
        <v>96351.570361501275</v>
      </c>
      <c r="AC60" s="585">
        <f>SUM('Schedule 3B_Income_Eastern:Schedule 3D_Income_The Cape'!AC60)</f>
        <v>6616.6548288098684</v>
      </c>
      <c r="AD60" s="585">
        <f>SUM('Schedule 3B_Income_Eastern:Schedule 3D_Income_The Cape'!AD60)</f>
        <v>101173.26860331366</v>
      </c>
      <c r="AE60" s="586">
        <f>SUM(W60:AD60)</f>
        <v>423485.31289714447</v>
      </c>
      <c r="AF60" s="587">
        <f>SUM('Schedule 3B_Income_Eastern:Schedule 3D_Income_The Cape'!AF60)</f>
        <v>0</v>
      </c>
      <c r="AG60" s="585">
        <f>SUM('Schedule 3B_Income_Eastern:Schedule 3D_Income_The Cape'!AG60)</f>
        <v>0</v>
      </c>
      <c r="AH60" s="585">
        <f>SUM('Schedule 3B_Income_Eastern:Schedule 3D_Income_The Cape'!AH60)</f>
        <v>0</v>
      </c>
      <c r="AI60" s="585">
        <f>SUM('Schedule 3B_Income_Eastern:Schedule 3D_Income_The Cape'!AI60)</f>
        <v>0</v>
      </c>
      <c r="AJ60" s="585">
        <f>SUM('Schedule 3B_Income_Eastern:Schedule 3D_Income_The Cape'!AJ60)</f>
        <v>0</v>
      </c>
      <c r="AK60" s="585">
        <f>SUM('Schedule 3B_Income_Eastern:Schedule 3D_Income_The Cape'!AK60)</f>
        <v>0</v>
      </c>
      <c r="AL60" s="585">
        <f>SUM('Schedule 3B_Income_Eastern:Schedule 3D_Income_The Cape'!AL60)</f>
        <v>0</v>
      </c>
      <c r="AM60" s="585">
        <f>SUM('Schedule 3B_Income_Eastern:Schedule 3D_Income_The Cape'!AM60)</f>
        <v>0</v>
      </c>
      <c r="AN60" s="588">
        <f>SUM(AF60:AM60)</f>
        <v>0</v>
      </c>
      <c r="AO60" s="589">
        <f>SUM(AN60,AE60)</f>
        <v>423485.31289714447</v>
      </c>
      <c r="AP60" s="933">
        <v>38</v>
      </c>
      <c r="AQ60" s="585">
        <f>SUM('Schedule 3B_Income_Eastern:Schedule 3D_Income_The Cape'!AQ60)</f>
        <v>372708.69219122385</v>
      </c>
      <c r="AR60" s="585">
        <f>SUM('Schedule 3B_Income_Eastern:Schedule 3D_Income_The Cape'!AR60)</f>
        <v>1605924.6158558812</v>
      </c>
      <c r="AS60" s="585">
        <f>SUM('Schedule 3B_Income_Eastern:Schedule 3D_Income_The Cape'!AS60)</f>
        <v>366162.00188871322</v>
      </c>
      <c r="AT60" s="585">
        <f>SUM('Schedule 3B_Income_Eastern:Schedule 3D_Income_The Cape'!AT60)</f>
        <v>1549730.0105285719</v>
      </c>
      <c r="AU60" s="585">
        <f>SUM('Schedule 3B_Income_Eastern:Schedule 3D_Income_The Cape'!AU60)</f>
        <v>404012.63437639113</v>
      </c>
      <c r="AV60" s="585">
        <f>SUM('Schedule 3B_Income_Eastern:Schedule 3D_Income_The Cape'!AV60)</f>
        <v>1663222.6604950496</v>
      </c>
      <c r="AW60" s="585">
        <f>SUM('Schedule 3B_Income_Eastern:Schedule 3D_Income_The Cape'!AW60)</f>
        <v>454856.55055725505</v>
      </c>
      <c r="AX60" s="585">
        <f>SUM('Schedule 3B_Income_Eastern:Schedule 3D_Income_The Cape'!AX60)</f>
        <v>1801884.3731479896</v>
      </c>
      <c r="AY60" s="586">
        <f>SUM(AQ60:AX60)</f>
        <v>8218501.5390410749</v>
      </c>
      <c r="AZ60" s="587">
        <f>SUM('Schedule 3B_Income_Eastern:Schedule 3D_Income_The Cape'!AZ60)</f>
        <v>0</v>
      </c>
      <c r="BA60" s="585">
        <f>SUM('Schedule 3B_Income_Eastern:Schedule 3D_Income_The Cape'!BA60)</f>
        <v>0</v>
      </c>
      <c r="BB60" s="585">
        <f>SUM('Schedule 3B_Income_Eastern:Schedule 3D_Income_The Cape'!BB60)</f>
        <v>0</v>
      </c>
      <c r="BC60" s="585">
        <f>SUM('Schedule 3B_Income_Eastern:Schedule 3D_Income_The Cape'!BC60)</f>
        <v>0</v>
      </c>
      <c r="BD60" s="585">
        <f>SUM('Schedule 3B_Income_Eastern:Schedule 3D_Income_The Cape'!BD60)</f>
        <v>0</v>
      </c>
      <c r="BE60" s="585">
        <f>SUM('Schedule 3B_Income_Eastern:Schedule 3D_Income_The Cape'!BE60)</f>
        <v>0</v>
      </c>
      <c r="BF60" s="585">
        <f>SUM('Schedule 3B_Income_Eastern:Schedule 3D_Income_The Cape'!BF60)</f>
        <v>0</v>
      </c>
      <c r="BG60" s="585">
        <f>SUM('Schedule 3B_Income_Eastern:Schedule 3D_Income_The Cape'!BG60)</f>
        <v>0</v>
      </c>
      <c r="BH60" s="588">
        <f>SUM(AZ60:BG60)</f>
        <v>0</v>
      </c>
      <c r="BI60" s="589">
        <f>SUM(BH60,AY60)</f>
        <v>8218501.5390410749</v>
      </c>
      <c r="BJ60" s="933">
        <v>38</v>
      </c>
      <c r="BK60" s="585">
        <f>SUM('Schedule 3B_Income_Eastern:Schedule 3D_Income_The Cape'!BK60)</f>
        <v>2859.8551661292586</v>
      </c>
      <c r="BL60" s="585">
        <f>SUM('Schedule 3B_Income_Eastern:Schedule 3D_Income_The Cape'!BL60)</f>
        <v>58742.970979952341</v>
      </c>
      <c r="BM60" s="585">
        <f>SUM('Schedule 3B_Income_Eastern:Schedule 3D_Income_The Cape'!BM60)</f>
        <v>2707.1546400728694</v>
      </c>
      <c r="BN60" s="585">
        <f>SUM('Schedule 3B_Income_Eastern:Schedule 3D_Income_The Cape'!BN60)</f>
        <v>54916.565555763918</v>
      </c>
      <c r="BO60" s="585">
        <f>SUM('Schedule 3B_Income_Eastern:Schedule 3D_Income_The Cape'!BO60)</f>
        <v>3397.0104935144677</v>
      </c>
      <c r="BP60" s="585">
        <f>SUM('Schedule 3B_Income_Eastern:Schedule 3D_Income_The Cape'!BP60)</f>
        <v>58289.61187735053</v>
      </c>
      <c r="BQ60" s="585">
        <f>SUM('Schedule 3B_Income_Eastern:Schedule 3D_Income_The Cape'!BQ60)</f>
        <v>4308.5194234110759</v>
      </c>
      <c r="BR60" s="585">
        <f>SUM('Schedule 3B_Income_Eastern:Schedule 3D_Income_The Cape'!BR60)</f>
        <v>63319.847954773497</v>
      </c>
      <c r="BS60" s="586">
        <f>SUM(BK60:BR60)</f>
        <v>248541.53609096794</v>
      </c>
      <c r="BT60" s="587">
        <f>SUM('Schedule 3B_Income_Eastern:Schedule 3D_Income_The Cape'!BT60)</f>
        <v>0</v>
      </c>
      <c r="BU60" s="585">
        <f>SUM('Schedule 3B_Income_Eastern:Schedule 3D_Income_The Cape'!BU60)</f>
        <v>0</v>
      </c>
      <c r="BV60" s="585">
        <f>SUM('Schedule 3B_Income_Eastern:Schedule 3D_Income_The Cape'!BV60)</f>
        <v>0</v>
      </c>
      <c r="BW60" s="585">
        <f>SUM('Schedule 3B_Income_Eastern:Schedule 3D_Income_The Cape'!BW60)</f>
        <v>0</v>
      </c>
      <c r="BX60" s="585">
        <f>SUM('Schedule 3B_Income_Eastern:Schedule 3D_Income_The Cape'!BX60)</f>
        <v>0</v>
      </c>
      <c r="BY60" s="585">
        <f>SUM('Schedule 3B_Income_Eastern:Schedule 3D_Income_The Cape'!BY60)</f>
        <v>0</v>
      </c>
      <c r="BZ60" s="585">
        <f>SUM('Schedule 3B_Income_Eastern:Schedule 3D_Income_The Cape'!BZ60)</f>
        <v>0</v>
      </c>
      <c r="CA60" s="585">
        <f>SUM('Schedule 3B_Income_Eastern:Schedule 3D_Income_The Cape'!CA60)</f>
        <v>0</v>
      </c>
      <c r="CB60" s="588">
        <f>SUM(BT60:CA60)</f>
        <v>0</v>
      </c>
      <c r="CC60" s="589">
        <f>SUM(CB60,BS60)</f>
        <v>248541.53609096794</v>
      </c>
      <c r="CD60" s="933">
        <v>38</v>
      </c>
      <c r="CE60" s="414">
        <f t="shared" si="101"/>
        <v>2756668.5000000005</v>
      </c>
      <c r="CF60" s="414">
        <f t="shared" si="102"/>
        <v>2887141.75</v>
      </c>
      <c r="CG60" s="414">
        <f t="shared" si="103"/>
        <v>3017703.39</v>
      </c>
      <c r="CH60" s="414">
        <f t="shared" si="104"/>
        <v>3143757.3600000003</v>
      </c>
      <c r="CI60" s="416">
        <f t="shared" si="105"/>
        <v>11805270.999999998</v>
      </c>
      <c r="CJ60" s="414">
        <f t="shared" si="106"/>
        <v>0</v>
      </c>
      <c r="CK60" s="414">
        <f t="shared" si="107"/>
        <v>0</v>
      </c>
      <c r="CL60" s="414">
        <f t="shared" si="108"/>
        <v>0</v>
      </c>
      <c r="CM60" s="414">
        <f t="shared" si="109"/>
        <v>0</v>
      </c>
      <c r="CN60" s="416">
        <f t="shared" si="110"/>
        <v>0</v>
      </c>
      <c r="CO60" s="414">
        <f t="shared" si="111"/>
        <v>2756668.5000000005</v>
      </c>
      <c r="CP60" s="414">
        <f t="shared" si="112"/>
        <v>2887141.75</v>
      </c>
      <c r="CQ60" s="414">
        <f t="shared" si="113"/>
        <v>3017703.39</v>
      </c>
      <c r="CR60" s="414">
        <f t="shared" si="114"/>
        <v>3143757.3600000003</v>
      </c>
      <c r="CS60" s="416">
        <f t="shared" si="115"/>
        <v>11805270.999999998</v>
      </c>
      <c r="CU60" s="319"/>
    </row>
    <row r="61" spans="1:101" ht="15.75" customHeight="1">
      <c r="A61" s="932" t="s">
        <v>226</v>
      </c>
      <c r="B61" s="933">
        <v>39</v>
      </c>
      <c r="C61" s="585">
        <f>SUM('Schedule 3B_Income_Eastern:Schedule 3D_Income_The Cape'!C61)</f>
        <v>39896.76</v>
      </c>
      <c r="D61" s="585">
        <f>SUM('Schedule 3B_Income_Eastern:Schedule 3D_Income_The Cape'!D61)</f>
        <v>188822.46000000002</v>
      </c>
      <c r="E61" s="585">
        <f>SUM('Schedule 3B_Income_Eastern:Schedule 3D_Income_The Cape'!E61)</f>
        <v>58454.75</v>
      </c>
      <c r="F61" s="585">
        <f>SUM('Schedule 3B_Income_Eastern:Schedule 3D_Income_The Cape'!F61)</f>
        <v>259569.78000000003</v>
      </c>
      <c r="G61" s="585">
        <f>SUM('Schedule 3B_Income_Eastern:Schedule 3D_Income_The Cape'!G61)</f>
        <v>61045.790000000008</v>
      </c>
      <c r="H61" s="585">
        <f>SUM('Schedule 3B_Income_Eastern:Schedule 3D_Income_The Cape'!H61)</f>
        <v>250144.18000000002</v>
      </c>
      <c r="I61" s="585">
        <f>SUM('Schedule 3B_Income_Eastern:Schedule 3D_Income_The Cape'!I61)</f>
        <v>43191.390000000007</v>
      </c>
      <c r="J61" s="585">
        <f>SUM('Schedule 3B_Income_Eastern:Schedule 3D_Income_The Cape'!J61)</f>
        <v>180925.85000000003</v>
      </c>
      <c r="K61" s="586">
        <f t="shared" si="89"/>
        <v>1082050.9600000002</v>
      </c>
      <c r="L61" s="587">
        <f>SUM('Schedule 3B_Income_Eastern:Schedule 3D_Income_The Cape'!L61)</f>
        <v>0</v>
      </c>
      <c r="M61" s="585">
        <f>SUM('Schedule 3B_Income_Eastern:Schedule 3D_Income_The Cape'!M61)</f>
        <v>888968.21000000008</v>
      </c>
      <c r="N61" s="585">
        <f>SUM('Schedule 3B_Income_Eastern:Schedule 3D_Income_The Cape'!N61)</f>
        <v>0</v>
      </c>
      <c r="O61" s="585">
        <f>SUM('Schedule 3B_Income_Eastern:Schedule 3D_Income_The Cape'!O61)</f>
        <v>1271184.43</v>
      </c>
      <c r="P61" s="585">
        <f>SUM('Schedule 3B_Income_Eastern:Schedule 3D_Income_The Cape'!P61)</f>
        <v>0</v>
      </c>
      <c r="Q61" s="585">
        <f>SUM('Schedule 3B_Income_Eastern:Schedule 3D_Income_The Cape'!Q61)</f>
        <v>1208775.5499999998</v>
      </c>
      <c r="R61" s="585">
        <f>SUM('Schedule 3B_Income_Eastern:Schedule 3D_Income_The Cape'!R61)</f>
        <v>0</v>
      </c>
      <c r="S61" s="585">
        <f>SUM('Schedule 3B_Income_Eastern:Schedule 3D_Income_The Cape'!S61)</f>
        <v>1131120.8107722122</v>
      </c>
      <c r="T61" s="588">
        <f t="shared" si="90"/>
        <v>4500049.0007722117</v>
      </c>
      <c r="U61" s="589">
        <f t="shared" si="91"/>
        <v>5582099.9607722117</v>
      </c>
      <c r="V61" s="933">
        <v>39</v>
      </c>
      <c r="W61" s="585">
        <f>SUM('Schedule 3B_Income_Eastern:Schedule 3D_Income_The Cape'!W61)</f>
        <v>1916</v>
      </c>
      <c r="X61" s="585">
        <f>SUM('Schedule 3B_Income_Eastern:Schedule 3D_Income_The Cape'!X61)</f>
        <v>39769.360000000001</v>
      </c>
      <c r="Y61" s="585">
        <f>SUM('Schedule 3B_Income_Eastern:Schedule 3D_Income_The Cape'!Y61)</f>
        <v>1586.6900000000003</v>
      </c>
      <c r="Z61" s="585">
        <f>SUM('Schedule 3B_Income_Eastern:Schedule 3D_Income_The Cape'!Z61)</f>
        <v>35569.880000000005</v>
      </c>
      <c r="AA61" s="585">
        <f>SUM('Schedule 3B_Income_Eastern:Schedule 3D_Income_The Cape'!AA61)</f>
        <v>1987.06</v>
      </c>
      <c r="AB61" s="585">
        <f>SUM('Schedule 3B_Income_Eastern:Schedule 3D_Income_The Cape'!AB61)</f>
        <v>36802.870000000003</v>
      </c>
      <c r="AC61" s="585">
        <f>SUM('Schedule 3B_Income_Eastern:Schedule 3D_Income_The Cape'!AC61)</f>
        <v>1957.9499999999998</v>
      </c>
      <c r="AD61" s="585">
        <f>SUM('Schedule 3B_Income_Eastern:Schedule 3D_Income_The Cape'!AD61)</f>
        <v>31275.47</v>
      </c>
      <c r="AE61" s="586">
        <f t="shared" si="92"/>
        <v>150865.28000000003</v>
      </c>
      <c r="AF61" s="587">
        <f>SUM('Schedule 3B_Income_Eastern:Schedule 3D_Income_The Cape'!AF61)</f>
        <v>0</v>
      </c>
      <c r="AG61" s="585">
        <f>SUM('Schedule 3B_Income_Eastern:Schedule 3D_Income_The Cape'!AG61)</f>
        <v>196709.9</v>
      </c>
      <c r="AH61" s="585">
        <f>SUM('Schedule 3B_Income_Eastern:Schedule 3D_Income_The Cape'!AH61)</f>
        <v>0</v>
      </c>
      <c r="AI61" s="585">
        <f>SUM('Schedule 3B_Income_Eastern:Schedule 3D_Income_The Cape'!AI61)</f>
        <v>179522.6</v>
      </c>
      <c r="AJ61" s="585">
        <f>SUM('Schedule 3B_Income_Eastern:Schedule 3D_Income_The Cape'!AJ61)</f>
        <v>0</v>
      </c>
      <c r="AK61" s="585">
        <f>SUM('Schedule 3B_Income_Eastern:Schedule 3D_Income_The Cape'!AK61)</f>
        <v>183545.07757281873</v>
      </c>
      <c r="AL61" s="585">
        <f>SUM('Schedule 3B_Income_Eastern:Schedule 3D_Income_The Cape'!AL61)</f>
        <v>0</v>
      </c>
      <c r="AM61" s="585">
        <f>SUM('Schedule 3B_Income_Eastern:Schedule 3D_Income_The Cape'!AM61)</f>
        <v>197572.15</v>
      </c>
      <c r="AN61" s="588">
        <f t="shared" si="93"/>
        <v>757349.72757281875</v>
      </c>
      <c r="AO61" s="589">
        <f t="shared" si="94"/>
        <v>908215.00757281878</v>
      </c>
      <c r="AP61" s="933">
        <v>39</v>
      </c>
      <c r="AQ61" s="585">
        <f>SUM('Schedule 3B_Income_Eastern:Schedule 3D_Income_The Cape'!AQ61)</f>
        <v>143867.5</v>
      </c>
      <c r="AR61" s="585">
        <f>SUM('Schedule 3B_Income_Eastern:Schedule 3D_Income_The Cape'!AR61)</f>
        <v>644078.23253247282</v>
      </c>
      <c r="AS61" s="585">
        <f>SUM('Schedule 3B_Income_Eastern:Schedule 3D_Income_The Cape'!AS61)</f>
        <v>147098.91</v>
      </c>
      <c r="AT61" s="585">
        <f>SUM('Schedule 3B_Income_Eastern:Schedule 3D_Income_The Cape'!AT61)</f>
        <v>648629.17344377888</v>
      </c>
      <c r="AU61" s="585">
        <f>SUM('Schedule 3B_Income_Eastern:Schedule 3D_Income_The Cape'!AU61)</f>
        <v>163751.08000000002</v>
      </c>
      <c r="AV61" s="585">
        <f>SUM('Schedule 3B_Income_Eastern:Schedule 3D_Income_The Cape'!AV61)</f>
        <v>702481.3600000001</v>
      </c>
      <c r="AW61" s="585">
        <f>SUM('Schedule 3B_Income_Eastern:Schedule 3D_Income_The Cape'!AW61)</f>
        <v>148235.52736006203</v>
      </c>
      <c r="AX61" s="585">
        <f>SUM('Schedule 3B_Income_Eastern:Schedule 3D_Income_The Cape'!AX61)</f>
        <v>612916.55937162344</v>
      </c>
      <c r="AY61" s="586">
        <f t="shared" si="95"/>
        <v>3211058.3427079376</v>
      </c>
      <c r="AZ61" s="587">
        <f>SUM('Schedule 3B_Income_Eastern:Schedule 3D_Income_The Cape'!AZ61)</f>
        <v>0</v>
      </c>
      <c r="BA61" s="585">
        <f>SUM('Schedule 3B_Income_Eastern:Schedule 3D_Income_The Cape'!BA61)</f>
        <v>2901142.4321902138</v>
      </c>
      <c r="BB61" s="585">
        <f>SUM('Schedule 3B_Income_Eastern:Schedule 3D_Income_The Cape'!BB61)</f>
        <v>0</v>
      </c>
      <c r="BC61" s="585">
        <f>SUM('Schedule 3B_Income_Eastern:Schedule 3D_Income_The Cape'!BC61)</f>
        <v>2986631.42</v>
      </c>
      <c r="BD61" s="585">
        <f>SUM('Schedule 3B_Income_Eastern:Schedule 3D_Income_The Cape'!BD61)</f>
        <v>0</v>
      </c>
      <c r="BE61" s="585">
        <f>SUM('Schedule 3B_Income_Eastern:Schedule 3D_Income_The Cape'!BE61)</f>
        <v>3200354.98</v>
      </c>
      <c r="BF61" s="585">
        <f>SUM('Schedule 3B_Income_Eastern:Schedule 3D_Income_The Cape'!BF61)</f>
        <v>0</v>
      </c>
      <c r="BG61" s="585">
        <f>SUM('Schedule 3B_Income_Eastern:Schedule 3D_Income_The Cape'!BG61)</f>
        <v>3551719.1999561042</v>
      </c>
      <c r="BH61" s="588">
        <f t="shared" si="96"/>
        <v>12639848.032146318</v>
      </c>
      <c r="BI61" s="589">
        <f t="shared" si="97"/>
        <v>15850906.374854255</v>
      </c>
      <c r="BJ61" s="933">
        <v>39</v>
      </c>
      <c r="BK61" s="585">
        <f>SUM('Schedule 3B_Income_Eastern:Schedule 3D_Income_The Cape'!BK61)</f>
        <v>1289.81</v>
      </c>
      <c r="BL61" s="585">
        <f>SUM('Schedule 3B_Income_Eastern:Schedule 3D_Income_The Cape'!BL61)</f>
        <v>27584.5</v>
      </c>
      <c r="BM61" s="585">
        <f>SUM('Schedule 3B_Income_Eastern:Schedule 3D_Income_The Cape'!BM61)</f>
        <v>1222.4299999999998</v>
      </c>
      <c r="BN61" s="585">
        <f>SUM('Schedule 3B_Income_Eastern:Schedule 3D_Income_The Cape'!BN61)</f>
        <v>27044.809999999998</v>
      </c>
      <c r="BO61" s="585">
        <f>SUM('Schedule 3B_Income_Eastern:Schedule 3D_Income_The Cape'!BO61)</f>
        <v>1511.02</v>
      </c>
      <c r="BP61" s="585">
        <f>SUM('Schedule 3B_Income_Eastern:Schedule 3D_Income_The Cape'!BP61)</f>
        <v>28662.28</v>
      </c>
      <c r="BQ61" s="585">
        <f>SUM('Schedule 3B_Income_Eastern:Schedule 3D_Income_The Cape'!BQ61)</f>
        <v>1577.8700000000001</v>
      </c>
      <c r="BR61" s="585">
        <f>SUM('Schedule 3B_Income_Eastern:Schedule 3D_Income_The Cape'!BR61)</f>
        <v>25975.08</v>
      </c>
      <c r="BS61" s="586">
        <f t="shared" si="98"/>
        <v>114867.8</v>
      </c>
      <c r="BT61" s="587">
        <f>SUM('Schedule 3B_Income_Eastern:Schedule 3D_Income_The Cape'!BT61)</f>
        <v>0</v>
      </c>
      <c r="BU61" s="585">
        <f>SUM('Schedule 3B_Income_Eastern:Schedule 3D_Income_The Cape'!BU61)</f>
        <v>107563.32999999999</v>
      </c>
      <c r="BV61" s="585">
        <f>SUM('Schedule 3B_Income_Eastern:Schedule 3D_Income_The Cape'!BV61)</f>
        <v>0</v>
      </c>
      <c r="BW61" s="585">
        <f>SUM('Schedule 3B_Income_Eastern:Schedule 3D_Income_The Cape'!BW61)</f>
        <v>108102.60999999999</v>
      </c>
      <c r="BX61" s="585">
        <f>SUM('Schedule 3B_Income_Eastern:Schedule 3D_Income_The Cape'!BX61)</f>
        <v>0</v>
      </c>
      <c r="BY61" s="585">
        <f>SUM('Schedule 3B_Income_Eastern:Schedule 3D_Income_The Cape'!BY61)</f>
        <v>113941.65000000001</v>
      </c>
      <c r="BZ61" s="585">
        <f>SUM('Schedule 3B_Income_Eastern:Schedule 3D_Income_The Cape'!BZ61)</f>
        <v>0</v>
      </c>
      <c r="CA61" s="585">
        <f>SUM('Schedule 3B_Income_Eastern:Schedule 3D_Income_The Cape'!CA61)</f>
        <v>126375.13999999998</v>
      </c>
      <c r="CB61" s="588">
        <f t="shared" si="99"/>
        <v>455982.73</v>
      </c>
      <c r="CC61" s="589">
        <f t="shared" si="100"/>
        <v>570850.53</v>
      </c>
      <c r="CD61" s="933">
        <v>39</v>
      </c>
      <c r="CE61" s="414">
        <f t="shared" si="101"/>
        <v>1087224.6225324729</v>
      </c>
      <c r="CF61" s="414">
        <f t="shared" si="102"/>
        <v>1179176.4234437789</v>
      </c>
      <c r="CG61" s="414">
        <f t="shared" si="103"/>
        <v>1246385.6400000001</v>
      </c>
      <c r="CH61" s="414">
        <f t="shared" si="104"/>
        <v>1046055.6967316854</v>
      </c>
      <c r="CI61" s="416">
        <f t="shared" si="105"/>
        <v>4558842.3827079376</v>
      </c>
      <c r="CJ61" s="414">
        <f t="shared" si="106"/>
        <v>4094383.8721902138</v>
      </c>
      <c r="CK61" s="414">
        <f t="shared" si="107"/>
        <v>4545441.0600000005</v>
      </c>
      <c r="CL61" s="414">
        <f t="shared" si="108"/>
        <v>4706617.2575728185</v>
      </c>
      <c r="CM61" s="414">
        <f t="shared" si="109"/>
        <v>5006787.3007283164</v>
      </c>
      <c r="CN61" s="416">
        <f t="shared" si="110"/>
        <v>18353229.490491349</v>
      </c>
      <c r="CO61" s="414">
        <f t="shared" si="111"/>
        <v>5181608.4947226858</v>
      </c>
      <c r="CP61" s="414">
        <f t="shared" si="112"/>
        <v>5724617.483443778</v>
      </c>
      <c r="CQ61" s="414">
        <f t="shared" si="113"/>
        <v>5953002.8975728182</v>
      </c>
      <c r="CR61" s="414">
        <f t="shared" si="114"/>
        <v>6052842.9974600021</v>
      </c>
      <c r="CS61" s="416">
        <f t="shared" si="115"/>
        <v>22912071.873199288</v>
      </c>
      <c r="CU61" s="319"/>
      <c r="CW61" s="319"/>
    </row>
    <row r="62" spans="1:101" ht="15.75" customHeight="1">
      <c r="A62" s="932" t="s">
        <v>227</v>
      </c>
      <c r="B62" s="933">
        <v>40</v>
      </c>
      <c r="C62" s="585">
        <f>SUM('Schedule 3B_Income_Eastern:Schedule 3D_Income_The Cape'!C62)</f>
        <v>0</v>
      </c>
      <c r="D62" s="585">
        <f>SUM('Schedule 3B_Income_Eastern:Schedule 3D_Income_The Cape'!D62)</f>
        <v>0</v>
      </c>
      <c r="E62" s="585">
        <f>SUM('Schedule 3B_Income_Eastern:Schedule 3D_Income_The Cape'!E62)</f>
        <v>0</v>
      </c>
      <c r="F62" s="585">
        <f>SUM('Schedule 3B_Income_Eastern:Schedule 3D_Income_The Cape'!F62)</f>
        <v>0</v>
      </c>
      <c r="G62" s="585">
        <f>SUM('Schedule 3B_Income_Eastern:Schedule 3D_Income_The Cape'!G62)</f>
        <v>0</v>
      </c>
      <c r="H62" s="585">
        <f>SUM('Schedule 3B_Income_Eastern:Schedule 3D_Income_The Cape'!H62)</f>
        <v>0</v>
      </c>
      <c r="I62" s="585">
        <f>SUM('Schedule 3B_Income_Eastern:Schedule 3D_Income_The Cape'!I62)</f>
        <v>0</v>
      </c>
      <c r="J62" s="585">
        <f>SUM('Schedule 3B_Income_Eastern:Schedule 3D_Income_The Cape'!J62)</f>
        <v>0</v>
      </c>
      <c r="K62" s="586">
        <f t="shared" si="89"/>
        <v>0</v>
      </c>
      <c r="L62" s="587">
        <f>SUM('Schedule 3B_Income_Eastern:Schedule 3D_Income_The Cape'!L62)</f>
        <v>0</v>
      </c>
      <c r="M62" s="585">
        <f>SUM('Schedule 3B_Income_Eastern:Schedule 3D_Income_The Cape'!M62)</f>
        <v>0</v>
      </c>
      <c r="N62" s="585">
        <f>SUM('Schedule 3B_Income_Eastern:Schedule 3D_Income_The Cape'!N62)</f>
        <v>0</v>
      </c>
      <c r="O62" s="585">
        <f>SUM('Schedule 3B_Income_Eastern:Schedule 3D_Income_The Cape'!O62)</f>
        <v>0</v>
      </c>
      <c r="P62" s="585">
        <f>SUM('Schedule 3B_Income_Eastern:Schedule 3D_Income_The Cape'!P62)</f>
        <v>0</v>
      </c>
      <c r="Q62" s="585">
        <f>SUM('Schedule 3B_Income_Eastern:Schedule 3D_Income_The Cape'!Q62)</f>
        <v>0</v>
      </c>
      <c r="R62" s="585">
        <f>SUM('Schedule 3B_Income_Eastern:Schedule 3D_Income_The Cape'!R62)</f>
        <v>0</v>
      </c>
      <c r="S62" s="585">
        <f>SUM('Schedule 3B_Income_Eastern:Schedule 3D_Income_The Cape'!S62)</f>
        <v>0</v>
      </c>
      <c r="T62" s="588">
        <f t="shared" si="90"/>
        <v>0</v>
      </c>
      <c r="U62" s="589">
        <f t="shared" si="91"/>
        <v>0</v>
      </c>
      <c r="V62" s="933">
        <v>40</v>
      </c>
      <c r="W62" s="585">
        <f>SUM('Schedule 3B_Income_Eastern:Schedule 3D_Income_The Cape'!W62)</f>
        <v>0</v>
      </c>
      <c r="X62" s="585">
        <f>SUM('Schedule 3B_Income_Eastern:Schedule 3D_Income_The Cape'!X62)</f>
        <v>0</v>
      </c>
      <c r="Y62" s="585">
        <f>SUM('Schedule 3B_Income_Eastern:Schedule 3D_Income_The Cape'!Y62)</f>
        <v>0</v>
      </c>
      <c r="Z62" s="585">
        <f>SUM('Schedule 3B_Income_Eastern:Schedule 3D_Income_The Cape'!Z62)</f>
        <v>0</v>
      </c>
      <c r="AA62" s="585">
        <f>SUM('Schedule 3B_Income_Eastern:Schedule 3D_Income_The Cape'!AA62)</f>
        <v>0</v>
      </c>
      <c r="AB62" s="585">
        <f>SUM('Schedule 3B_Income_Eastern:Schedule 3D_Income_The Cape'!AB62)</f>
        <v>0</v>
      </c>
      <c r="AC62" s="585">
        <f>SUM('Schedule 3B_Income_Eastern:Schedule 3D_Income_The Cape'!AC62)</f>
        <v>0</v>
      </c>
      <c r="AD62" s="585">
        <f>SUM('Schedule 3B_Income_Eastern:Schedule 3D_Income_The Cape'!AD62)</f>
        <v>0</v>
      </c>
      <c r="AE62" s="586">
        <f t="shared" si="92"/>
        <v>0</v>
      </c>
      <c r="AF62" s="587">
        <f>SUM('Schedule 3B_Income_Eastern:Schedule 3D_Income_The Cape'!AF62)</f>
        <v>0</v>
      </c>
      <c r="AG62" s="585">
        <f>SUM('Schedule 3B_Income_Eastern:Schedule 3D_Income_The Cape'!AG62)</f>
        <v>0</v>
      </c>
      <c r="AH62" s="585">
        <f>SUM('Schedule 3B_Income_Eastern:Schedule 3D_Income_The Cape'!AH62)</f>
        <v>0</v>
      </c>
      <c r="AI62" s="585">
        <f>SUM('Schedule 3B_Income_Eastern:Schedule 3D_Income_The Cape'!AI62)</f>
        <v>0</v>
      </c>
      <c r="AJ62" s="585">
        <f>SUM('Schedule 3B_Income_Eastern:Schedule 3D_Income_The Cape'!AJ62)</f>
        <v>0</v>
      </c>
      <c r="AK62" s="585">
        <f>SUM('Schedule 3B_Income_Eastern:Schedule 3D_Income_The Cape'!AK62)</f>
        <v>0</v>
      </c>
      <c r="AL62" s="585">
        <f>SUM('Schedule 3B_Income_Eastern:Schedule 3D_Income_The Cape'!AL62)</f>
        <v>0</v>
      </c>
      <c r="AM62" s="585">
        <f>SUM('Schedule 3B_Income_Eastern:Schedule 3D_Income_The Cape'!AM62)</f>
        <v>0</v>
      </c>
      <c r="AN62" s="588">
        <f t="shared" si="93"/>
        <v>0</v>
      </c>
      <c r="AO62" s="589">
        <f t="shared" si="94"/>
        <v>0</v>
      </c>
      <c r="AP62" s="933">
        <v>40</v>
      </c>
      <c r="AQ62" s="585">
        <f>SUM('Schedule 3B_Income_Eastern:Schedule 3D_Income_The Cape'!AQ62)</f>
        <v>0</v>
      </c>
      <c r="AR62" s="585">
        <f>SUM('Schedule 3B_Income_Eastern:Schedule 3D_Income_The Cape'!AR62)</f>
        <v>0</v>
      </c>
      <c r="AS62" s="585">
        <f>SUM('Schedule 3B_Income_Eastern:Schedule 3D_Income_The Cape'!AS62)</f>
        <v>0</v>
      </c>
      <c r="AT62" s="585">
        <f>SUM('Schedule 3B_Income_Eastern:Schedule 3D_Income_The Cape'!AT62)</f>
        <v>0</v>
      </c>
      <c r="AU62" s="585">
        <f>SUM('Schedule 3B_Income_Eastern:Schedule 3D_Income_The Cape'!AU62)</f>
        <v>0</v>
      </c>
      <c r="AV62" s="585">
        <f>SUM('Schedule 3B_Income_Eastern:Schedule 3D_Income_The Cape'!AV62)</f>
        <v>0</v>
      </c>
      <c r="AW62" s="585">
        <f>SUM('Schedule 3B_Income_Eastern:Schedule 3D_Income_The Cape'!AW62)</f>
        <v>0</v>
      </c>
      <c r="AX62" s="585">
        <f>SUM('Schedule 3B_Income_Eastern:Schedule 3D_Income_The Cape'!AX62)</f>
        <v>0</v>
      </c>
      <c r="AY62" s="586">
        <f t="shared" si="95"/>
        <v>0</v>
      </c>
      <c r="AZ62" s="587">
        <f>SUM('Schedule 3B_Income_Eastern:Schedule 3D_Income_The Cape'!AZ62)</f>
        <v>0</v>
      </c>
      <c r="BA62" s="585">
        <f>SUM('Schedule 3B_Income_Eastern:Schedule 3D_Income_The Cape'!BA62)</f>
        <v>0</v>
      </c>
      <c r="BB62" s="585">
        <f>SUM('Schedule 3B_Income_Eastern:Schedule 3D_Income_The Cape'!BB62)</f>
        <v>0</v>
      </c>
      <c r="BC62" s="585">
        <f>SUM('Schedule 3B_Income_Eastern:Schedule 3D_Income_The Cape'!BC62)</f>
        <v>0</v>
      </c>
      <c r="BD62" s="585">
        <f>SUM('Schedule 3B_Income_Eastern:Schedule 3D_Income_The Cape'!BD62)</f>
        <v>0</v>
      </c>
      <c r="BE62" s="585">
        <f>SUM('Schedule 3B_Income_Eastern:Schedule 3D_Income_The Cape'!BE62)</f>
        <v>0</v>
      </c>
      <c r="BF62" s="585">
        <f>SUM('Schedule 3B_Income_Eastern:Schedule 3D_Income_The Cape'!BF62)</f>
        <v>0</v>
      </c>
      <c r="BG62" s="585">
        <f>SUM('Schedule 3B_Income_Eastern:Schedule 3D_Income_The Cape'!BG62)</f>
        <v>0</v>
      </c>
      <c r="BH62" s="588">
        <f t="shared" si="96"/>
        <v>0</v>
      </c>
      <c r="BI62" s="589">
        <f t="shared" si="97"/>
        <v>0</v>
      </c>
      <c r="BJ62" s="933">
        <v>40</v>
      </c>
      <c r="BK62" s="585">
        <f>SUM('Schedule 3B_Income_Eastern:Schedule 3D_Income_The Cape'!BK62)</f>
        <v>0</v>
      </c>
      <c r="BL62" s="585">
        <f>SUM('Schedule 3B_Income_Eastern:Schedule 3D_Income_The Cape'!BL62)</f>
        <v>0</v>
      </c>
      <c r="BM62" s="585">
        <f>SUM('Schedule 3B_Income_Eastern:Schedule 3D_Income_The Cape'!BM62)</f>
        <v>0</v>
      </c>
      <c r="BN62" s="585">
        <f>SUM('Schedule 3B_Income_Eastern:Schedule 3D_Income_The Cape'!BN62)</f>
        <v>0</v>
      </c>
      <c r="BO62" s="585">
        <f>SUM('Schedule 3B_Income_Eastern:Schedule 3D_Income_The Cape'!BO62)</f>
        <v>0</v>
      </c>
      <c r="BP62" s="585">
        <f>SUM('Schedule 3B_Income_Eastern:Schedule 3D_Income_The Cape'!BP62)</f>
        <v>0</v>
      </c>
      <c r="BQ62" s="585">
        <f>SUM('Schedule 3B_Income_Eastern:Schedule 3D_Income_The Cape'!BQ62)</f>
        <v>0</v>
      </c>
      <c r="BR62" s="585">
        <f>SUM('Schedule 3B_Income_Eastern:Schedule 3D_Income_The Cape'!BR62)</f>
        <v>0</v>
      </c>
      <c r="BS62" s="586">
        <f t="shared" si="98"/>
        <v>0</v>
      </c>
      <c r="BT62" s="587">
        <f>SUM('Schedule 3B_Income_Eastern:Schedule 3D_Income_The Cape'!BT62)</f>
        <v>0</v>
      </c>
      <c r="BU62" s="585">
        <f>SUM('Schedule 3B_Income_Eastern:Schedule 3D_Income_The Cape'!BU62)</f>
        <v>0</v>
      </c>
      <c r="BV62" s="585">
        <f>SUM('Schedule 3B_Income_Eastern:Schedule 3D_Income_The Cape'!BV62)</f>
        <v>0</v>
      </c>
      <c r="BW62" s="585">
        <f>SUM('Schedule 3B_Income_Eastern:Schedule 3D_Income_The Cape'!BW62)</f>
        <v>0</v>
      </c>
      <c r="BX62" s="585">
        <f>SUM('Schedule 3B_Income_Eastern:Schedule 3D_Income_The Cape'!BX62)</f>
        <v>0</v>
      </c>
      <c r="BY62" s="585">
        <f>SUM('Schedule 3B_Income_Eastern:Schedule 3D_Income_The Cape'!BY62)</f>
        <v>0</v>
      </c>
      <c r="BZ62" s="585">
        <f>SUM('Schedule 3B_Income_Eastern:Schedule 3D_Income_The Cape'!BZ62)</f>
        <v>0</v>
      </c>
      <c r="CA62" s="585">
        <f>SUM('Schedule 3B_Income_Eastern:Schedule 3D_Income_The Cape'!CA62)</f>
        <v>0</v>
      </c>
      <c r="CB62" s="588">
        <f t="shared" si="99"/>
        <v>0</v>
      </c>
      <c r="CC62" s="589">
        <f t="shared" si="100"/>
        <v>0</v>
      </c>
      <c r="CD62" s="933">
        <v>40</v>
      </c>
      <c r="CE62" s="414">
        <f t="shared" si="101"/>
        <v>0</v>
      </c>
      <c r="CF62" s="414">
        <f t="shared" si="102"/>
        <v>0</v>
      </c>
      <c r="CG62" s="414">
        <f t="shared" si="103"/>
        <v>0</v>
      </c>
      <c r="CH62" s="414">
        <f t="shared" si="104"/>
        <v>0</v>
      </c>
      <c r="CI62" s="416">
        <f t="shared" si="105"/>
        <v>0</v>
      </c>
      <c r="CJ62" s="414">
        <f t="shared" si="106"/>
        <v>0</v>
      </c>
      <c r="CK62" s="414">
        <f t="shared" si="107"/>
        <v>0</v>
      </c>
      <c r="CL62" s="414">
        <f t="shared" si="108"/>
        <v>0</v>
      </c>
      <c r="CM62" s="414">
        <f t="shared" si="109"/>
        <v>0</v>
      </c>
      <c r="CN62" s="416">
        <f t="shared" si="110"/>
        <v>0</v>
      </c>
      <c r="CO62" s="414">
        <f t="shared" si="111"/>
        <v>0</v>
      </c>
      <c r="CP62" s="414">
        <f t="shared" si="112"/>
        <v>0</v>
      </c>
      <c r="CQ62" s="414">
        <f t="shared" si="113"/>
        <v>0</v>
      </c>
      <c r="CR62" s="414">
        <f t="shared" si="114"/>
        <v>0</v>
      </c>
      <c r="CS62" s="416">
        <f t="shared" si="115"/>
        <v>0</v>
      </c>
      <c r="CV62" s="693"/>
    </row>
    <row r="63" spans="1:101" ht="15.75" customHeight="1">
      <c r="A63" s="932" t="s">
        <v>229</v>
      </c>
      <c r="B63" s="933">
        <v>41</v>
      </c>
      <c r="C63" s="585">
        <f>SUM('Schedule 3B_Income_Eastern:Schedule 3D_Income_The Cape'!C63)</f>
        <v>0</v>
      </c>
      <c r="D63" s="585">
        <f>SUM('Schedule 3B_Income_Eastern:Schedule 3D_Income_The Cape'!D63)</f>
        <v>0</v>
      </c>
      <c r="E63" s="585">
        <f>SUM('Schedule 3B_Income_Eastern:Schedule 3D_Income_The Cape'!E63)</f>
        <v>0</v>
      </c>
      <c r="F63" s="585">
        <f>SUM('Schedule 3B_Income_Eastern:Schedule 3D_Income_The Cape'!F63)</f>
        <v>0</v>
      </c>
      <c r="G63" s="585">
        <f>SUM('Schedule 3B_Income_Eastern:Schedule 3D_Income_The Cape'!G63)</f>
        <v>0</v>
      </c>
      <c r="H63" s="585">
        <f>SUM('Schedule 3B_Income_Eastern:Schedule 3D_Income_The Cape'!H63)</f>
        <v>0</v>
      </c>
      <c r="I63" s="585">
        <f>SUM('Schedule 3B_Income_Eastern:Schedule 3D_Income_The Cape'!I63)</f>
        <v>0</v>
      </c>
      <c r="J63" s="585">
        <f>SUM('Schedule 3B_Income_Eastern:Schedule 3D_Income_The Cape'!J63)</f>
        <v>0</v>
      </c>
      <c r="K63" s="586">
        <f t="shared" si="89"/>
        <v>0</v>
      </c>
      <c r="L63" s="587">
        <f>SUM('Schedule 3B_Income_Eastern:Schedule 3D_Income_The Cape'!L63)</f>
        <v>0</v>
      </c>
      <c r="M63" s="585">
        <f>SUM('Schedule 3B_Income_Eastern:Schedule 3D_Income_The Cape'!M63)</f>
        <v>0</v>
      </c>
      <c r="N63" s="585">
        <f>SUM('Schedule 3B_Income_Eastern:Schedule 3D_Income_The Cape'!N63)</f>
        <v>0</v>
      </c>
      <c r="O63" s="585">
        <f>SUM('Schedule 3B_Income_Eastern:Schedule 3D_Income_The Cape'!O63)</f>
        <v>0</v>
      </c>
      <c r="P63" s="585">
        <f>SUM('Schedule 3B_Income_Eastern:Schedule 3D_Income_The Cape'!P63)</f>
        <v>0</v>
      </c>
      <c r="Q63" s="585">
        <f>SUM('Schedule 3B_Income_Eastern:Schedule 3D_Income_The Cape'!Q63)</f>
        <v>0</v>
      </c>
      <c r="R63" s="585">
        <f>SUM('Schedule 3B_Income_Eastern:Schedule 3D_Income_The Cape'!R63)</f>
        <v>0</v>
      </c>
      <c r="S63" s="585">
        <f>SUM('Schedule 3B_Income_Eastern:Schedule 3D_Income_The Cape'!S63)</f>
        <v>0</v>
      </c>
      <c r="T63" s="588">
        <f t="shared" si="90"/>
        <v>0</v>
      </c>
      <c r="U63" s="589">
        <f t="shared" si="91"/>
        <v>0</v>
      </c>
      <c r="V63" s="933">
        <v>41</v>
      </c>
      <c r="W63" s="585">
        <f>SUM('Schedule 3B_Income_Eastern:Schedule 3D_Income_The Cape'!W63)</f>
        <v>0</v>
      </c>
      <c r="X63" s="585">
        <f>SUM('Schedule 3B_Income_Eastern:Schedule 3D_Income_The Cape'!X63)</f>
        <v>0</v>
      </c>
      <c r="Y63" s="585">
        <f>SUM('Schedule 3B_Income_Eastern:Schedule 3D_Income_The Cape'!Y63)</f>
        <v>0</v>
      </c>
      <c r="Z63" s="585">
        <f>SUM('Schedule 3B_Income_Eastern:Schedule 3D_Income_The Cape'!Z63)</f>
        <v>0</v>
      </c>
      <c r="AA63" s="585">
        <f>SUM('Schedule 3B_Income_Eastern:Schedule 3D_Income_The Cape'!AA63)</f>
        <v>0</v>
      </c>
      <c r="AB63" s="585">
        <f>SUM('Schedule 3B_Income_Eastern:Schedule 3D_Income_The Cape'!AB63)</f>
        <v>0</v>
      </c>
      <c r="AC63" s="585">
        <f>SUM('Schedule 3B_Income_Eastern:Schedule 3D_Income_The Cape'!AC63)</f>
        <v>0</v>
      </c>
      <c r="AD63" s="585">
        <f>SUM('Schedule 3B_Income_Eastern:Schedule 3D_Income_The Cape'!AD63)</f>
        <v>0</v>
      </c>
      <c r="AE63" s="586">
        <f t="shared" si="92"/>
        <v>0</v>
      </c>
      <c r="AF63" s="587">
        <f>SUM('Schedule 3B_Income_Eastern:Schedule 3D_Income_The Cape'!AF63)</f>
        <v>0</v>
      </c>
      <c r="AG63" s="585">
        <f>SUM('Schedule 3B_Income_Eastern:Schedule 3D_Income_The Cape'!AG63)</f>
        <v>0</v>
      </c>
      <c r="AH63" s="585">
        <f>SUM('Schedule 3B_Income_Eastern:Schedule 3D_Income_The Cape'!AH63)</f>
        <v>0</v>
      </c>
      <c r="AI63" s="585">
        <f>SUM('Schedule 3B_Income_Eastern:Schedule 3D_Income_The Cape'!AI63)</f>
        <v>0</v>
      </c>
      <c r="AJ63" s="585">
        <f>SUM('Schedule 3B_Income_Eastern:Schedule 3D_Income_The Cape'!AJ63)</f>
        <v>0</v>
      </c>
      <c r="AK63" s="585">
        <f>SUM('Schedule 3B_Income_Eastern:Schedule 3D_Income_The Cape'!AK63)</f>
        <v>0</v>
      </c>
      <c r="AL63" s="585">
        <f>SUM('Schedule 3B_Income_Eastern:Schedule 3D_Income_The Cape'!AL63)</f>
        <v>0</v>
      </c>
      <c r="AM63" s="585">
        <f>SUM('Schedule 3B_Income_Eastern:Schedule 3D_Income_The Cape'!AM63)</f>
        <v>0</v>
      </c>
      <c r="AN63" s="588">
        <f t="shared" si="93"/>
        <v>0</v>
      </c>
      <c r="AO63" s="589">
        <f t="shared" si="94"/>
        <v>0</v>
      </c>
      <c r="AP63" s="933">
        <v>41</v>
      </c>
      <c r="AQ63" s="585">
        <f>SUM('Schedule 3B_Income_Eastern:Schedule 3D_Income_The Cape'!AQ63)</f>
        <v>0</v>
      </c>
      <c r="AR63" s="585">
        <f>SUM('Schedule 3B_Income_Eastern:Schedule 3D_Income_The Cape'!AR63)</f>
        <v>0</v>
      </c>
      <c r="AS63" s="585">
        <f>SUM('Schedule 3B_Income_Eastern:Schedule 3D_Income_The Cape'!AS63)</f>
        <v>0</v>
      </c>
      <c r="AT63" s="585">
        <f>SUM('Schedule 3B_Income_Eastern:Schedule 3D_Income_The Cape'!AT63)</f>
        <v>0</v>
      </c>
      <c r="AU63" s="585">
        <f>SUM('Schedule 3B_Income_Eastern:Schedule 3D_Income_The Cape'!AU63)</f>
        <v>0</v>
      </c>
      <c r="AV63" s="585">
        <f>SUM('Schedule 3B_Income_Eastern:Schedule 3D_Income_The Cape'!AV63)</f>
        <v>0</v>
      </c>
      <c r="AW63" s="585">
        <f>SUM('Schedule 3B_Income_Eastern:Schedule 3D_Income_The Cape'!AW63)</f>
        <v>0</v>
      </c>
      <c r="AX63" s="585">
        <f>SUM('Schedule 3B_Income_Eastern:Schedule 3D_Income_The Cape'!AX63)</f>
        <v>0</v>
      </c>
      <c r="AY63" s="586">
        <f t="shared" si="95"/>
        <v>0</v>
      </c>
      <c r="AZ63" s="587">
        <f>SUM('Schedule 3B_Income_Eastern:Schedule 3D_Income_The Cape'!AZ63)</f>
        <v>0</v>
      </c>
      <c r="BA63" s="585">
        <f>SUM('Schedule 3B_Income_Eastern:Schedule 3D_Income_The Cape'!BA63)</f>
        <v>0</v>
      </c>
      <c r="BB63" s="585">
        <f>SUM('Schedule 3B_Income_Eastern:Schedule 3D_Income_The Cape'!BB63)</f>
        <v>0</v>
      </c>
      <c r="BC63" s="585">
        <f>SUM('Schedule 3B_Income_Eastern:Schedule 3D_Income_The Cape'!BC63)</f>
        <v>0</v>
      </c>
      <c r="BD63" s="585">
        <f>SUM('Schedule 3B_Income_Eastern:Schedule 3D_Income_The Cape'!BD63)</f>
        <v>0</v>
      </c>
      <c r="BE63" s="585">
        <f>SUM('Schedule 3B_Income_Eastern:Schedule 3D_Income_The Cape'!BE63)</f>
        <v>0</v>
      </c>
      <c r="BF63" s="585">
        <f>SUM('Schedule 3B_Income_Eastern:Schedule 3D_Income_The Cape'!BF63)</f>
        <v>0</v>
      </c>
      <c r="BG63" s="585">
        <f>SUM('Schedule 3B_Income_Eastern:Schedule 3D_Income_The Cape'!BG63)</f>
        <v>0</v>
      </c>
      <c r="BH63" s="588">
        <f t="shared" si="96"/>
        <v>0</v>
      </c>
      <c r="BI63" s="589">
        <f t="shared" si="97"/>
        <v>0</v>
      </c>
      <c r="BJ63" s="933">
        <v>41</v>
      </c>
      <c r="BK63" s="585">
        <f>SUM('Schedule 3B_Income_Eastern:Schedule 3D_Income_The Cape'!BK63)</f>
        <v>0</v>
      </c>
      <c r="BL63" s="585">
        <f>SUM('Schedule 3B_Income_Eastern:Schedule 3D_Income_The Cape'!BL63)</f>
        <v>0</v>
      </c>
      <c r="BM63" s="585">
        <f>SUM('Schedule 3B_Income_Eastern:Schedule 3D_Income_The Cape'!BM63)</f>
        <v>0</v>
      </c>
      <c r="BN63" s="585">
        <f>SUM('Schedule 3B_Income_Eastern:Schedule 3D_Income_The Cape'!BN63)</f>
        <v>0</v>
      </c>
      <c r="BO63" s="585">
        <f>SUM('Schedule 3B_Income_Eastern:Schedule 3D_Income_The Cape'!BO63)</f>
        <v>0</v>
      </c>
      <c r="BP63" s="585">
        <f>SUM('Schedule 3B_Income_Eastern:Schedule 3D_Income_The Cape'!BP63)</f>
        <v>0</v>
      </c>
      <c r="BQ63" s="585">
        <f>SUM('Schedule 3B_Income_Eastern:Schedule 3D_Income_The Cape'!BQ63)</f>
        <v>0</v>
      </c>
      <c r="BR63" s="585">
        <f>SUM('Schedule 3B_Income_Eastern:Schedule 3D_Income_The Cape'!BR63)</f>
        <v>0</v>
      </c>
      <c r="BS63" s="586">
        <f t="shared" si="98"/>
        <v>0</v>
      </c>
      <c r="BT63" s="587">
        <f>SUM('Schedule 3B_Income_Eastern:Schedule 3D_Income_The Cape'!BT63)</f>
        <v>0</v>
      </c>
      <c r="BU63" s="585">
        <f>SUM('Schedule 3B_Income_Eastern:Schedule 3D_Income_The Cape'!BU63)</f>
        <v>0</v>
      </c>
      <c r="BV63" s="585">
        <f>SUM('Schedule 3B_Income_Eastern:Schedule 3D_Income_The Cape'!BV63)</f>
        <v>0</v>
      </c>
      <c r="BW63" s="585">
        <f>SUM('Schedule 3B_Income_Eastern:Schedule 3D_Income_The Cape'!BW63)</f>
        <v>0</v>
      </c>
      <c r="BX63" s="585">
        <f>SUM('Schedule 3B_Income_Eastern:Schedule 3D_Income_The Cape'!BX63)</f>
        <v>0</v>
      </c>
      <c r="BY63" s="585">
        <f>SUM('Schedule 3B_Income_Eastern:Schedule 3D_Income_The Cape'!BY63)</f>
        <v>0</v>
      </c>
      <c r="BZ63" s="585">
        <f>SUM('Schedule 3B_Income_Eastern:Schedule 3D_Income_The Cape'!BZ63)</f>
        <v>0</v>
      </c>
      <c r="CA63" s="585">
        <f>SUM('Schedule 3B_Income_Eastern:Schedule 3D_Income_The Cape'!CA63)</f>
        <v>0</v>
      </c>
      <c r="CB63" s="588">
        <f t="shared" si="99"/>
        <v>0</v>
      </c>
      <c r="CC63" s="589">
        <f t="shared" si="100"/>
        <v>0</v>
      </c>
      <c r="CD63" s="933">
        <v>41</v>
      </c>
      <c r="CE63" s="414">
        <f t="shared" si="101"/>
        <v>0</v>
      </c>
      <c r="CF63" s="414">
        <f t="shared" si="102"/>
        <v>0</v>
      </c>
      <c r="CG63" s="414">
        <f t="shared" si="103"/>
        <v>0</v>
      </c>
      <c r="CH63" s="414">
        <f t="shared" si="104"/>
        <v>0</v>
      </c>
      <c r="CI63" s="416">
        <f t="shared" si="105"/>
        <v>0</v>
      </c>
      <c r="CJ63" s="414">
        <f t="shared" si="106"/>
        <v>0</v>
      </c>
      <c r="CK63" s="414">
        <f t="shared" si="107"/>
        <v>0</v>
      </c>
      <c r="CL63" s="414">
        <f t="shared" si="108"/>
        <v>0</v>
      </c>
      <c r="CM63" s="414">
        <f t="shared" si="109"/>
        <v>0</v>
      </c>
      <c r="CN63" s="416">
        <f t="shared" si="110"/>
        <v>0</v>
      </c>
      <c r="CO63" s="414">
        <f t="shared" si="111"/>
        <v>0</v>
      </c>
      <c r="CP63" s="414">
        <f t="shared" si="112"/>
        <v>0</v>
      </c>
      <c r="CQ63" s="414">
        <f t="shared" si="113"/>
        <v>0</v>
      </c>
      <c r="CR63" s="414">
        <f t="shared" si="114"/>
        <v>0</v>
      </c>
      <c r="CS63" s="416">
        <f t="shared" si="115"/>
        <v>0</v>
      </c>
      <c r="CV63" s="693"/>
    </row>
    <row r="64" spans="1:101" ht="15.75" customHeight="1">
      <c r="A64" s="932" t="s">
        <v>231</v>
      </c>
      <c r="B64" s="933">
        <v>42</v>
      </c>
      <c r="C64" s="585">
        <f>SUM('Schedule 3B_Income_Eastern:Schedule 3D_Income_The Cape'!C64)</f>
        <v>0</v>
      </c>
      <c r="D64" s="585">
        <f>SUM('Schedule 3B_Income_Eastern:Schedule 3D_Income_The Cape'!D64)</f>
        <v>0</v>
      </c>
      <c r="E64" s="585">
        <f>SUM('Schedule 3B_Income_Eastern:Schedule 3D_Income_The Cape'!E64)</f>
        <v>0</v>
      </c>
      <c r="F64" s="585">
        <f>SUM('Schedule 3B_Income_Eastern:Schedule 3D_Income_The Cape'!F64)</f>
        <v>0</v>
      </c>
      <c r="G64" s="585">
        <f>SUM('Schedule 3B_Income_Eastern:Schedule 3D_Income_The Cape'!G64)</f>
        <v>0</v>
      </c>
      <c r="H64" s="585">
        <f>SUM('Schedule 3B_Income_Eastern:Schedule 3D_Income_The Cape'!H64)</f>
        <v>0</v>
      </c>
      <c r="I64" s="585">
        <f>SUM('Schedule 3B_Income_Eastern:Schedule 3D_Income_The Cape'!I64)</f>
        <v>0</v>
      </c>
      <c r="J64" s="585">
        <f>SUM('Schedule 3B_Income_Eastern:Schedule 3D_Income_The Cape'!J64)</f>
        <v>0</v>
      </c>
      <c r="K64" s="586">
        <f t="shared" ref="K64" si="149">SUM(C64:J64)</f>
        <v>0</v>
      </c>
      <c r="L64" s="587">
        <f>SUM('Schedule 3B_Income_Eastern:Schedule 3D_Income_The Cape'!L64)</f>
        <v>0</v>
      </c>
      <c r="M64" s="585">
        <f>SUM('Schedule 3B_Income_Eastern:Schedule 3D_Income_The Cape'!M64)</f>
        <v>0</v>
      </c>
      <c r="N64" s="585">
        <f>SUM('Schedule 3B_Income_Eastern:Schedule 3D_Income_The Cape'!N64)</f>
        <v>0</v>
      </c>
      <c r="O64" s="585">
        <f>SUM('Schedule 3B_Income_Eastern:Schedule 3D_Income_The Cape'!O64)</f>
        <v>0</v>
      </c>
      <c r="P64" s="585">
        <f>SUM('Schedule 3B_Income_Eastern:Schedule 3D_Income_The Cape'!P64)</f>
        <v>0</v>
      </c>
      <c r="Q64" s="585">
        <f>SUM('Schedule 3B_Income_Eastern:Schedule 3D_Income_The Cape'!Q64)</f>
        <v>0</v>
      </c>
      <c r="R64" s="585">
        <f>SUM('Schedule 3B_Income_Eastern:Schedule 3D_Income_The Cape'!R64)</f>
        <v>0</v>
      </c>
      <c r="S64" s="585">
        <f>SUM('Schedule 3B_Income_Eastern:Schedule 3D_Income_The Cape'!S64)</f>
        <v>0</v>
      </c>
      <c r="T64" s="588">
        <f t="shared" ref="T64" si="150">SUM(L64:S64)</f>
        <v>0</v>
      </c>
      <c r="U64" s="589">
        <f t="shared" ref="U64" si="151">SUM(T64,K64)</f>
        <v>0</v>
      </c>
      <c r="V64" s="933">
        <v>42</v>
      </c>
      <c r="W64" s="585">
        <f>SUM('Schedule 3B_Income_Eastern:Schedule 3D_Income_The Cape'!W64)</f>
        <v>0</v>
      </c>
      <c r="X64" s="585">
        <f>SUM('Schedule 3B_Income_Eastern:Schedule 3D_Income_The Cape'!X64)</f>
        <v>0</v>
      </c>
      <c r="Y64" s="585">
        <f>SUM('Schedule 3B_Income_Eastern:Schedule 3D_Income_The Cape'!Y64)</f>
        <v>0</v>
      </c>
      <c r="Z64" s="585">
        <f>SUM('Schedule 3B_Income_Eastern:Schedule 3D_Income_The Cape'!Z64)</f>
        <v>0</v>
      </c>
      <c r="AA64" s="585">
        <f>SUM('Schedule 3B_Income_Eastern:Schedule 3D_Income_The Cape'!AA64)</f>
        <v>0</v>
      </c>
      <c r="AB64" s="585">
        <f>SUM('Schedule 3B_Income_Eastern:Schedule 3D_Income_The Cape'!AB64)</f>
        <v>0</v>
      </c>
      <c r="AC64" s="585">
        <f>SUM('Schedule 3B_Income_Eastern:Schedule 3D_Income_The Cape'!AC64)</f>
        <v>0</v>
      </c>
      <c r="AD64" s="585">
        <f>SUM('Schedule 3B_Income_Eastern:Schedule 3D_Income_The Cape'!AD64)</f>
        <v>0</v>
      </c>
      <c r="AE64" s="586">
        <f t="shared" ref="AE64" si="152">SUM(W64:AD64)</f>
        <v>0</v>
      </c>
      <c r="AF64" s="587">
        <f>SUM('Schedule 3B_Income_Eastern:Schedule 3D_Income_The Cape'!AF64)</f>
        <v>0</v>
      </c>
      <c r="AG64" s="585">
        <f>SUM('Schedule 3B_Income_Eastern:Schedule 3D_Income_The Cape'!AG64)</f>
        <v>0</v>
      </c>
      <c r="AH64" s="585">
        <f>SUM('Schedule 3B_Income_Eastern:Schedule 3D_Income_The Cape'!AH64)</f>
        <v>0</v>
      </c>
      <c r="AI64" s="585">
        <f>SUM('Schedule 3B_Income_Eastern:Schedule 3D_Income_The Cape'!AI64)</f>
        <v>0</v>
      </c>
      <c r="AJ64" s="585">
        <f>SUM('Schedule 3B_Income_Eastern:Schedule 3D_Income_The Cape'!AJ64)</f>
        <v>0</v>
      </c>
      <c r="AK64" s="585">
        <f>SUM('Schedule 3B_Income_Eastern:Schedule 3D_Income_The Cape'!AK64)</f>
        <v>0</v>
      </c>
      <c r="AL64" s="585">
        <f>SUM('Schedule 3B_Income_Eastern:Schedule 3D_Income_The Cape'!AL64)</f>
        <v>0</v>
      </c>
      <c r="AM64" s="585">
        <f>SUM('Schedule 3B_Income_Eastern:Schedule 3D_Income_The Cape'!AM64)</f>
        <v>0</v>
      </c>
      <c r="AN64" s="588">
        <f t="shared" ref="AN64" si="153">SUM(AF64:AM64)</f>
        <v>0</v>
      </c>
      <c r="AO64" s="589">
        <f t="shared" ref="AO64" si="154">SUM(AN64,AE64)</f>
        <v>0</v>
      </c>
      <c r="AP64" s="933">
        <v>42</v>
      </c>
      <c r="AQ64" s="585">
        <f>SUM('Schedule 3B_Income_Eastern:Schedule 3D_Income_The Cape'!AQ64)</f>
        <v>0</v>
      </c>
      <c r="AR64" s="585">
        <f>SUM('Schedule 3B_Income_Eastern:Schedule 3D_Income_The Cape'!AR64)</f>
        <v>0</v>
      </c>
      <c r="AS64" s="585">
        <f>SUM('Schedule 3B_Income_Eastern:Schedule 3D_Income_The Cape'!AS64)</f>
        <v>0</v>
      </c>
      <c r="AT64" s="585">
        <f>SUM('Schedule 3B_Income_Eastern:Schedule 3D_Income_The Cape'!AT64)</f>
        <v>0</v>
      </c>
      <c r="AU64" s="585">
        <f>SUM('Schedule 3B_Income_Eastern:Schedule 3D_Income_The Cape'!AU64)</f>
        <v>0</v>
      </c>
      <c r="AV64" s="585">
        <f>SUM('Schedule 3B_Income_Eastern:Schedule 3D_Income_The Cape'!AV64)</f>
        <v>0</v>
      </c>
      <c r="AW64" s="585">
        <f>SUM('Schedule 3B_Income_Eastern:Schedule 3D_Income_The Cape'!AW64)</f>
        <v>0</v>
      </c>
      <c r="AX64" s="585">
        <f>SUM('Schedule 3B_Income_Eastern:Schedule 3D_Income_The Cape'!AX64)</f>
        <v>0</v>
      </c>
      <c r="AY64" s="586">
        <f t="shared" ref="AY64" si="155">SUM(AQ64:AX64)</f>
        <v>0</v>
      </c>
      <c r="AZ64" s="587">
        <f>SUM('Schedule 3B_Income_Eastern:Schedule 3D_Income_The Cape'!AZ64)</f>
        <v>0</v>
      </c>
      <c r="BA64" s="585">
        <f>SUM('Schedule 3B_Income_Eastern:Schedule 3D_Income_The Cape'!BA64)</f>
        <v>0</v>
      </c>
      <c r="BB64" s="585">
        <f>SUM('Schedule 3B_Income_Eastern:Schedule 3D_Income_The Cape'!BB64)</f>
        <v>0</v>
      </c>
      <c r="BC64" s="585">
        <f>SUM('Schedule 3B_Income_Eastern:Schedule 3D_Income_The Cape'!BC64)</f>
        <v>0</v>
      </c>
      <c r="BD64" s="585">
        <f>SUM('Schedule 3B_Income_Eastern:Schedule 3D_Income_The Cape'!BD64)</f>
        <v>0</v>
      </c>
      <c r="BE64" s="585">
        <f>SUM('Schedule 3B_Income_Eastern:Schedule 3D_Income_The Cape'!BE64)</f>
        <v>0</v>
      </c>
      <c r="BF64" s="585">
        <f>SUM('Schedule 3B_Income_Eastern:Schedule 3D_Income_The Cape'!BF64)</f>
        <v>0</v>
      </c>
      <c r="BG64" s="585">
        <f>SUM('Schedule 3B_Income_Eastern:Schedule 3D_Income_The Cape'!BG64)</f>
        <v>0</v>
      </c>
      <c r="BH64" s="588">
        <f t="shared" ref="BH64" si="156">SUM(AZ64:BG64)</f>
        <v>0</v>
      </c>
      <c r="BI64" s="589">
        <f t="shared" ref="BI64" si="157">SUM(BH64,AY64)</f>
        <v>0</v>
      </c>
      <c r="BJ64" s="933">
        <v>42</v>
      </c>
      <c r="BK64" s="585">
        <f>SUM('Schedule 3B_Income_Eastern:Schedule 3D_Income_The Cape'!BK64)</f>
        <v>0</v>
      </c>
      <c r="BL64" s="585">
        <f>SUM('Schedule 3B_Income_Eastern:Schedule 3D_Income_The Cape'!BL64)</f>
        <v>0</v>
      </c>
      <c r="BM64" s="585">
        <f>SUM('Schedule 3B_Income_Eastern:Schedule 3D_Income_The Cape'!BM64)</f>
        <v>0</v>
      </c>
      <c r="BN64" s="585">
        <f>SUM('Schedule 3B_Income_Eastern:Schedule 3D_Income_The Cape'!BN64)</f>
        <v>0</v>
      </c>
      <c r="BO64" s="585">
        <f>SUM('Schedule 3B_Income_Eastern:Schedule 3D_Income_The Cape'!BO64)</f>
        <v>0</v>
      </c>
      <c r="BP64" s="585">
        <f>SUM('Schedule 3B_Income_Eastern:Schedule 3D_Income_The Cape'!BP64)</f>
        <v>0</v>
      </c>
      <c r="BQ64" s="585">
        <f>SUM('Schedule 3B_Income_Eastern:Schedule 3D_Income_The Cape'!BQ64)</f>
        <v>0</v>
      </c>
      <c r="BR64" s="585">
        <f>SUM('Schedule 3B_Income_Eastern:Schedule 3D_Income_The Cape'!BR64)</f>
        <v>0</v>
      </c>
      <c r="BS64" s="586">
        <f t="shared" ref="BS64" si="158">SUM(BK64:BR64)</f>
        <v>0</v>
      </c>
      <c r="BT64" s="587">
        <f>SUM('Schedule 3B_Income_Eastern:Schedule 3D_Income_The Cape'!BT64)</f>
        <v>0</v>
      </c>
      <c r="BU64" s="585">
        <f>SUM('Schedule 3B_Income_Eastern:Schedule 3D_Income_The Cape'!BU64)</f>
        <v>0</v>
      </c>
      <c r="BV64" s="585">
        <f>SUM('Schedule 3B_Income_Eastern:Schedule 3D_Income_The Cape'!BV64)</f>
        <v>0</v>
      </c>
      <c r="BW64" s="585">
        <f>SUM('Schedule 3B_Income_Eastern:Schedule 3D_Income_The Cape'!BW64)</f>
        <v>0</v>
      </c>
      <c r="BX64" s="585">
        <f>SUM('Schedule 3B_Income_Eastern:Schedule 3D_Income_The Cape'!BX64)</f>
        <v>0</v>
      </c>
      <c r="BY64" s="585">
        <f>SUM('Schedule 3B_Income_Eastern:Schedule 3D_Income_The Cape'!BY64)</f>
        <v>0</v>
      </c>
      <c r="BZ64" s="585">
        <f>SUM('Schedule 3B_Income_Eastern:Schedule 3D_Income_The Cape'!BZ64)</f>
        <v>0</v>
      </c>
      <c r="CA64" s="585">
        <f>SUM('Schedule 3B_Income_Eastern:Schedule 3D_Income_The Cape'!CA64)</f>
        <v>0</v>
      </c>
      <c r="CB64" s="588">
        <f t="shared" ref="CB64" si="159">SUM(BT64:CA64)</f>
        <v>0</v>
      </c>
      <c r="CC64" s="589">
        <f t="shared" ref="CC64" si="160">SUM(CB64,BS64)</f>
        <v>0</v>
      </c>
      <c r="CD64" s="933">
        <v>42</v>
      </c>
      <c r="CE64" s="414">
        <f t="shared" si="101"/>
        <v>0</v>
      </c>
      <c r="CF64" s="414">
        <f t="shared" si="102"/>
        <v>0</v>
      </c>
      <c r="CG64" s="414">
        <f t="shared" si="103"/>
        <v>0</v>
      </c>
      <c r="CH64" s="414">
        <f t="shared" si="104"/>
        <v>0</v>
      </c>
      <c r="CI64" s="416">
        <f t="shared" si="105"/>
        <v>0</v>
      </c>
      <c r="CJ64" s="414">
        <f t="shared" si="106"/>
        <v>0</v>
      </c>
      <c r="CK64" s="414">
        <f t="shared" si="107"/>
        <v>0</v>
      </c>
      <c r="CL64" s="414">
        <f t="shared" si="108"/>
        <v>0</v>
      </c>
      <c r="CM64" s="414">
        <f t="shared" si="109"/>
        <v>0</v>
      </c>
      <c r="CN64" s="416">
        <f t="shared" si="110"/>
        <v>0</v>
      </c>
      <c r="CO64" s="414">
        <f t="shared" si="111"/>
        <v>0</v>
      </c>
      <c r="CP64" s="414">
        <f t="shared" si="112"/>
        <v>0</v>
      </c>
      <c r="CQ64" s="414">
        <f t="shared" si="113"/>
        <v>0</v>
      </c>
      <c r="CR64" s="414">
        <f t="shared" si="114"/>
        <v>0</v>
      </c>
      <c r="CS64" s="416">
        <f t="shared" si="115"/>
        <v>0</v>
      </c>
    </row>
    <row r="65" spans="1:100" ht="15.75" customHeight="1">
      <c r="A65" s="932"/>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00" s="318" customFormat="1" ht="15.75" customHeight="1">
      <c r="A66" s="262" t="s">
        <v>233</v>
      </c>
      <c r="B66" s="933">
        <v>43</v>
      </c>
      <c r="C66" s="216">
        <f>SUM(C35:C64)-C44-C46</f>
        <v>1510229.5995006608</v>
      </c>
      <c r="D66" s="216">
        <f t="shared" ref="D66:U66" si="161">SUM(D35:D64)-D44-D46</f>
        <v>4022275.0349360439</v>
      </c>
      <c r="E66" s="216">
        <f t="shared" si="161"/>
        <v>3229935.2719093622</v>
      </c>
      <c r="F66" s="216">
        <f t="shared" si="161"/>
        <v>7120939.8038644241</v>
      </c>
      <c r="G66" s="216">
        <f t="shared" si="161"/>
        <v>2987855.5063000261</v>
      </c>
      <c r="H66" s="216">
        <f t="shared" si="161"/>
        <v>6453441.6574339829</v>
      </c>
      <c r="I66" s="216">
        <f t="shared" si="161"/>
        <v>2325140.5647344403</v>
      </c>
      <c r="J66" s="216">
        <f t="shared" si="161"/>
        <v>4343192.1327981818</v>
      </c>
      <c r="K66" s="216">
        <f t="shared" si="161"/>
        <v>31993009.571477126</v>
      </c>
      <c r="L66" s="216">
        <f t="shared" si="161"/>
        <v>0</v>
      </c>
      <c r="M66" s="216">
        <f t="shared" si="161"/>
        <v>5457432.5517486744</v>
      </c>
      <c r="N66" s="216">
        <f t="shared" si="161"/>
        <v>0</v>
      </c>
      <c r="O66" s="216">
        <f t="shared" si="161"/>
        <v>10733748.321194533</v>
      </c>
      <c r="P66" s="216">
        <f t="shared" si="161"/>
        <v>0</v>
      </c>
      <c r="Q66" s="216">
        <f t="shared" si="161"/>
        <v>9827032.3977374639</v>
      </c>
      <c r="R66" s="216">
        <f t="shared" si="161"/>
        <v>0</v>
      </c>
      <c r="S66" s="216">
        <f t="shared" si="161"/>
        <v>8353593.769161338</v>
      </c>
      <c r="T66" s="216">
        <f t="shared" si="161"/>
        <v>34371807.039842017</v>
      </c>
      <c r="U66" s="216">
        <f t="shared" si="161"/>
        <v>66364816.611319147</v>
      </c>
      <c r="V66" s="933">
        <v>43</v>
      </c>
      <c r="W66" s="216">
        <f>SUM(W35:W64)-W44-W46</f>
        <v>186957.40237647106</v>
      </c>
      <c r="X66" s="216">
        <f t="shared" ref="X66:AO66" si="162">SUM(X35:X64)-X44-X46</f>
        <v>883090.78258334869</v>
      </c>
      <c r="Y66" s="216">
        <f t="shared" si="162"/>
        <v>110186.91687047941</v>
      </c>
      <c r="Z66" s="216">
        <f t="shared" si="162"/>
        <v>711253.38006749889</v>
      </c>
      <c r="AA66" s="216">
        <f t="shared" si="162"/>
        <v>143806.00043092709</v>
      </c>
      <c r="AB66" s="216">
        <f t="shared" si="162"/>
        <v>705435.62314377597</v>
      </c>
      <c r="AC66" s="216">
        <f t="shared" si="162"/>
        <v>224968.37496100308</v>
      </c>
      <c r="AD66" s="216">
        <f t="shared" si="162"/>
        <v>634451.24182459409</v>
      </c>
      <c r="AE66" s="216">
        <f t="shared" si="162"/>
        <v>3600149.7222580984</v>
      </c>
      <c r="AF66" s="216">
        <f t="shared" si="162"/>
        <v>0</v>
      </c>
      <c r="AG66" s="216">
        <f t="shared" si="162"/>
        <v>2135821.4011322614</v>
      </c>
      <c r="AH66" s="216">
        <f t="shared" si="162"/>
        <v>0</v>
      </c>
      <c r="AI66" s="216">
        <f t="shared" si="162"/>
        <v>1963049.017838388</v>
      </c>
      <c r="AJ66" s="216">
        <f t="shared" si="162"/>
        <v>0</v>
      </c>
      <c r="AK66" s="216">
        <f t="shared" si="162"/>
        <v>1853194.6305631674</v>
      </c>
      <c r="AL66" s="216">
        <f t="shared" si="162"/>
        <v>0</v>
      </c>
      <c r="AM66" s="216">
        <f t="shared" si="162"/>
        <v>2197322.7749394635</v>
      </c>
      <c r="AN66" s="216">
        <f t="shared" si="162"/>
        <v>8149387.8244732777</v>
      </c>
      <c r="AO66" s="216">
        <f t="shared" si="162"/>
        <v>11749537.546731379</v>
      </c>
      <c r="AP66" s="933">
        <v>43</v>
      </c>
      <c r="AQ66" s="216">
        <f>SUM(AQ35:AQ64)-AQ44-AQ46</f>
        <v>21964922.323445912</v>
      </c>
      <c r="AR66" s="216">
        <f t="shared" ref="AR66:BI66" si="163">SUM(AR35:AR64)-AR44-AR46</f>
        <v>49907456.239918649</v>
      </c>
      <c r="AS66" s="216">
        <f t="shared" si="163"/>
        <v>20897330.921615526</v>
      </c>
      <c r="AT66" s="216">
        <f t="shared" si="163"/>
        <v>49188456.938580759</v>
      </c>
      <c r="AU66" s="216">
        <f t="shared" si="163"/>
        <v>23691068.761163231</v>
      </c>
      <c r="AV66" s="216">
        <f t="shared" si="163"/>
        <v>53289503.560380645</v>
      </c>
      <c r="AW66" s="216">
        <f t="shared" si="163"/>
        <v>27731671.300443046</v>
      </c>
      <c r="AX66" s="216">
        <f t="shared" si="163"/>
        <v>56256806.15659295</v>
      </c>
      <c r="AY66" s="216">
        <f t="shared" si="163"/>
        <v>302927216.20214063</v>
      </c>
      <c r="AZ66" s="216">
        <f t="shared" si="163"/>
        <v>0</v>
      </c>
      <c r="BA66" s="216">
        <f t="shared" si="163"/>
        <v>41866045.133111507</v>
      </c>
      <c r="BB66" s="216">
        <f t="shared" si="163"/>
        <v>0</v>
      </c>
      <c r="BC66" s="216">
        <f t="shared" si="163"/>
        <v>41329517.444854558</v>
      </c>
      <c r="BD66" s="216">
        <f t="shared" si="163"/>
        <v>0</v>
      </c>
      <c r="BE66" s="216">
        <f t="shared" si="163"/>
        <v>44990379.558557436</v>
      </c>
      <c r="BF66" s="216">
        <f t="shared" si="163"/>
        <v>0</v>
      </c>
      <c r="BG66" s="216">
        <f t="shared" si="163"/>
        <v>49562064.52600164</v>
      </c>
      <c r="BH66" s="216">
        <f t="shared" si="163"/>
        <v>177748006.66252509</v>
      </c>
      <c r="BI66" s="216">
        <f t="shared" si="163"/>
        <v>480675222.86466587</v>
      </c>
      <c r="BJ66" s="933">
        <v>43</v>
      </c>
      <c r="BK66" s="216">
        <f>SUM(BK35:BK64)-BK44-BK46</f>
        <v>635332.47483338136</v>
      </c>
      <c r="BL66" s="216">
        <f t="shared" ref="BL66:CC66" si="164">SUM(BL35:BL64)-BL44-BL46</f>
        <v>6185755.7232432524</v>
      </c>
      <c r="BM66" s="216">
        <f t="shared" si="164"/>
        <v>523225.42503812537</v>
      </c>
      <c r="BN66" s="216">
        <f t="shared" si="164"/>
        <v>4897062.5483857803</v>
      </c>
      <c r="BO66" s="216">
        <f t="shared" si="164"/>
        <v>569533.3792662021</v>
      </c>
      <c r="BP66" s="216">
        <f t="shared" si="164"/>
        <v>5720840.443828986</v>
      </c>
      <c r="BQ66" s="216">
        <f t="shared" si="164"/>
        <v>749061.49562097981</v>
      </c>
      <c r="BR66" s="216">
        <f t="shared" si="164"/>
        <v>6220345.0722572869</v>
      </c>
      <c r="BS66" s="216">
        <f t="shared" si="164"/>
        <v>25501156.562473986</v>
      </c>
      <c r="BT66" s="216">
        <f t="shared" si="164"/>
        <v>0</v>
      </c>
      <c r="BU66" s="216">
        <f t="shared" si="164"/>
        <v>2230683.9308623294</v>
      </c>
      <c r="BV66" s="216">
        <f t="shared" si="164"/>
        <v>0</v>
      </c>
      <c r="BW66" s="216">
        <f t="shared" si="164"/>
        <v>3167293.6167065441</v>
      </c>
      <c r="BX66" s="216">
        <f t="shared" si="164"/>
        <v>0</v>
      </c>
      <c r="BY66" s="216">
        <f t="shared" si="164"/>
        <v>2645553.8749730214</v>
      </c>
      <c r="BZ66" s="216">
        <f t="shared" si="164"/>
        <v>0</v>
      </c>
      <c r="CA66" s="216">
        <f t="shared" si="164"/>
        <v>2719421.1516486909</v>
      </c>
      <c r="CB66" s="216">
        <f t="shared" si="164"/>
        <v>10762952.574190587</v>
      </c>
      <c r="CC66" s="216">
        <f t="shared" si="164"/>
        <v>36264109.136664592</v>
      </c>
      <c r="CD66" s="933">
        <v>43</v>
      </c>
      <c r="CE66" s="219">
        <f t="shared" ref="CE66:CH66" si="165">SUM(CE35:CE64)-CE44-CE46</f>
        <v>85296019.580837697</v>
      </c>
      <c r="CF66" s="219">
        <f t="shared" si="165"/>
        <v>86678391.206331953</v>
      </c>
      <c r="CG66" s="219">
        <f t="shared" si="165"/>
        <v>93561484.931947798</v>
      </c>
      <c r="CH66" s="219">
        <f t="shared" si="165"/>
        <v>98485636.339232489</v>
      </c>
      <c r="CI66" s="216">
        <f>SUM(BS66,AY66,AE66,K66)</f>
        <v>364021532.05834985</v>
      </c>
      <c r="CJ66" s="219">
        <f t="shared" ref="CJ66:CM66" si="166">SUM(CJ35:CJ64)-CJ44-CJ46</f>
        <v>51689983.016854763</v>
      </c>
      <c r="CK66" s="219">
        <f t="shared" si="166"/>
        <v>57193608.400594018</v>
      </c>
      <c r="CL66" s="219">
        <f t="shared" si="166"/>
        <v>59316160.4618311</v>
      </c>
      <c r="CM66" s="219">
        <f t="shared" si="166"/>
        <v>62832402.221751131</v>
      </c>
      <c r="CN66" s="216">
        <f>SUM(BX66,BD66,AJ66,P66)</f>
        <v>0</v>
      </c>
      <c r="CO66" s="219">
        <f t="shared" ref="CO66:CR66" si="167">SUM(CO35:CO64)-CO44-CO46</f>
        <v>136986002.59769249</v>
      </c>
      <c r="CP66" s="219">
        <f t="shared" si="167"/>
        <v>143871999.60692593</v>
      </c>
      <c r="CQ66" s="219">
        <f t="shared" si="167"/>
        <v>152877645.39377883</v>
      </c>
      <c r="CR66" s="219">
        <f t="shared" si="167"/>
        <v>161318038.56098363</v>
      </c>
      <c r="CS66" s="216">
        <f>SUM(CC66,BI66,AO66,U66)</f>
        <v>595053686.15938091</v>
      </c>
      <c r="CU66" s="694"/>
      <c r="CV66" s="690"/>
    </row>
    <row r="67" spans="1:100" ht="15.75" customHeight="1">
      <c r="A67" s="896"/>
      <c r="B67" s="933"/>
      <c r="C67" s="104"/>
      <c r="D67" s="104"/>
      <c r="E67" s="104"/>
      <c r="F67" s="104"/>
      <c r="G67" s="104"/>
      <c r="H67" s="104"/>
      <c r="I67" s="104"/>
      <c r="J67" s="104"/>
      <c r="K67" s="375"/>
      <c r="L67" s="376"/>
      <c r="M67" s="104"/>
      <c r="N67" s="104"/>
      <c r="O67" s="104"/>
      <c r="P67" s="104"/>
      <c r="Q67" s="104"/>
      <c r="R67" s="104"/>
      <c r="S67" s="104"/>
      <c r="T67" s="104"/>
      <c r="U67" s="377"/>
      <c r="V67" s="933"/>
      <c r="W67" s="104"/>
      <c r="X67" s="104"/>
      <c r="Y67" s="104"/>
      <c r="Z67" s="104"/>
      <c r="AA67" s="104"/>
      <c r="AB67" s="104"/>
      <c r="AC67" s="104"/>
      <c r="AD67" s="104"/>
      <c r="AE67" s="375"/>
      <c r="AF67" s="376"/>
      <c r="AG67" s="104"/>
      <c r="AH67" s="104"/>
      <c r="AI67" s="104"/>
      <c r="AJ67" s="104"/>
      <c r="AK67" s="104"/>
      <c r="AL67" s="104"/>
      <c r="AM67" s="104"/>
      <c r="AN67" s="104"/>
      <c r="AO67" s="377"/>
      <c r="AP67" s="933"/>
      <c r="AQ67" s="104"/>
      <c r="AR67" s="104"/>
      <c r="AS67" s="104"/>
      <c r="AT67" s="104"/>
      <c r="AU67" s="104"/>
      <c r="AV67" s="104"/>
      <c r="AW67" s="104"/>
      <c r="AX67" s="104"/>
      <c r="AY67" s="375"/>
      <c r="AZ67" s="376"/>
      <c r="BA67" s="104"/>
      <c r="BB67" s="104"/>
      <c r="BC67" s="104"/>
      <c r="BD67" s="104"/>
      <c r="BE67" s="104"/>
      <c r="BF67" s="104"/>
      <c r="BG67" s="104"/>
      <c r="BH67" s="104"/>
      <c r="BI67" s="377"/>
      <c r="BJ67" s="933"/>
      <c r="BK67" s="104"/>
      <c r="BL67" s="104"/>
      <c r="BM67" s="104"/>
      <c r="BN67" s="104"/>
      <c r="BO67" s="104"/>
      <c r="BP67" s="104"/>
      <c r="BQ67" s="104"/>
      <c r="BR67" s="104"/>
      <c r="BS67" s="375"/>
      <c r="BT67" s="376"/>
      <c r="BU67" s="104"/>
      <c r="BV67" s="104"/>
      <c r="BW67" s="104"/>
      <c r="BX67" s="104"/>
      <c r="BY67" s="104"/>
      <c r="BZ67" s="104"/>
      <c r="CA67" s="104"/>
      <c r="CB67" s="104"/>
      <c r="CC67" s="377"/>
      <c r="CD67" s="933"/>
      <c r="CE67" s="178"/>
      <c r="CF67" s="178"/>
      <c r="CG67" s="178"/>
      <c r="CH67" s="178"/>
      <c r="CI67" s="419"/>
      <c r="CJ67" s="178"/>
      <c r="CK67" s="178"/>
      <c r="CL67" s="178"/>
      <c r="CM67" s="178"/>
      <c r="CN67" s="419"/>
      <c r="CO67" s="178"/>
      <c r="CP67" s="178"/>
      <c r="CQ67" s="178"/>
      <c r="CR67" s="178"/>
      <c r="CS67" s="419"/>
    </row>
    <row r="68" spans="1:100" ht="15.75" customHeight="1">
      <c r="A68" s="262"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00" ht="15.75" customHeight="1">
      <c r="A69" s="932" t="s">
        <v>236</v>
      </c>
      <c r="B69" s="933">
        <v>44</v>
      </c>
      <c r="C69" s="585">
        <f>SUM('Schedule 3B_Income_Eastern:Schedule 3D_Income_The Cape'!C69)</f>
        <v>4555.6325122757789</v>
      </c>
      <c r="D69" s="585">
        <f>SUM('Schedule 3B_Income_Eastern:Schedule 3D_Income_The Cape'!D69)</f>
        <v>9551.4781472005852</v>
      </c>
      <c r="E69" s="585">
        <f>SUM('Schedule 3B_Income_Eastern:Schedule 3D_Income_The Cape'!E69)</f>
        <v>4655.2165527781071</v>
      </c>
      <c r="F69" s="585">
        <f>SUM('Schedule 3B_Income_Eastern:Schedule 3D_Income_The Cape'!F69)</f>
        <v>9748.6835596652891</v>
      </c>
      <c r="G69" s="585">
        <f>SUM('Schedule 3B_Income_Eastern:Schedule 3D_Income_The Cape'!G69)</f>
        <v>8895.8190095051832</v>
      </c>
      <c r="H69" s="585">
        <f>SUM('Schedule 3B_Income_Eastern:Schedule 3D_Income_The Cape'!H69)</f>
        <v>18829.805911729934</v>
      </c>
      <c r="I69" s="585">
        <f>SUM('Schedule 3B_Income_Eastern:Schedule 3D_Income_The Cape'!I69)</f>
        <v>6680.9781729150773</v>
      </c>
      <c r="J69" s="585">
        <f>SUM('Schedule 3B_Income_Eastern:Schedule 3D_Income_The Cape'!J69)</f>
        <v>13678.14137998387</v>
      </c>
      <c r="K69" s="586">
        <f>SUM(C69:J69)</f>
        <v>76595.755246053828</v>
      </c>
      <c r="L69" s="587">
        <f>SUM('Schedule 3B_Income_Eastern:Schedule 3D_Income_The Cape'!L69)</f>
        <v>0</v>
      </c>
      <c r="M69" s="585">
        <f>SUM('Schedule 3B_Income_Eastern:Schedule 3D_Income_The Cape'!M69)</f>
        <v>14797.889308338918</v>
      </c>
      <c r="N69" s="585">
        <f>SUM('Schedule 3B_Income_Eastern:Schedule 3D_Income_The Cape'!N69)</f>
        <v>0</v>
      </c>
      <c r="O69" s="585">
        <f>SUM('Schedule 3B_Income_Eastern:Schedule 3D_Income_The Cape'!O69)</f>
        <v>13777.351592397223</v>
      </c>
      <c r="P69" s="585">
        <f>SUM('Schedule 3B_Income_Eastern:Schedule 3D_Income_The Cape'!P69)</f>
        <v>0</v>
      </c>
      <c r="Q69" s="585">
        <f>SUM('Schedule 3B_Income_Eastern:Schedule 3D_Income_The Cape'!Q69)</f>
        <v>33936.365175655759</v>
      </c>
      <c r="R69" s="585">
        <f>SUM('Schedule 3B_Income_Eastern:Schedule 3D_Income_The Cape'!R69)</f>
        <v>0</v>
      </c>
      <c r="S69" s="585">
        <f>SUM('Schedule 3B_Income_Eastern:Schedule 3D_Income_The Cape'!S69)</f>
        <v>22935.341137019877</v>
      </c>
      <c r="T69" s="588">
        <f>SUM(L69:S69)</f>
        <v>85446.947213411782</v>
      </c>
      <c r="U69" s="589">
        <f>SUM(T69,K69)</f>
        <v>162042.7024594656</v>
      </c>
      <c r="V69" s="933">
        <v>44</v>
      </c>
      <c r="W69" s="585">
        <f>SUM('Schedule 3B_Income_Eastern:Schedule 3D_Income_The Cape'!W69)</f>
        <v>735.45055659628633</v>
      </c>
      <c r="X69" s="585">
        <f>SUM('Schedule 3B_Income_Eastern:Schedule 3D_Income_The Cape'!X69)</f>
        <v>4934.6377567835007</v>
      </c>
      <c r="Y69" s="585">
        <f>SUM('Schedule 3B_Income_Eastern:Schedule 3D_Income_The Cape'!Y69)</f>
        <v>720.19162911151216</v>
      </c>
      <c r="Z69" s="585">
        <f>SUM('Schedule 3B_Income_Eastern:Schedule 3D_Income_The Cape'!Z69)</f>
        <v>4655.2739946353577</v>
      </c>
      <c r="AA69" s="585">
        <f>SUM('Schedule 3B_Income_Eastern:Schedule 3D_Income_The Cape'!AA69)</f>
        <v>1318.2372629770152</v>
      </c>
      <c r="AB69" s="585">
        <f>SUM('Schedule 3B_Income_Eastern:Schedule 3D_Income_The Cape'!AB69)</f>
        <v>8640.9532134230794</v>
      </c>
      <c r="AC69" s="585">
        <f>SUM('Schedule 3B_Income_Eastern:Schedule 3D_Income_The Cape'!AC69)</f>
        <v>1063.5445383503052</v>
      </c>
      <c r="AD69" s="585">
        <f>SUM('Schedule 3B_Income_Eastern:Schedule 3D_Income_The Cape'!AD69)</f>
        <v>6421.3312762394035</v>
      </c>
      <c r="AE69" s="586">
        <f>SUM(W69:AD69)</f>
        <v>28489.620228116459</v>
      </c>
      <c r="AF69" s="587">
        <f>SUM('Schedule 3B_Income_Eastern:Schedule 3D_Income_The Cape'!AF69)</f>
        <v>0</v>
      </c>
      <c r="AG69" s="585">
        <f>SUM('Schedule 3B_Income_Eastern:Schedule 3D_Income_The Cape'!AG69)</f>
        <v>4871.4217142843063</v>
      </c>
      <c r="AH69" s="585">
        <f>SUM('Schedule 3B_Income_Eastern:Schedule 3D_Income_The Cape'!AH69)</f>
        <v>0</v>
      </c>
      <c r="AI69" s="585">
        <f>SUM('Schedule 3B_Income_Eastern:Schedule 3D_Income_The Cape'!AI69)</f>
        <v>4156.8974893390005</v>
      </c>
      <c r="AJ69" s="585">
        <f>SUM('Schedule 3B_Income_Eastern:Schedule 3D_Income_The Cape'!AJ69)</f>
        <v>0</v>
      </c>
      <c r="AK69" s="585">
        <f>SUM('Schedule 3B_Income_Eastern:Schedule 3D_Income_The Cape'!AK69)</f>
        <v>9934.5896953530828</v>
      </c>
      <c r="AL69" s="585">
        <f>SUM('Schedule 3B_Income_Eastern:Schedule 3D_Income_The Cape'!AL69)</f>
        <v>0</v>
      </c>
      <c r="AM69" s="585">
        <f>SUM('Schedule 3B_Income_Eastern:Schedule 3D_Income_The Cape'!AM69)</f>
        <v>6806.536288626472</v>
      </c>
      <c r="AN69" s="588">
        <f>SUM(AF69:AM69)</f>
        <v>25769.445187602862</v>
      </c>
      <c r="AO69" s="589">
        <f>SUM(AN69,AE69)</f>
        <v>54259.06541571932</v>
      </c>
      <c r="AP69" s="933">
        <v>44</v>
      </c>
      <c r="AQ69" s="585">
        <f>SUM('Schedule 3B_Income_Eastern:Schedule 3D_Income_The Cape'!AQ69)</f>
        <v>81409.323976349697</v>
      </c>
      <c r="AR69" s="585">
        <f>SUM('Schedule 3B_Income_Eastern:Schedule 3D_Income_The Cape'!AR69)</f>
        <v>192257.94791271913</v>
      </c>
      <c r="AS69" s="585">
        <f>SUM('Schedule 3B_Income_Eastern:Schedule 3D_Income_The Cape'!AS69)</f>
        <v>86001.818035739227</v>
      </c>
      <c r="AT69" s="585">
        <f>SUM('Schedule 3B_Income_Eastern:Schedule 3D_Income_The Cape'!AT69)</f>
        <v>199689.35494316899</v>
      </c>
      <c r="AU69" s="585">
        <f>SUM('Schedule 3B_Income_Eastern:Schedule 3D_Income_The Cape'!AU69)</f>
        <v>167181.0549712319</v>
      </c>
      <c r="AV69" s="585">
        <f>SUM('Schedule 3B_Income_Eastern:Schedule 3D_Income_The Cape'!AV69)</f>
        <v>388737.72940884752</v>
      </c>
      <c r="AW69" s="585">
        <f>SUM('Schedule 3B_Income_Eastern:Schedule 3D_Income_The Cape'!AW69)</f>
        <v>132391.86419910323</v>
      </c>
      <c r="AX69" s="585">
        <f>SUM('Schedule 3B_Income_Eastern:Schedule 3D_Income_The Cape'!AX69)</f>
        <v>291101.57103766332</v>
      </c>
      <c r="AY69" s="586">
        <f>SUM(AQ69:AX69)</f>
        <v>1538770.6644848234</v>
      </c>
      <c r="AZ69" s="587">
        <f>SUM('Schedule 3B_Income_Eastern:Schedule 3D_Income_The Cape'!AZ69)</f>
        <v>0</v>
      </c>
      <c r="BA69" s="585">
        <f>SUM('Schedule 3B_Income_Eastern:Schedule 3D_Income_The Cape'!BA69)</f>
        <v>112189.36439166353</v>
      </c>
      <c r="BB69" s="585">
        <f>SUM('Schedule 3B_Income_Eastern:Schedule 3D_Income_The Cape'!BB69)</f>
        <v>0</v>
      </c>
      <c r="BC69" s="585">
        <f>SUM('Schedule 3B_Income_Eastern:Schedule 3D_Income_The Cape'!BC69)</f>
        <v>94938.795563115622</v>
      </c>
      <c r="BD69" s="585">
        <f>SUM('Schedule 3B_Income_Eastern:Schedule 3D_Income_The Cape'!BD69)</f>
        <v>0</v>
      </c>
      <c r="BE69" s="585">
        <f>SUM('Schedule 3B_Income_Eastern:Schedule 3D_Income_The Cape'!BE69)</f>
        <v>245838.6760094231</v>
      </c>
      <c r="BF69" s="585">
        <f>SUM('Schedule 3B_Income_Eastern:Schedule 3D_Income_The Cape'!BF69)</f>
        <v>0</v>
      </c>
      <c r="BG69" s="585">
        <f>SUM('Schedule 3B_Income_Eastern:Schedule 3D_Income_The Cape'!BG69)</f>
        <v>167727.41735782669</v>
      </c>
      <c r="BH69" s="588">
        <f>SUM(AZ69:BG69)</f>
        <v>620694.2533220289</v>
      </c>
      <c r="BI69" s="589">
        <f>SUM(BH69,AY69)</f>
        <v>2159464.9178068521</v>
      </c>
      <c r="BJ69" s="933">
        <v>44</v>
      </c>
      <c r="BK69" s="585">
        <f>SUM('Schedule 3B_Income_Eastern:Schedule 3D_Income_The Cape'!BK69)</f>
        <v>1734.7666778332543</v>
      </c>
      <c r="BL69" s="585">
        <f>SUM('Schedule 3B_Income_Eastern:Schedule 3D_Income_The Cape'!BL69)</f>
        <v>19907.28996378358</v>
      </c>
      <c r="BM69" s="585">
        <f>SUM('Schedule 3B_Income_Eastern:Schedule 3D_Income_The Cape'!BM69)</f>
        <v>1632.3413176937881</v>
      </c>
      <c r="BN69" s="585">
        <f>SUM('Schedule 3B_Income_Eastern:Schedule 3D_Income_The Cape'!BN69)</f>
        <v>18688.62694560954</v>
      </c>
      <c r="BO69" s="585">
        <f>SUM('Schedule 3B_Income_Eastern:Schedule 3D_Income_The Cape'!BO69)</f>
        <v>3033.4702871866343</v>
      </c>
      <c r="BP69" s="585">
        <f>SUM('Schedule 3B_Income_Eastern:Schedule 3D_Income_The Cape'!BP69)</f>
        <v>33609.727061221362</v>
      </c>
      <c r="BQ69" s="585">
        <f>SUM('Schedule 3B_Income_Eastern:Schedule 3D_Income_The Cape'!BQ69)</f>
        <v>2409.2914440710711</v>
      </c>
      <c r="BR69" s="585">
        <f>SUM('Schedule 3B_Income_Eastern:Schedule 3D_Income_The Cape'!BR69)</f>
        <v>25245.514369950302</v>
      </c>
      <c r="BS69" s="586">
        <f>SUM(BK69:BR69)</f>
        <v>106261.02806734954</v>
      </c>
      <c r="BT69" s="587">
        <f>SUM('Schedule 3B_Income_Eastern:Schedule 3D_Income_The Cape'!BT69)</f>
        <v>0</v>
      </c>
      <c r="BU69" s="585">
        <f>SUM('Schedule 3B_Income_Eastern:Schedule 3D_Income_The Cape'!BU69)</f>
        <v>4385.4204517903845</v>
      </c>
      <c r="BV69" s="585">
        <f>SUM('Schedule 3B_Income_Eastern:Schedule 3D_Income_The Cape'!BV69)</f>
        <v>0</v>
      </c>
      <c r="BW69" s="585">
        <f>SUM('Schedule 3B_Income_Eastern:Schedule 3D_Income_The Cape'!BW69)</f>
        <v>3986.4148975866519</v>
      </c>
      <c r="BX69" s="585">
        <f>SUM('Schedule 3B_Income_Eastern:Schedule 3D_Income_The Cape'!BX69)</f>
        <v>0</v>
      </c>
      <c r="BY69" s="585">
        <f>SUM('Schedule 3B_Income_Eastern:Schedule 3D_Income_The Cape'!BY69)</f>
        <v>9669.986682244471</v>
      </c>
      <c r="BZ69" s="585">
        <f>SUM('Schedule 3B_Income_Eastern:Schedule 3D_Income_The Cape'!BZ69)</f>
        <v>0</v>
      </c>
      <c r="CA69" s="585">
        <f>SUM('Schedule 3B_Income_Eastern:Schedule 3D_Income_The Cape'!CA69)</f>
        <v>7416.9834694696619</v>
      </c>
      <c r="CB69" s="588">
        <f>SUM(BT69:CA69)</f>
        <v>25458.80550109117</v>
      </c>
      <c r="CC69" s="589">
        <f>SUM(CB69,BS69)</f>
        <v>131719.83356844072</v>
      </c>
      <c r="CD69" s="933">
        <v>44</v>
      </c>
      <c r="CE69" s="414">
        <f t="shared" ref="CE69:CE71" si="168">+C69+D69+W69+X69+AQ69+AR69+BK69+BL69</f>
        <v>315086.52750354185</v>
      </c>
      <c r="CF69" s="414">
        <f t="shared" ref="CF69:CF71" si="169">+E69+F69+Y69+Z69+AS69+AT69+BM69+BN69</f>
        <v>325791.5069784018</v>
      </c>
      <c r="CG69" s="414">
        <f t="shared" ref="CG69:CG71" si="170">+G69+H69+AA69+AB69+AU69+AV69+BO69+BP69</f>
        <v>630246.79712612263</v>
      </c>
      <c r="CH69" s="414">
        <f t="shared" ref="CH69:CH71" si="171">+I69+J69+AC69+AD69+AW69+AX69+BQ69+BR69</f>
        <v>478992.2364182765</v>
      </c>
      <c r="CI69" s="416">
        <f t="shared" ref="CI69:CI71" si="172">SUM(K69,AE69,AY69,BS69)</f>
        <v>1750117.0680263431</v>
      </c>
      <c r="CJ69" s="414">
        <f t="shared" ref="CJ69:CJ71" si="173">L69+M69+AF69+AG69+AZ69+BA69+BT69+BU69</f>
        <v>136244.09586607714</v>
      </c>
      <c r="CK69" s="414">
        <f t="shared" ref="CK69:CK71" si="174">N69+O69+AH69+AI69+BB69+BC69+BV69+BW69</f>
        <v>116859.4595424385</v>
      </c>
      <c r="CL69" s="414">
        <f t="shared" ref="CL69:CL71" si="175">P69+Q69+AJ69+AK69+BD69+BE69+BX69+BY69</f>
        <v>299379.61756267643</v>
      </c>
      <c r="CM69" s="414">
        <f t="shared" ref="CM69:CM71" si="176">+R69+S69+AL69+AM69+BF69+BG69+BZ69+CA69</f>
        <v>204886.27825294272</v>
      </c>
      <c r="CN69" s="416">
        <f t="shared" ref="CN69:CN71" si="177">SUM(T69,AN69,BH69,CB69)</f>
        <v>757369.45122413477</v>
      </c>
      <c r="CO69" s="414">
        <f t="shared" ref="CO69:CO71" si="178">+C69+D69+L69+M69+W69+X69+AF69+AG69+AQ69+AR69+AZ69+BA69+BK69+BL69+BT69+BU69</f>
        <v>451330.62336961896</v>
      </c>
      <c r="CP69" s="414">
        <f t="shared" ref="CP69:CP71" si="179">+E69+F69+N69+O69+Y69+Z69+AH69+AI69+AS69+AT69+BB69+BC69+BM69+BN69+BV69+BW69</f>
        <v>442650.96652084024</v>
      </c>
      <c r="CQ69" s="414">
        <f t="shared" ref="CQ69:CQ71" si="180">+G69+H69+P69+Q69+AA69+AB69+AJ69+AK69+AU69+AV69+BD69+BE69+BO69+BP69+BX69+BY69</f>
        <v>929626.41468879906</v>
      </c>
      <c r="CR69" s="414">
        <f t="shared" ref="CR69:CR71" si="181">+I69+J69+R69+S69+AC69+AD69+AL69+AM69+AW69+AX69+BF69+BG69+BQ69+BR69+BZ69+CA69</f>
        <v>683878.5146712194</v>
      </c>
      <c r="CS69" s="416">
        <f t="shared" ref="CS69:CS71" si="182">SUM(CC69,BI69,AO69,U69)</f>
        <v>2507486.5192504781</v>
      </c>
    </row>
    <row r="70" spans="1:100" ht="15.75" customHeight="1">
      <c r="A70" s="932" t="s">
        <v>238</v>
      </c>
      <c r="B70" s="933">
        <v>45</v>
      </c>
      <c r="C70" s="585">
        <f t="shared" ref="C70" si="183">IF(ABS(C62)&lt;C83, -C62, C83)</f>
        <v>0</v>
      </c>
      <c r="D70" s="585">
        <f t="shared" ref="D70:J70" si="184">IF(ABS(D62)&lt;D83, -D62, D83)</f>
        <v>0</v>
      </c>
      <c r="E70" s="585">
        <f t="shared" si="184"/>
        <v>0</v>
      </c>
      <c r="F70" s="585">
        <f t="shared" si="184"/>
        <v>0</v>
      </c>
      <c r="G70" s="585">
        <f t="shared" si="184"/>
        <v>0</v>
      </c>
      <c r="H70" s="585">
        <f t="shared" si="184"/>
        <v>0</v>
      </c>
      <c r="I70" s="585">
        <f t="shared" si="184"/>
        <v>0</v>
      </c>
      <c r="J70" s="585">
        <f t="shared" si="184"/>
        <v>0</v>
      </c>
      <c r="K70" s="586">
        <f t="shared" ref="K70" si="185">SUM(C70:J70)</f>
        <v>0</v>
      </c>
      <c r="L70" s="587">
        <f t="shared" ref="L70:S70" si="186">IF(ABS(L62)&lt;L83, -L62, L83)</f>
        <v>0</v>
      </c>
      <c r="M70" s="585">
        <f t="shared" si="186"/>
        <v>0</v>
      </c>
      <c r="N70" s="585">
        <f t="shared" si="186"/>
        <v>0</v>
      </c>
      <c r="O70" s="585">
        <f t="shared" si="186"/>
        <v>0</v>
      </c>
      <c r="P70" s="585">
        <f t="shared" si="186"/>
        <v>0</v>
      </c>
      <c r="Q70" s="585">
        <f t="shared" si="186"/>
        <v>0</v>
      </c>
      <c r="R70" s="585">
        <f t="shared" si="186"/>
        <v>0</v>
      </c>
      <c r="S70" s="585">
        <f t="shared" si="186"/>
        <v>0</v>
      </c>
      <c r="T70" s="588">
        <f t="shared" ref="T70" si="187">SUM(L70:S70)</f>
        <v>0</v>
      </c>
      <c r="U70" s="589">
        <f t="shared" ref="U70" si="188">SUM(T70,K70)</f>
        <v>0</v>
      </c>
      <c r="V70" s="933">
        <v>45</v>
      </c>
      <c r="W70" s="585">
        <f t="shared" ref="W70:AD70" si="189">IF(ABS(W62)&lt;W83, -W62, W83)</f>
        <v>0</v>
      </c>
      <c r="X70" s="585">
        <f t="shared" si="189"/>
        <v>0</v>
      </c>
      <c r="Y70" s="585">
        <f t="shared" si="189"/>
        <v>0</v>
      </c>
      <c r="Z70" s="585">
        <f t="shared" si="189"/>
        <v>0</v>
      </c>
      <c r="AA70" s="585">
        <f t="shared" si="189"/>
        <v>0</v>
      </c>
      <c r="AB70" s="585">
        <f t="shared" si="189"/>
        <v>0</v>
      </c>
      <c r="AC70" s="585">
        <f t="shared" si="189"/>
        <v>0</v>
      </c>
      <c r="AD70" s="585">
        <f t="shared" si="189"/>
        <v>0</v>
      </c>
      <c r="AE70" s="586">
        <f t="shared" ref="AE70" si="190">SUM(W70:AD70)</f>
        <v>0</v>
      </c>
      <c r="AF70" s="587">
        <f t="shared" ref="AF70:AM70" si="191">IF(ABS(AF62)&lt;AF83, -AF62, AF83)</f>
        <v>0</v>
      </c>
      <c r="AG70" s="585">
        <f t="shared" si="191"/>
        <v>0</v>
      </c>
      <c r="AH70" s="585">
        <f t="shared" si="191"/>
        <v>0</v>
      </c>
      <c r="AI70" s="585">
        <f t="shared" si="191"/>
        <v>0</v>
      </c>
      <c r="AJ70" s="585">
        <f t="shared" si="191"/>
        <v>0</v>
      </c>
      <c r="AK70" s="585">
        <f t="shared" si="191"/>
        <v>0</v>
      </c>
      <c r="AL70" s="585">
        <f t="shared" si="191"/>
        <v>0</v>
      </c>
      <c r="AM70" s="585">
        <f t="shared" si="191"/>
        <v>0</v>
      </c>
      <c r="AN70" s="588">
        <f t="shared" ref="AN70" si="192">SUM(AF70:AM70)</f>
        <v>0</v>
      </c>
      <c r="AO70" s="589">
        <f t="shared" ref="AO70" si="193">SUM(AN70,AE70)</f>
        <v>0</v>
      </c>
      <c r="AP70" s="933">
        <v>45</v>
      </c>
      <c r="AQ70" s="585">
        <f t="shared" ref="AQ70:AX70" si="194">IF(ABS(AQ62)&lt;AQ83, -AQ62, AQ83)</f>
        <v>0</v>
      </c>
      <c r="AR70" s="585">
        <f t="shared" si="194"/>
        <v>0</v>
      </c>
      <c r="AS70" s="585">
        <f t="shared" si="194"/>
        <v>0</v>
      </c>
      <c r="AT70" s="585">
        <f t="shared" si="194"/>
        <v>0</v>
      </c>
      <c r="AU70" s="585">
        <f t="shared" si="194"/>
        <v>0</v>
      </c>
      <c r="AV70" s="585">
        <f t="shared" si="194"/>
        <v>0</v>
      </c>
      <c r="AW70" s="585">
        <f t="shared" si="194"/>
        <v>0</v>
      </c>
      <c r="AX70" s="585">
        <f t="shared" si="194"/>
        <v>0</v>
      </c>
      <c r="AY70" s="586">
        <f t="shared" ref="AY70" si="195">SUM(AQ70:AX70)</f>
        <v>0</v>
      </c>
      <c r="AZ70" s="587">
        <f t="shared" ref="AZ70:BG70" si="196">IF(ABS(AZ62)&lt;AZ83, -AZ62, AZ83)</f>
        <v>0</v>
      </c>
      <c r="BA70" s="585">
        <f t="shared" si="196"/>
        <v>0</v>
      </c>
      <c r="BB70" s="585">
        <f t="shared" si="196"/>
        <v>0</v>
      </c>
      <c r="BC70" s="585">
        <f t="shared" si="196"/>
        <v>0</v>
      </c>
      <c r="BD70" s="585">
        <f t="shared" si="196"/>
        <v>0</v>
      </c>
      <c r="BE70" s="585">
        <f t="shared" si="196"/>
        <v>0</v>
      </c>
      <c r="BF70" s="585">
        <f t="shared" si="196"/>
        <v>0</v>
      </c>
      <c r="BG70" s="585">
        <f t="shared" si="196"/>
        <v>0</v>
      </c>
      <c r="BH70" s="588">
        <f t="shared" ref="BH70" si="197">SUM(AZ70:BG70)</f>
        <v>0</v>
      </c>
      <c r="BI70" s="589">
        <f t="shared" ref="BI70" si="198">SUM(BH70,AY70)</f>
        <v>0</v>
      </c>
      <c r="BJ70" s="933">
        <v>45</v>
      </c>
      <c r="BK70" s="585">
        <f t="shared" ref="BK70:BR70" si="199">IF(ABS(BK62)&lt;BK83, -BK62, BK83)</f>
        <v>0</v>
      </c>
      <c r="BL70" s="585">
        <f t="shared" si="199"/>
        <v>0</v>
      </c>
      <c r="BM70" s="585">
        <f t="shared" si="199"/>
        <v>0</v>
      </c>
      <c r="BN70" s="585">
        <f t="shared" si="199"/>
        <v>0</v>
      </c>
      <c r="BO70" s="585">
        <f t="shared" si="199"/>
        <v>0</v>
      </c>
      <c r="BP70" s="585">
        <f t="shared" si="199"/>
        <v>0</v>
      </c>
      <c r="BQ70" s="585">
        <f t="shared" si="199"/>
        <v>0</v>
      </c>
      <c r="BR70" s="585">
        <f t="shared" si="199"/>
        <v>0</v>
      </c>
      <c r="BS70" s="586">
        <f t="shared" ref="BS70" si="200">SUM(BK70:BR70)</f>
        <v>0</v>
      </c>
      <c r="BT70" s="587">
        <f t="shared" ref="BT70:CA70" si="201">IF(ABS(BT62)&lt;BT83, -BT62, BT83)</f>
        <v>0</v>
      </c>
      <c r="BU70" s="585">
        <f t="shared" si="201"/>
        <v>0</v>
      </c>
      <c r="BV70" s="585">
        <f t="shared" si="201"/>
        <v>0</v>
      </c>
      <c r="BW70" s="585">
        <f t="shared" si="201"/>
        <v>0</v>
      </c>
      <c r="BX70" s="585">
        <f t="shared" si="201"/>
        <v>0</v>
      </c>
      <c r="BY70" s="585">
        <f t="shared" si="201"/>
        <v>0</v>
      </c>
      <c r="BZ70" s="585">
        <f t="shared" si="201"/>
        <v>0</v>
      </c>
      <c r="CA70" s="585">
        <f t="shared" si="201"/>
        <v>0</v>
      </c>
      <c r="CB70" s="588">
        <f t="shared" ref="CB70" si="202">SUM(BT70:CA70)</f>
        <v>0</v>
      </c>
      <c r="CC70" s="589">
        <f t="shared" ref="CC70" si="203">SUM(CB70,BS70)</f>
        <v>0</v>
      </c>
      <c r="CD70" s="933">
        <v>45</v>
      </c>
      <c r="CE70" s="414">
        <f t="shared" si="168"/>
        <v>0</v>
      </c>
      <c r="CF70" s="414">
        <f t="shared" si="169"/>
        <v>0</v>
      </c>
      <c r="CG70" s="414">
        <f t="shared" si="170"/>
        <v>0</v>
      </c>
      <c r="CH70" s="414">
        <f t="shared" si="171"/>
        <v>0</v>
      </c>
      <c r="CI70" s="416">
        <f t="shared" si="172"/>
        <v>0</v>
      </c>
      <c r="CJ70" s="414">
        <f t="shared" si="173"/>
        <v>0</v>
      </c>
      <c r="CK70" s="414">
        <f t="shared" si="174"/>
        <v>0</v>
      </c>
      <c r="CL70" s="414">
        <f t="shared" si="175"/>
        <v>0</v>
      </c>
      <c r="CM70" s="414">
        <f t="shared" si="176"/>
        <v>0</v>
      </c>
      <c r="CN70" s="416">
        <f t="shared" si="177"/>
        <v>0</v>
      </c>
      <c r="CO70" s="414">
        <f t="shared" si="178"/>
        <v>0</v>
      </c>
      <c r="CP70" s="414">
        <f t="shared" si="179"/>
        <v>0</v>
      </c>
      <c r="CQ70" s="414">
        <f t="shared" si="180"/>
        <v>0</v>
      </c>
      <c r="CR70" s="414">
        <f t="shared" si="181"/>
        <v>0</v>
      </c>
      <c r="CS70" s="416">
        <f t="shared" si="182"/>
        <v>0</v>
      </c>
    </row>
    <row r="71" spans="1:100" ht="15.75" customHeight="1">
      <c r="A71" s="88" t="s">
        <v>1342</v>
      </c>
      <c r="B71" s="300">
        <v>46</v>
      </c>
      <c r="C71" s="585">
        <f>SUM('Schedule 3B_Income_Eastern:Schedule 3D_Income_The Cape'!C71)</f>
        <v>36633.813618861248</v>
      </c>
      <c r="D71" s="585">
        <f>SUM('Schedule 3B_Income_Eastern:Schedule 3D_Income_The Cape'!D71)</f>
        <v>76807.571569106949</v>
      </c>
      <c r="E71" s="585">
        <f>SUM('Schedule 3B_Income_Eastern:Schedule 3D_Income_The Cape'!E71)</f>
        <v>41042.007861073973</v>
      </c>
      <c r="F71" s="585">
        <f>SUM('Schedule 3B_Income_Eastern:Schedule 3D_Income_The Cape'!F71)</f>
        <v>85947.784115893242</v>
      </c>
      <c r="G71" s="585">
        <f>SUM('Schedule 3B_Income_Eastern:Schedule 3D_Income_The Cape'!G71)</f>
        <v>40464.120410475029</v>
      </c>
      <c r="H71" s="585">
        <f>SUM('Schedule 3B_Income_Eastern:Schedule 3D_Income_The Cape'!H71)</f>
        <v>85650.521093559859</v>
      </c>
      <c r="I71" s="585">
        <f>SUM('Schedule 3B_Income_Eastern:Schedule 3D_Income_The Cape'!I71)</f>
        <v>42662.750262446643</v>
      </c>
      <c r="J71" s="585">
        <f>SUM('Schedule 3B_Income_Eastern:Schedule 3D_Income_The Cape'!J71)</f>
        <v>87344.564619954908</v>
      </c>
      <c r="K71" s="586">
        <f>SUM(C71:J71)</f>
        <v>496553.13355137187</v>
      </c>
      <c r="L71" s="587">
        <f>SUM('Schedule 3B_Income_Eastern:Schedule 3D_Income_The Cape'!L71)</f>
        <v>0</v>
      </c>
      <c r="M71" s="585">
        <f>SUM('Schedule 3B_Income_Eastern:Schedule 3D_Income_The Cape'!M71)</f>
        <v>182187.4144934534</v>
      </c>
      <c r="N71" s="585">
        <f>SUM('Schedule 3B_Income_Eastern:Schedule 3D_Income_The Cape'!N71)</f>
        <v>0</v>
      </c>
      <c r="O71" s="585">
        <f>SUM('Schedule 3B_Income_Eastern:Schedule 3D_Income_The Cape'!O71)</f>
        <v>179300.26916438626</v>
      </c>
      <c r="P71" s="585">
        <f>SUM('Schedule 3B_Income_Eastern:Schedule 3D_Income_The Cape'!P71)</f>
        <v>0</v>
      </c>
      <c r="Q71" s="585">
        <f>SUM('Schedule 3B_Income_Eastern:Schedule 3D_Income_The Cape'!Q71)</f>
        <v>185803.05424426781</v>
      </c>
      <c r="R71" s="585">
        <f>SUM('Schedule 3B_Income_Eastern:Schedule 3D_Income_The Cape'!R71)</f>
        <v>0</v>
      </c>
      <c r="S71" s="585">
        <f>SUM('Schedule 3B_Income_Eastern:Schedule 3D_Income_The Cape'!S71)</f>
        <v>187996.45090383643</v>
      </c>
      <c r="T71" s="588">
        <f>SUM(L71:S71)</f>
        <v>735287.18880594382</v>
      </c>
      <c r="U71" s="589">
        <f>SUM(T71,K71)</f>
        <v>1231840.3223573156</v>
      </c>
      <c r="V71" s="300">
        <v>46</v>
      </c>
      <c r="W71" s="585">
        <f>SUM('Schedule 3B_Income_Eastern:Schedule 3D_Income_The Cape'!W71)</f>
        <v>5914.0763754838035</v>
      </c>
      <c r="X71" s="585">
        <f>SUM('Schedule 3B_Income_Eastern:Schedule 3D_Income_The Cape'!X71)</f>
        <v>39681.558899116702</v>
      </c>
      <c r="Y71" s="585">
        <f>SUM('Schedule 3B_Income_Eastern:Schedule 3D_Income_The Cape'!Y71)</f>
        <v>6349.4598303563071</v>
      </c>
      <c r="Z71" s="585">
        <f>SUM('Schedule 3B_Income_Eastern:Schedule 3D_Income_The Cape'!Z71)</f>
        <v>41042.514288461432</v>
      </c>
      <c r="AA71" s="585">
        <f>SUM('Schedule 3B_Income_Eastern:Schedule 3D_Income_The Cape'!AA71)</f>
        <v>5996.2226391613613</v>
      </c>
      <c r="AB71" s="585">
        <f>SUM('Schedule 3B_Income_Eastern:Schedule 3D_Income_The Cape'!AB71)</f>
        <v>39304.820715847869</v>
      </c>
      <c r="AC71" s="585">
        <f>SUM('Schedule 3B_Income_Eastern:Schedule 3D_Income_The Cape'!AC71)</f>
        <v>6791.4808068936545</v>
      </c>
      <c r="AD71" s="585">
        <f>SUM('Schedule 3B_Income_Eastern:Schedule 3D_Income_The Cape'!AD71)</f>
        <v>41004.721988353325</v>
      </c>
      <c r="AE71" s="586">
        <f>SUM(W71:AD71)</f>
        <v>186084.85554367446</v>
      </c>
      <c r="AF71" s="587">
        <f>SUM('Schedule 3B_Income_Eastern:Schedule 3D_Income_The Cape'!AF71)</f>
        <v>0</v>
      </c>
      <c r="AG71" s="585">
        <f>SUM('Schedule 3B_Income_Eastern:Schedule 3D_Income_The Cape'!AG71)</f>
        <v>59975.561956163088</v>
      </c>
      <c r="AH71" s="585">
        <f>SUM('Schedule 3B_Income_Eastern:Schedule 3D_Income_The Cape'!AH71)</f>
        <v>0</v>
      </c>
      <c r="AI71" s="585">
        <f>SUM('Schedule 3B_Income_Eastern:Schedule 3D_Income_The Cape'!AI71)</f>
        <v>54098.411710603541</v>
      </c>
      <c r="AJ71" s="585">
        <f>SUM('Schedule 3B_Income_Eastern:Schedule 3D_Income_The Cape'!AJ71)</f>
        <v>0</v>
      </c>
      <c r="AK71" s="585">
        <f>SUM('Schedule 3B_Income_Eastern:Schedule 3D_Income_The Cape'!AK71)</f>
        <v>54392.304494188211</v>
      </c>
      <c r="AL71" s="585">
        <f>SUM('Schedule 3B_Income_Eastern:Schedule 3D_Income_The Cape'!AL71)</f>
        <v>0</v>
      </c>
      <c r="AM71" s="585">
        <f>SUM('Schedule 3B_Income_Eastern:Schedule 3D_Income_The Cape'!AM71)</f>
        <v>55791.830501467484</v>
      </c>
      <c r="AN71" s="588">
        <f>SUM(AF71:AM71)</f>
        <v>224258.10866242231</v>
      </c>
      <c r="AO71" s="589">
        <f>SUM(AN71,AE71)</f>
        <v>410342.96420609677</v>
      </c>
      <c r="AP71" s="300">
        <v>46</v>
      </c>
      <c r="AQ71" s="585">
        <f>SUM('Schedule 3B_Income_Eastern:Schedule 3D_Income_The Cape'!AQ71)</f>
        <v>654647.62430919916</v>
      </c>
      <c r="AR71" s="585">
        <f>SUM('Schedule 3B_Income_Eastern:Schedule 3D_Income_The Cape'!AR71)</f>
        <v>1546029.4068058759</v>
      </c>
      <c r="AS71" s="585">
        <f>SUM('Schedule 3B_Income_Eastern:Schedule 3D_Income_The Cape'!AS71)</f>
        <v>758221.9327225585</v>
      </c>
      <c r="AT71" s="585">
        <f>SUM('Schedule 3B_Income_Eastern:Schedule 3D_Income_The Cape'!AT71)</f>
        <v>1760530.7900143529</v>
      </c>
      <c r="AU71" s="585">
        <f>SUM('Schedule 3B_Income_Eastern:Schedule 3D_Income_The Cape'!AU71)</f>
        <v>760450.98618552671</v>
      </c>
      <c r="AV71" s="585">
        <f>SUM('Schedule 3B_Income_Eastern:Schedule 3D_Income_The Cape'!AV71)</f>
        <v>1768238.5707360767</v>
      </c>
      <c r="AW71" s="585">
        <f>SUM('Schedule 3B_Income_Eastern:Schedule 3D_Income_The Cape'!AW71)</f>
        <v>845415.28095453139</v>
      </c>
      <c r="AX71" s="585">
        <f>SUM('Schedule 3B_Income_Eastern:Schedule 3D_Income_The Cape'!AX71)</f>
        <v>1858888.5197280773</v>
      </c>
      <c r="AY71" s="586">
        <f>SUM(AQ71:AX71)</f>
        <v>9952423.1114561986</v>
      </c>
      <c r="AZ71" s="587">
        <f>SUM('Schedule 3B_Income_Eastern:Schedule 3D_Income_The Cape'!AZ71)</f>
        <v>0</v>
      </c>
      <c r="BA71" s="585">
        <f>SUM('Schedule 3B_Income_Eastern:Schedule 3D_Income_The Cape'!BA71)</f>
        <v>1381243.6224038389</v>
      </c>
      <c r="BB71" s="585">
        <f>SUM('Schedule 3B_Income_Eastern:Schedule 3D_Income_The Cape'!BB71)</f>
        <v>0</v>
      </c>
      <c r="BC71" s="585">
        <f>SUM('Schedule 3B_Income_Eastern:Schedule 3D_Income_The Cape'!BC71)</f>
        <v>1235545.996227813</v>
      </c>
      <c r="BD71" s="585">
        <f>SUM('Schedule 3B_Income_Eastern:Schedule 3D_Income_The Cape'!BD71)</f>
        <v>0</v>
      </c>
      <c r="BE71" s="585">
        <f>SUM('Schedule 3B_Income_Eastern:Schedule 3D_Income_The Cape'!BE71)</f>
        <v>1345977.2906582411</v>
      </c>
      <c r="BF71" s="585">
        <f>SUM('Schedule 3B_Income_Eastern:Schedule 3D_Income_The Cape'!BF71)</f>
        <v>0</v>
      </c>
      <c r="BG71" s="585">
        <f>SUM('Schedule 3B_Income_Eastern:Schedule 3D_Income_The Cape'!BG71)</f>
        <v>1374828.435912905</v>
      </c>
      <c r="BH71" s="588">
        <f>SUM(AZ71:BG71)</f>
        <v>5337595.345202798</v>
      </c>
      <c r="BI71" s="589">
        <f>SUM(BH71,AY71)</f>
        <v>15290018.456658997</v>
      </c>
      <c r="BJ71" s="300">
        <v>46</v>
      </c>
      <c r="BK71" s="585">
        <f>SUM('Schedule 3B_Income_Eastern:Schedule 3D_Income_The Cape'!BK71)</f>
        <v>13950.010009961803</v>
      </c>
      <c r="BL71" s="585">
        <f>SUM('Schedule 3B_Income_Eastern:Schedule 3D_Income_The Cape'!BL71)</f>
        <v>160083.13844998021</v>
      </c>
      <c r="BM71" s="585">
        <f>SUM('Schedule 3B_Income_Eastern:Schedule 3D_Income_The Cape'!BM71)</f>
        <v>14391.288661483164</v>
      </c>
      <c r="BN71" s="585">
        <f>SUM('Schedule 3B_Income_Eastern:Schedule 3D_Income_The Cape'!BN71)</f>
        <v>164765.43364167446</v>
      </c>
      <c r="BO71" s="585">
        <f>SUM('Schedule 3B_Income_Eastern:Schedule 3D_Income_The Cape'!BO71)</f>
        <v>13798.246887797892</v>
      </c>
      <c r="BP71" s="585">
        <f>SUM('Schedule 3B_Income_Eastern:Schedule 3D_Income_The Cape'!BP71)</f>
        <v>152879.4640847925</v>
      </c>
      <c r="BQ71" s="585">
        <f>SUM('Schedule 3B_Income_Eastern:Schedule 3D_Income_The Cape'!BQ71)</f>
        <v>15385.022451436182</v>
      </c>
      <c r="BR71" s="585">
        <f>SUM('Schedule 3B_Income_Eastern:Schedule 3D_Income_The Cape'!BR71)</f>
        <v>161210.38670333766</v>
      </c>
      <c r="BS71" s="586">
        <f>SUM(BK71:BR71)</f>
        <v>696462.99089046381</v>
      </c>
      <c r="BT71" s="587">
        <f>SUM('Schedule 3B_Income_Eastern:Schedule 3D_Income_The Cape'!BT71)</f>
        <v>0</v>
      </c>
      <c r="BU71" s="585">
        <f>SUM('Schedule 3B_Income_Eastern:Schedule 3D_Income_The Cape'!BU71)</f>
        <v>53992.052307633312</v>
      </c>
      <c r="BV71" s="585">
        <f>SUM('Schedule 3B_Income_Eastern:Schedule 3D_Income_The Cape'!BV71)</f>
        <v>0</v>
      </c>
      <c r="BW71" s="585">
        <f>SUM('Schedule 3B_Income_Eastern:Schedule 3D_Income_The Cape'!BW71)</f>
        <v>51879.72879581849</v>
      </c>
      <c r="BX71" s="585">
        <f>SUM('Schedule 3B_Income_Eastern:Schedule 3D_Income_The Cape'!BX71)</f>
        <v>0</v>
      </c>
      <c r="BY71" s="585">
        <f>SUM('Schedule 3B_Income_Eastern:Schedule 3D_Income_The Cape'!BY71)</f>
        <v>52943.591653454059</v>
      </c>
      <c r="BZ71" s="585">
        <f>SUM('Schedule 3B_Income_Eastern:Schedule 3D_Income_The Cape'!BZ71)</f>
        <v>0</v>
      </c>
      <c r="CA71" s="585">
        <f>SUM('Schedule 3B_Income_Eastern:Schedule 3D_Income_The Cape'!CA71)</f>
        <v>60795.545195622835</v>
      </c>
      <c r="CB71" s="588">
        <f>SUM(BT71:CA71)</f>
        <v>219610.91795252869</v>
      </c>
      <c r="CC71" s="589">
        <f>SUM(CB71,BS71)</f>
        <v>916073.9088429925</v>
      </c>
      <c r="CD71" s="300">
        <v>46</v>
      </c>
      <c r="CE71" s="414">
        <f t="shared" si="168"/>
        <v>2533747.200037586</v>
      </c>
      <c r="CF71" s="414">
        <f t="shared" si="169"/>
        <v>2872291.211135854</v>
      </c>
      <c r="CG71" s="414">
        <f t="shared" si="170"/>
        <v>2866782.9527532379</v>
      </c>
      <c r="CH71" s="414">
        <f t="shared" si="171"/>
        <v>3058702.7275150311</v>
      </c>
      <c r="CI71" s="416">
        <f t="shared" si="172"/>
        <v>11331524.09144171</v>
      </c>
      <c r="CJ71" s="414">
        <f t="shared" si="173"/>
        <v>1677398.6511610886</v>
      </c>
      <c r="CK71" s="414">
        <f t="shared" si="174"/>
        <v>1520824.4058986213</v>
      </c>
      <c r="CL71" s="414">
        <f t="shared" si="175"/>
        <v>1639116.2410501512</v>
      </c>
      <c r="CM71" s="414">
        <f t="shared" si="176"/>
        <v>1679412.2625138317</v>
      </c>
      <c r="CN71" s="416">
        <f t="shared" si="177"/>
        <v>6516751.5606236923</v>
      </c>
      <c r="CO71" s="414">
        <f t="shared" si="178"/>
        <v>4211145.8511986751</v>
      </c>
      <c r="CP71" s="414">
        <f t="shared" si="179"/>
        <v>4393115.6170344744</v>
      </c>
      <c r="CQ71" s="414">
        <f t="shared" si="180"/>
        <v>4505899.1938033896</v>
      </c>
      <c r="CR71" s="414">
        <f t="shared" si="181"/>
        <v>4738114.9900288638</v>
      </c>
      <c r="CS71" s="416">
        <f t="shared" si="182"/>
        <v>17848275.652065404</v>
      </c>
    </row>
    <row r="72" spans="1:100" s="318"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row>
    <row r="73" spans="1:100" s="318" customFormat="1">
      <c r="A73" s="16" t="s">
        <v>241</v>
      </c>
      <c r="B73" s="300">
        <v>47</v>
      </c>
      <c r="C73" s="216">
        <f t="shared" ref="C73:U73" si="204">SUM(C69:C71)</f>
        <v>41189.446131137025</v>
      </c>
      <c r="D73" s="216">
        <f t="shared" si="204"/>
        <v>86359.049716307534</v>
      </c>
      <c r="E73" s="216">
        <f t="shared" si="204"/>
        <v>45697.224413852076</v>
      </c>
      <c r="F73" s="216">
        <f t="shared" si="204"/>
        <v>95696.467675558524</v>
      </c>
      <c r="G73" s="216">
        <f t="shared" si="204"/>
        <v>49359.939419980212</v>
      </c>
      <c r="H73" s="216">
        <f t="shared" si="204"/>
        <v>104480.32700528979</v>
      </c>
      <c r="I73" s="216">
        <f t="shared" si="204"/>
        <v>49343.728435361721</v>
      </c>
      <c r="J73" s="216">
        <f t="shared" si="204"/>
        <v>101022.70599993877</v>
      </c>
      <c r="K73" s="221">
        <f t="shared" si="204"/>
        <v>573148.88879742566</v>
      </c>
      <c r="L73" s="218">
        <f t="shared" si="204"/>
        <v>0</v>
      </c>
      <c r="M73" s="216">
        <f t="shared" si="204"/>
        <v>196985.30380179232</v>
      </c>
      <c r="N73" s="216">
        <f t="shared" si="204"/>
        <v>0</v>
      </c>
      <c r="O73" s="216">
        <f t="shared" si="204"/>
        <v>193077.62075678349</v>
      </c>
      <c r="P73" s="216">
        <f t="shared" si="204"/>
        <v>0</v>
      </c>
      <c r="Q73" s="216">
        <f t="shared" si="204"/>
        <v>219739.41941992356</v>
      </c>
      <c r="R73" s="216">
        <f t="shared" si="204"/>
        <v>0</v>
      </c>
      <c r="S73" s="216">
        <f t="shared" si="204"/>
        <v>210931.79204085632</v>
      </c>
      <c r="T73" s="219">
        <f t="shared" si="204"/>
        <v>820734.13601935562</v>
      </c>
      <c r="U73" s="218">
        <f t="shared" si="204"/>
        <v>1393883.0248167813</v>
      </c>
      <c r="V73" s="300">
        <v>47</v>
      </c>
      <c r="W73" s="216">
        <f t="shared" ref="W73:AO73" si="205">SUM(W69:W71)</f>
        <v>6649.5269320800899</v>
      </c>
      <c r="X73" s="216">
        <f t="shared" si="205"/>
        <v>44616.196655900203</v>
      </c>
      <c r="Y73" s="216">
        <f t="shared" si="205"/>
        <v>7069.6514594678192</v>
      </c>
      <c r="Z73" s="216">
        <f t="shared" si="205"/>
        <v>45697.788283096786</v>
      </c>
      <c r="AA73" s="216">
        <f t="shared" si="205"/>
        <v>7314.4599021383765</v>
      </c>
      <c r="AB73" s="216">
        <f t="shared" si="205"/>
        <v>47945.773929270945</v>
      </c>
      <c r="AC73" s="216">
        <f t="shared" si="205"/>
        <v>7855.0253452439592</v>
      </c>
      <c r="AD73" s="216">
        <f t="shared" si="205"/>
        <v>47426.053264592731</v>
      </c>
      <c r="AE73" s="221">
        <f t="shared" si="205"/>
        <v>214574.47577179092</v>
      </c>
      <c r="AF73" s="218">
        <f t="shared" si="205"/>
        <v>0</v>
      </c>
      <c r="AG73" s="216">
        <f t="shared" si="205"/>
        <v>64846.983670447393</v>
      </c>
      <c r="AH73" s="216">
        <f t="shared" si="205"/>
        <v>0</v>
      </c>
      <c r="AI73" s="216">
        <f t="shared" si="205"/>
        <v>58255.309199942538</v>
      </c>
      <c r="AJ73" s="216">
        <f t="shared" si="205"/>
        <v>0</v>
      </c>
      <c r="AK73" s="216">
        <f t="shared" si="205"/>
        <v>64326.894189541294</v>
      </c>
      <c r="AL73" s="216">
        <f t="shared" si="205"/>
        <v>0</v>
      </c>
      <c r="AM73" s="216">
        <f t="shared" si="205"/>
        <v>62598.366790093954</v>
      </c>
      <c r="AN73" s="219">
        <f t="shared" si="205"/>
        <v>250027.55385002517</v>
      </c>
      <c r="AO73" s="218">
        <f t="shared" si="205"/>
        <v>464602.02962181612</v>
      </c>
      <c r="AP73" s="300">
        <v>47</v>
      </c>
      <c r="AQ73" s="216">
        <f t="shared" ref="AQ73:BI73" si="206">SUM(AQ69:AQ71)</f>
        <v>736056.94828554883</v>
      </c>
      <c r="AR73" s="216">
        <f t="shared" si="206"/>
        <v>1738287.354718595</v>
      </c>
      <c r="AS73" s="216">
        <f t="shared" si="206"/>
        <v>844223.75075829774</v>
      </c>
      <c r="AT73" s="216">
        <f t="shared" si="206"/>
        <v>1960220.1449575219</v>
      </c>
      <c r="AU73" s="216">
        <f t="shared" si="206"/>
        <v>927632.04115675855</v>
      </c>
      <c r="AV73" s="216">
        <f t="shared" si="206"/>
        <v>2156976.3001449243</v>
      </c>
      <c r="AW73" s="216">
        <f t="shared" si="206"/>
        <v>977807.1451536346</v>
      </c>
      <c r="AX73" s="216">
        <f t="shared" si="206"/>
        <v>2149990.0907657407</v>
      </c>
      <c r="AY73" s="221">
        <f t="shared" si="206"/>
        <v>11491193.775941022</v>
      </c>
      <c r="AZ73" s="218">
        <f t="shared" si="206"/>
        <v>0</v>
      </c>
      <c r="BA73" s="216">
        <f t="shared" si="206"/>
        <v>1493432.9867955025</v>
      </c>
      <c r="BB73" s="216">
        <f t="shared" si="206"/>
        <v>0</v>
      </c>
      <c r="BC73" s="216">
        <f t="shared" si="206"/>
        <v>1330484.7917909287</v>
      </c>
      <c r="BD73" s="216">
        <f t="shared" si="206"/>
        <v>0</v>
      </c>
      <c r="BE73" s="216">
        <f t="shared" si="206"/>
        <v>1591815.9666676642</v>
      </c>
      <c r="BF73" s="216">
        <f t="shared" si="206"/>
        <v>0</v>
      </c>
      <c r="BG73" s="216">
        <f t="shared" si="206"/>
        <v>1542555.8532707316</v>
      </c>
      <c r="BH73" s="219">
        <f t="shared" si="206"/>
        <v>5958289.5985248266</v>
      </c>
      <c r="BI73" s="218">
        <f t="shared" si="206"/>
        <v>17449483.374465849</v>
      </c>
      <c r="BJ73" s="300">
        <v>47</v>
      </c>
      <c r="BK73" s="216">
        <f t="shared" ref="BK73:CC73" si="207">SUM(BK69:BK71)</f>
        <v>15684.776687795058</v>
      </c>
      <c r="BL73" s="216">
        <f t="shared" si="207"/>
        <v>179990.42841376379</v>
      </c>
      <c r="BM73" s="216">
        <f t="shared" si="207"/>
        <v>16023.629979176952</v>
      </c>
      <c r="BN73" s="216">
        <f t="shared" si="207"/>
        <v>183454.06058728401</v>
      </c>
      <c r="BO73" s="216">
        <f t="shared" si="207"/>
        <v>16831.717174984526</v>
      </c>
      <c r="BP73" s="216">
        <f t="shared" si="207"/>
        <v>186489.19114601385</v>
      </c>
      <c r="BQ73" s="216">
        <f t="shared" si="207"/>
        <v>17794.313895507254</v>
      </c>
      <c r="BR73" s="216">
        <f t="shared" si="207"/>
        <v>186455.90107328797</v>
      </c>
      <c r="BS73" s="221">
        <f t="shared" si="207"/>
        <v>802724.01895781339</v>
      </c>
      <c r="BT73" s="218">
        <f t="shared" si="207"/>
        <v>0</v>
      </c>
      <c r="BU73" s="216">
        <f t="shared" si="207"/>
        <v>58377.472759423697</v>
      </c>
      <c r="BV73" s="216">
        <f t="shared" si="207"/>
        <v>0</v>
      </c>
      <c r="BW73" s="216">
        <f t="shared" si="207"/>
        <v>55866.143693405145</v>
      </c>
      <c r="BX73" s="216">
        <f t="shared" si="207"/>
        <v>0</v>
      </c>
      <c r="BY73" s="216">
        <f t="shared" si="207"/>
        <v>62613.578335698534</v>
      </c>
      <c r="BZ73" s="216">
        <f t="shared" si="207"/>
        <v>0</v>
      </c>
      <c r="CA73" s="216">
        <f t="shared" si="207"/>
        <v>68212.528665092497</v>
      </c>
      <c r="CB73" s="219">
        <f t="shared" si="207"/>
        <v>245069.72345361987</v>
      </c>
      <c r="CC73" s="218">
        <f t="shared" si="207"/>
        <v>1047793.7424114333</v>
      </c>
      <c r="CD73" s="300">
        <v>47</v>
      </c>
      <c r="CE73" s="219">
        <f>SUM(CE69:CE71)</f>
        <v>2848833.7275411277</v>
      </c>
      <c r="CF73" s="219">
        <f>SUM(CF69:CF71)</f>
        <v>3198082.7181142559</v>
      </c>
      <c r="CG73" s="219">
        <f>SUM(CG69:CG71)</f>
        <v>3497029.7498793607</v>
      </c>
      <c r="CH73" s="219">
        <f>SUM(CH69:CH71)</f>
        <v>3537694.9639333077</v>
      </c>
      <c r="CI73" s="216">
        <f>SUM(BS73,AY73,AE73,K73)</f>
        <v>13081641.159468051</v>
      </c>
      <c r="CJ73" s="219">
        <f>SUM(CJ69:CJ71)</f>
        <v>1813642.7470271657</v>
      </c>
      <c r="CK73" s="219">
        <f>SUM(CK69:CK71)</f>
        <v>1637683.8654410597</v>
      </c>
      <c r="CL73" s="219">
        <f>SUM(CL69:CL71)</f>
        <v>1938495.8586128275</v>
      </c>
      <c r="CM73" s="219">
        <f>SUM(CM69:CM71)</f>
        <v>1884298.5407667744</v>
      </c>
      <c r="CN73" s="216">
        <f>SUM(BX73,BD73,AJ73,P73)</f>
        <v>0</v>
      </c>
      <c r="CO73" s="219">
        <f>SUM(CO69:CO71)</f>
        <v>4662476.4745682944</v>
      </c>
      <c r="CP73" s="219">
        <f>SUM(CP69:CP71)</f>
        <v>4835766.5835553147</v>
      </c>
      <c r="CQ73" s="219">
        <f>SUM(CQ69:CQ71)</f>
        <v>5435525.6084921882</v>
      </c>
      <c r="CR73" s="219">
        <f>SUM(CR69:CR71)</f>
        <v>5421993.5047000833</v>
      </c>
      <c r="CS73" s="216">
        <f>SUM(CC73,BI73,AO73,U73)</f>
        <v>20355762.171315882</v>
      </c>
    </row>
    <row r="74" spans="1:100" ht="15.75" customHeight="1">
      <c r="A74" s="136"/>
      <c r="B74" s="300"/>
      <c r="C74" s="104"/>
      <c r="D74" s="104"/>
      <c r="E74" s="104"/>
      <c r="F74" s="104"/>
      <c r="G74" s="104"/>
      <c r="H74" s="104"/>
      <c r="I74" s="104"/>
      <c r="J74" s="104"/>
      <c r="K74" s="375"/>
      <c r="L74" s="376"/>
      <c r="M74" s="104"/>
      <c r="N74" s="104"/>
      <c r="O74" s="104"/>
      <c r="P74" s="104"/>
      <c r="Q74" s="104"/>
      <c r="R74" s="104"/>
      <c r="S74" s="104"/>
      <c r="T74" s="104"/>
      <c r="U74" s="377"/>
      <c r="V74" s="300"/>
      <c r="W74" s="104"/>
      <c r="X74" s="104"/>
      <c r="Y74" s="104"/>
      <c r="Z74" s="104"/>
      <c r="AA74" s="104"/>
      <c r="AB74" s="104"/>
      <c r="AC74" s="104"/>
      <c r="AD74" s="104"/>
      <c r="AE74" s="375"/>
      <c r="AF74" s="376"/>
      <c r="AG74" s="104"/>
      <c r="AH74" s="104"/>
      <c r="AI74" s="104"/>
      <c r="AJ74" s="104"/>
      <c r="AK74" s="104"/>
      <c r="AL74" s="104"/>
      <c r="AM74" s="104"/>
      <c r="AN74" s="104"/>
      <c r="AO74" s="377"/>
      <c r="AP74" s="300"/>
      <c r="AQ74" s="104"/>
      <c r="AR74" s="104"/>
      <c r="AS74" s="104"/>
      <c r="AT74" s="104"/>
      <c r="AU74" s="104"/>
      <c r="AV74" s="104"/>
      <c r="AW74" s="104"/>
      <c r="AX74" s="104"/>
      <c r="AY74" s="375"/>
      <c r="AZ74" s="376"/>
      <c r="BA74" s="104"/>
      <c r="BB74" s="104"/>
      <c r="BC74" s="104"/>
      <c r="BD74" s="104"/>
      <c r="BE74" s="104"/>
      <c r="BF74" s="104"/>
      <c r="BG74" s="104"/>
      <c r="BH74" s="104"/>
      <c r="BI74" s="377"/>
      <c r="BJ74" s="300"/>
      <c r="BK74" s="104"/>
      <c r="BL74" s="104"/>
      <c r="BM74" s="104"/>
      <c r="BN74" s="104"/>
      <c r="BO74" s="104"/>
      <c r="BP74" s="104"/>
      <c r="BQ74" s="104"/>
      <c r="BR74" s="104"/>
      <c r="BS74" s="375"/>
      <c r="BT74" s="376"/>
      <c r="BU74" s="104"/>
      <c r="BV74" s="104"/>
      <c r="BW74" s="104"/>
      <c r="BX74" s="104"/>
      <c r="BY74" s="104"/>
      <c r="BZ74" s="104"/>
      <c r="CA74" s="104"/>
      <c r="CB74" s="104"/>
      <c r="CC74" s="377"/>
      <c r="CD74" s="300"/>
      <c r="CE74" s="178"/>
      <c r="CF74" s="178"/>
      <c r="CG74" s="178"/>
      <c r="CH74" s="178"/>
      <c r="CI74" s="419"/>
      <c r="CJ74" s="178"/>
      <c r="CK74" s="178"/>
      <c r="CL74" s="178"/>
      <c r="CM74" s="178"/>
      <c r="CN74" s="419"/>
      <c r="CO74" s="178"/>
      <c r="CP74" s="178"/>
      <c r="CQ74" s="178"/>
      <c r="CR74" s="178"/>
      <c r="CS74" s="419"/>
    </row>
    <row r="75" spans="1:100"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00" s="318" customFormat="1" ht="15.75" customHeight="1">
      <c r="A76" s="88" t="s">
        <v>244</v>
      </c>
      <c r="B76" s="300">
        <v>48</v>
      </c>
      <c r="C76" s="585">
        <f>SUM('Schedule 3B_Income_Eastern:Schedule 3D_Income_The Cape'!C76)</f>
        <v>0</v>
      </c>
      <c r="D76" s="585">
        <f>SUM('Schedule 3B_Income_Eastern:Schedule 3D_Income_The Cape'!D76)</f>
        <v>0</v>
      </c>
      <c r="E76" s="585">
        <f>SUM('Schedule 3B_Income_Eastern:Schedule 3D_Income_The Cape'!E76)</f>
        <v>0</v>
      </c>
      <c r="F76" s="585">
        <f>SUM('Schedule 3B_Income_Eastern:Schedule 3D_Income_The Cape'!F76)</f>
        <v>0</v>
      </c>
      <c r="G76" s="585">
        <f>SUM('Schedule 3B_Income_Eastern:Schedule 3D_Income_The Cape'!G76)</f>
        <v>0</v>
      </c>
      <c r="H76" s="585">
        <f>SUM('Schedule 3B_Income_Eastern:Schedule 3D_Income_The Cape'!H76)</f>
        <v>0</v>
      </c>
      <c r="I76" s="585">
        <f>SUM('Schedule 3B_Income_Eastern:Schedule 3D_Income_The Cape'!I76)</f>
        <v>0</v>
      </c>
      <c r="J76" s="585">
        <f>SUM('Schedule 3B_Income_Eastern:Schedule 3D_Income_The Cape'!J76)</f>
        <v>0</v>
      </c>
      <c r="K76" s="586">
        <f t="shared" ref="K76:K86" si="208">SUM(C76:J76)</f>
        <v>0</v>
      </c>
      <c r="L76" s="587">
        <f>SUM('Schedule 3B_Income_Eastern:Schedule 3D_Income_The Cape'!L76)</f>
        <v>0</v>
      </c>
      <c r="M76" s="585">
        <f>SUM('Schedule 3B_Income_Eastern:Schedule 3D_Income_The Cape'!M76)</f>
        <v>0</v>
      </c>
      <c r="N76" s="585">
        <f>SUM('Schedule 3B_Income_Eastern:Schedule 3D_Income_The Cape'!N76)</f>
        <v>0</v>
      </c>
      <c r="O76" s="585">
        <f>SUM('Schedule 3B_Income_Eastern:Schedule 3D_Income_The Cape'!O76)</f>
        <v>0</v>
      </c>
      <c r="P76" s="585">
        <f>SUM('Schedule 3B_Income_Eastern:Schedule 3D_Income_The Cape'!P76)</f>
        <v>0</v>
      </c>
      <c r="Q76" s="585">
        <f>SUM('Schedule 3B_Income_Eastern:Schedule 3D_Income_The Cape'!Q76)</f>
        <v>0</v>
      </c>
      <c r="R76" s="585">
        <f>SUM('Schedule 3B_Income_Eastern:Schedule 3D_Income_The Cape'!R76)</f>
        <v>0</v>
      </c>
      <c r="S76" s="585">
        <f>SUM('Schedule 3B_Income_Eastern:Schedule 3D_Income_The Cape'!S76)</f>
        <v>0</v>
      </c>
      <c r="T76" s="588">
        <f t="shared" ref="T76:T86" si="209">SUM(L76:S76)</f>
        <v>0</v>
      </c>
      <c r="U76" s="589">
        <f t="shared" ref="U76:U86" si="210">SUM(T76,K76)</f>
        <v>0</v>
      </c>
      <c r="V76" s="300">
        <v>48</v>
      </c>
      <c r="W76" s="585">
        <f>SUM('Schedule 3B_Income_Eastern:Schedule 3D_Income_The Cape'!W76)</f>
        <v>0</v>
      </c>
      <c r="X76" s="585">
        <f>SUM('Schedule 3B_Income_Eastern:Schedule 3D_Income_The Cape'!X76)</f>
        <v>0</v>
      </c>
      <c r="Y76" s="585">
        <f>SUM('Schedule 3B_Income_Eastern:Schedule 3D_Income_The Cape'!Y76)</f>
        <v>0</v>
      </c>
      <c r="Z76" s="585">
        <f>SUM('Schedule 3B_Income_Eastern:Schedule 3D_Income_The Cape'!Z76)</f>
        <v>0</v>
      </c>
      <c r="AA76" s="585">
        <f>SUM('Schedule 3B_Income_Eastern:Schedule 3D_Income_The Cape'!AA76)</f>
        <v>0</v>
      </c>
      <c r="AB76" s="585">
        <f>SUM('Schedule 3B_Income_Eastern:Schedule 3D_Income_The Cape'!AB76)</f>
        <v>0</v>
      </c>
      <c r="AC76" s="585">
        <f>SUM('Schedule 3B_Income_Eastern:Schedule 3D_Income_The Cape'!AC76)</f>
        <v>0</v>
      </c>
      <c r="AD76" s="585">
        <f>SUM('Schedule 3B_Income_Eastern:Schedule 3D_Income_The Cape'!AD76)</f>
        <v>0</v>
      </c>
      <c r="AE76" s="586">
        <f t="shared" ref="AE76:AE86" si="211">SUM(W76:AD76)</f>
        <v>0</v>
      </c>
      <c r="AF76" s="587">
        <f>SUM('Schedule 3B_Income_Eastern:Schedule 3D_Income_The Cape'!AF76)</f>
        <v>0</v>
      </c>
      <c r="AG76" s="585">
        <f>SUM('Schedule 3B_Income_Eastern:Schedule 3D_Income_The Cape'!AG76)</f>
        <v>0</v>
      </c>
      <c r="AH76" s="585">
        <f>SUM('Schedule 3B_Income_Eastern:Schedule 3D_Income_The Cape'!AH76)</f>
        <v>0</v>
      </c>
      <c r="AI76" s="585">
        <f>SUM('Schedule 3B_Income_Eastern:Schedule 3D_Income_The Cape'!AI76)</f>
        <v>0</v>
      </c>
      <c r="AJ76" s="585">
        <f>SUM('Schedule 3B_Income_Eastern:Schedule 3D_Income_The Cape'!AJ76)</f>
        <v>0</v>
      </c>
      <c r="AK76" s="585">
        <f>SUM('Schedule 3B_Income_Eastern:Schedule 3D_Income_The Cape'!AK76)</f>
        <v>0</v>
      </c>
      <c r="AL76" s="585">
        <f>SUM('Schedule 3B_Income_Eastern:Schedule 3D_Income_The Cape'!AL76)</f>
        <v>0</v>
      </c>
      <c r="AM76" s="585">
        <f>SUM('Schedule 3B_Income_Eastern:Schedule 3D_Income_The Cape'!AM76)</f>
        <v>0</v>
      </c>
      <c r="AN76" s="588">
        <f t="shared" ref="AN76:AN86" si="212">SUM(AF76:AM76)</f>
        <v>0</v>
      </c>
      <c r="AO76" s="589">
        <f t="shared" ref="AO76:AO86" si="213">SUM(AN76,AE76)</f>
        <v>0</v>
      </c>
      <c r="AP76" s="300">
        <v>48</v>
      </c>
      <c r="AQ76" s="585">
        <f>SUM('Schedule 3B_Income_Eastern:Schedule 3D_Income_The Cape'!AQ76)</f>
        <v>0</v>
      </c>
      <c r="AR76" s="585">
        <f>SUM('Schedule 3B_Income_Eastern:Schedule 3D_Income_The Cape'!AR76)</f>
        <v>0</v>
      </c>
      <c r="AS76" s="585">
        <f>SUM('Schedule 3B_Income_Eastern:Schedule 3D_Income_The Cape'!AS76)</f>
        <v>0</v>
      </c>
      <c r="AT76" s="585">
        <f>SUM('Schedule 3B_Income_Eastern:Schedule 3D_Income_The Cape'!AT76)</f>
        <v>0</v>
      </c>
      <c r="AU76" s="585">
        <f>SUM('Schedule 3B_Income_Eastern:Schedule 3D_Income_The Cape'!AU76)</f>
        <v>0</v>
      </c>
      <c r="AV76" s="585">
        <f>SUM('Schedule 3B_Income_Eastern:Schedule 3D_Income_The Cape'!AV76)</f>
        <v>0</v>
      </c>
      <c r="AW76" s="585">
        <f>SUM('Schedule 3B_Income_Eastern:Schedule 3D_Income_The Cape'!AW76)</f>
        <v>0</v>
      </c>
      <c r="AX76" s="585">
        <f>SUM('Schedule 3B_Income_Eastern:Schedule 3D_Income_The Cape'!AX76)</f>
        <v>0</v>
      </c>
      <c r="AY76" s="586">
        <f t="shared" ref="AY76:AY86" si="214">SUM(AQ76:AX76)</f>
        <v>0</v>
      </c>
      <c r="AZ76" s="587">
        <f>SUM('Schedule 3B_Income_Eastern:Schedule 3D_Income_The Cape'!AZ76)</f>
        <v>0</v>
      </c>
      <c r="BA76" s="585">
        <f>SUM('Schedule 3B_Income_Eastern:Schedule 3D_Income_The Cape'!BA76)</f>
        <v>0</v>
      </c>
      <c r="BB76" s="585">
        <f>SUM('Schedule 3B_Income_Eastern:Schedule 3D_Income_The Cape'!BB76)</f>
        <v>0</v>
      </c>
      <c r="BC76" s="585">
        <f>SUM('Schedule 3B_Income_Eastern:Schedule 3D_Income_The Cape'!BC76)</f>
        <v>0</v>
      </c>
      <c r="BD76" s="585">
        <f>SUM('Schedule 3B_Income_Eastern:Schedule 3D_Income_The Cape'!BD76)</f>
        <v>0</v>
      </c>
      <c r="BE76" s="585">
        <f>SUM('Schedule 3B_Income_Eastern:Schedule 3D_Income_The Cape'!BE76)</f>
        <v>0</v>
      </c>
      <c r="BF76" s="585">
        <f>SUM('Schedule 3B_Income_Eastern:Schedule 3D_Income_The Cape'!BF76)</f>
        <v>0</v>
      </c>
      <c r="BG76" s="585">
        <f>SUM('Schedule 3B_Income_Eastern:Schedule 3D_Income_The Cape'!BG76)</f>
        <v>0</v>
      </c>
      <c r="BH76" s="588">
        <f t="shared" ref="BH76:BH86" si="215">SUM(AZ76:BG76)</f>
        <v>0</v>
      </c>
      <c r="BI76" s="589">
        <f t="shared" ref="BI76:BI86" si="216">SUM(BH76,AY76)</f>
        <v>0</v>
      </c>
      <c r="BJ76" s="300">
        <v>48</v>
      </c>
      <c r="BK76" s="585">
        <f>SUM('Schedule 3B_Income_Eastern:Schedule 3D_Income_The Cape'!BK76)</f>
        <v>0</v>
      </c>
      <c r="BL76" s="585">
        <f>SUM('Schedule 3B_Income_Eastern:Schedule 3D_Income_The Cape'!BL76)</f>
        <v>0</v>
      </c>
      <c r="BM76" s="585">
        <f>SUM('Schedule 3B_Income_Eastern:Schedule 3D_Income_The Cape'!BM76)</f>
        <v>0</v>
      </c>
      <c r="BN76" s="585">
        <f>SUM('Schedule 3B_Income_Eastern:Schedule 3D_Income_The Cape'!BN76)</f>
        <v>0</v>
      </c>
      <c r="BO76" s="585">
        <f>SUM('Schedule 3B_Income_Eastern:Schedule 3D_Income_The Cape'!BO76)</f>
        <v>0</v>
      </c>
      <c r="BP76" s="585">
        <f>SUM('Schedule 3B_Income_Eastern:Schedule 3D_Income_The Cape'!BP76)</f>
        <v>0</v>
      </c>
      <c r="BQ76" s="585">
        <f>SUM('Schedule 3B_Income_Eastern:Schedule 3D_Income_The Cape'!BQ76)</f>
        <v>0</v>
      </c>
      <c r="BR76" s="585">
        <f>SUM('Schedule 3B_Income_Eastern:Schedule 3D_Income_The Cape'!BR76)</f>
        <v>0</v>
      </c>
      <c r="BS76" s="586">
        <f t="shared" ref="BS76:BS86" si="217">SUM(BK76:BR76)</f>
        <v>0</v>
      </c>
      <c r="BT76" s="587">
        <f>SUM('Schedule 3B_Income_Eastern:Schedule 3D_Income_The Cape'!BT76)</f>
        <v>0</v>
      </c>
      <c r="BU76" s="585">
        <f>SUM('Schedule 3B_Income_Eastern:Schedule 3D_Income_The Cape'!BU76)</f>
        <v>0</v>
      </c>
      <c r="BV76" s="585">
        <f>SUM('Schedule 3B_Income_Eastern:Schedule 3D_Income_The Cape'!BV76)</f>
        <v>0</v>
      </c>
      <c r="BW76" s="585">
        <f>SUM('Schedule 3B_Income_Eastern:Schedule 3D_Income_The Cape'!BW76)</f>
        <v>0</v>
      </c>
      <c r="BX76" s="585">
        <f>SUM('Schedule 3B_Income_Eastern:Schedule 3D_Income_The Cape'!BX76)</f>
        <v>0</v>
      </c>
      <c r="BY76" s="585">
        <f>SUM('Schedule 3B_Income_Eastern:Schedule 3D_Income_The Cape'!BY76)</f>
        <v>0</v>
      </c>
      <c r="BZ76" s="585">
        <f>SUM('Schedule 3B_Income_Eastern:Schedule 3D_Income_The Cape'!BZ76)</f>
        <v>0</v>
      </c>
      <c r="CA76" s="585">
        <f>SUM('Schedule 3B_Income_Eastern:Schedule 3D_Income_The Cape'!CA76)</f>
        <v>0</v>
      </c>
      <c r="CB76" s="588">
        <f t="shared" ref="CB76:CB86" si="218">SUM(BT76:CA76)</f>
        <v>0</v>
      </c>
      <c r="CC76" s="589">
        <f t="shared" ref="CC76:CC86" si="219">SUM(CB76,BS76)</f>
        <v>0</v>
      </c>
      <c r="CD76" s="300">
        <v>48</v>
      </c>
      <c r="CE76" s="414">
        <f t="shared" ref="CE76:CE86" si="220">+C76+D76+W76+X76+AQ76+AR76+BK76+BL76</f>
        <v>0</v>
      </c>
      <c r="CF76" s="414">
        <f t="shared" ref="CF76:CF86" si="221">+E76+F76+Y76+Z76+AS76+AT76+BM76+BN76</f>
        <v>0</v>
      </c>
      <c r="CG76" s="414">
        <f t="shared" ref="CG76:CG86" si="222">+G76+H76+AA76+AB76+AU76+AV76+BO76+BP76</f>
        <v>0</v>
      </c>
      <c r="CH76" s="414">
        <f t="shared" ref="CH76:CH86" si="223">+I76+J76+AC76+AD76+AW76+AX76+BQ76+BR76</f>
        <v>0</v>
      </c>
      <c r="CI76" s="416">
        <f t="shared" ref="CI76:CI86" si="224">SUM(K76,AE76,AY76,BS76)</f>
        <v>0</v>
      </c>
      <c r="CJ76" s="414">
        <f t="shared" ref="CJ76:CJ86" si="225">L76+M76+AF76+AG76+AZ76+BA76+BT76+BU76</f>
        <v>0</v>
      </c>
      <c r="CK76" s="414">
        <f t="shared" ref="CK76:CK86" si="226">N76+O76+AH76+AI76+BB76+BC76+BV76+BW76</f>
        <v>0</v>
      </c>
      <c r="CL76" s="414">
        <f t="shared" ref="CL76:CL86" si="227">P76+Q76+AJ76+AK76+BD76+BE76+BX76+BY76</f>
        <v>0</v>
      </c>
      <c r="CM76" s="414">
        <f t="shared" ref="CM76:CM86" si="228">+R76+S76+AL76+AM76+BF76+BG76+BZ76+CA76</f>
        <v>0</v>
      </c>
      <c r="CN76" s="416">
        <f t="shared" ref="CN76:CN86" si="229">SUM(T76,AN76,BH76,CB76)</f>
        <v>0</v>
      </c>
      <c r="CO76" s="414">
        <f t="shared" ref="CO76:CO86" si="230">+C76+D76+L76+M76+W76+X76+AF76+AG76+AQ76+AR76+AZ76+BA76+BK76+BL76+BT76+BU76</f>
        <v>0</v>
      </c>
      <c r="CP76" s="414">
        <f t="shared" ref="CP76:CP86" si="231">+E76+F76+N76+O76+Y76+Z76+AH76+AI76+AS76+AT76+BB76+BC76+BM76+BN76+BV76+BW76</f>
        <v>0</v>
      </c>
      <c r="CQ76" s="414">
        <f t="shared" ref="CQ76:CQ86" si="232">+G76+H76+P76+Q76+AA76+AB76+AJ76+AK76+AU76+AV76+BD76+BE76+BO76+BP76+BX76+BY76</f>
        <v>0</v>
      </c>
      <c r="CR76" s="414">
        <f t="shared" ref="CR76:CR86" si="233">+I76+J76+R76+S76+AC76+AD76+AL76+AM76+AW76+AX76+BF76+BG76+BQ76+BR76+BZ76+CA76</f>
        <v>0</v>
      </c>
      <c r="CS76" s="416">
        <f t="shared" ref="CS76:CS86" si="234">SUM(CC76,BI76,AO76,U76)</f>
        <v>0</v>
      </c>
    </row>
    <row r="77" spans="1:100" ht="15.75" customHeight="1">
      <c r="A77" s="88" t="s">
        <v>246</v>
      </c>
      <c r="B77" s="300">
        <v>49</v>
      </c>
      <c r="C77" s="585">
        <f>SUM('Schedule 3B_Income_Eastern:Schedule 3D_Income_The Cape'!C77)</f>
        <v>0</v>
      </c>
      <c r="D77" s="585">
        <f>SUM('Schedule 3B_Income_Eastern:Schedule 3D_Income_The Cape'!D77)</f>
        <v>0</v>
      </c>
      <c r="E77" s="585">
        <f>SUM('Schedule 3B_Income_Eastern:Schedule 3D_Income_The Cape'!E77)</f>
        <v>0</v>
      </c>
      <c r="F77" s="585">
        <f>SUM('Schedule 3B_Income_Eastern:Schedule 3D_Income_The Cape'!F77)</f>
        <v>0</v>
      </c>
      <c r="G77" s="585">
        <f>SUM('Schedule 3B_Income_Eastern:Schedule 3D_Income_The Cape'!G77)</f>
        <v>0</v>
      </c>
      <c r="H77" s="585">
        <f>SUM('Schedule 3B_Income_Eastern:Schedule 3D_Income_The Cape'!H77)</f>
        <v>0</v>
      </c>
      <c r="I77" s="585">
        <f>SUM('Schedule 3B_Income_Eastern:Schedule 3D_Income_The Cape'!I77)</f>
        <v>0</v>
      </c>
      <c r="J77" s="585">
        <f>SUM('Schedule 3B_Income_Eastern:Schedule 3D_Income_The Cape'!J77)</f>
        <v>0</v>
      </c>
      <c r="K77" s="586">
        <f t="shared" si="208"/>
        <v>0</v>
      </c>
      <c r="L77" s="587">
        <f>SUM('Schedule 3B_Income_Eastern:Schedule 3D_Income_The Cape'!L77)</f>
        <v>0</v>
      </c>
      <c r="M77" s="585">
        <f>SUM('Schedule 3B_Income_Eastern:Schedule 3D_Income_The Cape'!M77)</f>
        <v>0</v>
      </c>
      <c r="N77" s="585">
        <f>SUM('Schedule 3B_Income_Eastern:Schedule 3D_Income_The Cape'!N77)</f>
        <v>0</v>
      </c>
      <c r="O77" s="585">
        <f>SUM('Schedule 3B_Income_Eastern:Schedule 3D_Income_The Cape'!O77)</f>
        <v>0</v>
      </c>
      <c r="P77" s="585">
        <f>SUM('Schedule 3B_Income_Eastern:Schedule 3D_Income_The Cape'!P77)</f>
        <v>0</v>
      </c>
      <c r="Q77" s="585">
        <f>SUM('Schedule 3B_Income_Eastern:Schedule 3D_Income_The Cape'!Q77)</f>
        <v>0</v>
      </c>
      <c r="R77" s="585">
        <f>SUM('Schedule 3B_Income_Eastern:Schedule 3D_Income_The Cape'!R77)</f>
        <v>0</v>
      </c>
      <c r="S77" s="585">
        <f>SUM('Schedule 3B_Income_Eastern:Schedule 3D_Income_The Cape'!S77)</f>
        <v>0</v>
      </c>
      <c r="T77" s="588">
        <f t="shared" si="209"/>
        <v>0</v>
      </c>
      <c r="U77" s="589">
        <f t="shared" si="210"/>
        <v>0</v>
      </c>
      <c r="V77" s="300">
        <v>49</v>
      </c>
      <c r="W77" s="585">
        <f>SUM('Schedule 3B_Income_Eastern:Schedule 3D_Income_The Cape'!W77)</f>
        <v>0</v>
      </c>
      <c r="X77" s="585">
        <f>SUM('Schedule 3B_Income_Eastern:Schedule 3D_Income_The Cape'!X77)</f>
        <v>0</v>
      </c>
      <c r="Y77" s="585">
        <f>SUM('Schedule 3B_Income_Eastern:Schedule 3D_Income_The Cape'!Y77)</f>
        <v>0</v>
      </c>
      <c r="Z77" s="585">
        <f>SUM('Schedule 3B_Income_Eastern:Schedule 3D_Income_The Cape'!Z77)</f>
        <v>0</v>
      </c>
      <c r="AA77" s="585">
        <f>SUM('Schedule 3B_Income_Eastern:Schedule 3D_Income_The Cape'!AA77)</f>
        <v>0</v>
      </c>
      <c r="AB77" s="585">
        <f>SUM('Schedule 3B_Income_Eastern:Schedule 3D_Income_The Cape'!AB77)</f>
        <v>0</v>
      </c>
      <c r="AC77" s="585">
        <f>SUM('Schedule 3B_Income_Eastern:Schedule 3D_Income_The Cape'!AC77)</f>
        <v>0</v>
      </c>
      <c r="AD77" s="585">
        <f>SUM('Schedule 3B_Income_Eastern:Schedule 3D_Income_The Cape'!AD77)</f>
        <v>0</v>
      </c>
      <c r="AE77" s="586">
        <f t="shared" si="211"/>
        <v>0</v>
      </c>
      <c r="AF77" s="587">
        <f>SUM('Schedule 3B_Income_Eastern:Schedule 3D_Income_The Cape'!AF77)</f>
        <v>0</v>
      </c>
      <c r="AG77" s="585">
        <f>SUM('Schedule 3B_Income_Eastern:Schedule 3D_Income_The Cape'!AG77)</f>
        <v>0</v>
      </c>
      <c r="AH77" s="585">
        <f>SUM('Schedule 3B_Income_Eastern:Schedule 3D_Income_The Cape'!AH77)</f>
        <v>0</v>
      </c>
      <c r="AI77" s="585">
        <f>SUM('Schedule 3B_Income_Eastern:Schedule 3D_Income_The Cape'!AI77)</f>
        <v>0</v>
      </c>
      <c r="AJ77" s="585">
        <f>SUM('Schedule 3B_Income_Eastern:Schedule 3D_Income_The Cape'!AJ77)</f>
        <v>0</v>
      </c>
      <c r="AK77" s="585">
        <f>SUM('Schedule 3B_Income_Eastern:Schedule 3D_Income_The Cape'!AK77)</f>
        <v>0</v>
      </c>
      <c r="AL77" s="585">
        <f>SUM('Schedule 3B_Income_Eastern:Schedule 3D_Income_The Cape'!AL77)</f>
        <v>0</v>
      </c>
      <c r="AM77" s="585">
        <f>SUM('Schedule 3B_Income_Eastern:Schedule 3D_Income_The Cape'!AM77)</f>
        <v>0</v>
      </c>
      <c r="AN77" s="588">
        <f t="shared" si="212"/>
        <v>0</v>
      </c>
      <c r="AO77" s="589">
        <f t="shared" si="213"/>
        <v>0</v>
      </c>
      <c r="AP77" s="300">
        <v>49</v>
      </c>
      <c r="AQ77" s="585">
        <f>SUM('Schedule 3B_Income_Eastern:Schedule 3D_Income_The Cape'!AQ77)</f>
        <v>0</v>
      </c>
      <c r="AR77" s="585">
        <f>SUM('Schedule 3B_Income_Eastern:Schedule 3D_Income_The Cape'!AR77)</f>
        <v>0</v>
      </c>
      <c r="AS77" s="585">
        <f>SUM('Schedule 3B_Income_Eastern:Schedule 3D_Income_The Cape'!AS77)</f>
        <v>0</v>
      </c>
      <c r="AT77" s="585">
        <f>SUM('Schedule 3B_Income_Eastern:Schedule 3D_Income_The Cape'!AT77)</f>
        <v>0</v>
      </c>
      <c r="AU77" s="585">
        <f>SUM('Schedule 3B_Income_Eastern:Schedule 3D_Income_The Cape'!AU77)</f>
        <v>0</v>
      </c>
      <c r="AV77" s="585">
        <f>SUM('Schedule 3B_Income_Eastern:Schedule 3D_Income_The Cape'!AV77)</f>
        <v>0</v>
      </c>
      <c r="AW77" s="585">
        <f>SUM('Schedule 3B_Income_Eastern:Schedule 3D_Income_The Cape'!AW77)</f>
        <v>0</v>
      </c>
      <c r="AX77" s="585">
        <f>SUM('Schedule 3B_Income_Eastern:Schedule 3D_Income_The Cape'!AX77)</f>
        <v>0</v>
      </c>
      <c r="AY77" s="586">
        <f t="shared" si="214"/>
        <v>0</v>
      </c>
      <c r="AZ77" s="587">
        <f>SUM('Schedule 3B_Income_Eastern:Schedule 3D_Income_The Cape'!AZ77)</f>
        <v>0</v>
      </c>
      <c r="BA77" s="585">
        <f>SUM('Schedule 3B_Income_Eastern:Schedule 3D_Income_The Cape'!BA77)</f>
        <v>0</v>
      </c>
      <c r="BB77" s="585">
        <f>SUM('Schedule 3B_Income_Eastern:Schedule 3D_Income_The Cape'!BB77)</f>
        <v>0</v>
      </c>
      <c r="BC77" s="585">
        <f>SUM('Schedule 3B_Income_Eastern:Schedule 3D_Income_The Cape'!BC77)</f>
        <v>0</v>
      </c>
      <c r="BD77" s="585">
        <f>SUM('Schedule 3B_Income_Eastern:Schedule 3D_Income_The Cape'!BD77)</f>
        <v>0</v>
      </c>
      <c r="BE77" s="585">
        <f>SUM('Schedule 3B_Income_Eastern:Schedule 3D_Income_The Cape'!BE77)</f>
        <v>0</v>
      </c>
      <c r="BF77" s="585">
        <f>SUM('Schedule 3B_Income_Eastern:Schedule 3D_Income_The Cape'!BF77)</f>
        <v>0</v>
      </c>
      <c r="BG77" s="585">
        <f>SUM('Schedule 3B_Income_Eastern:Schedule 3D_Income_The Cape'!BG77)</f>
        <v>0</v>
      </c>
      <c r="BH77" s="588">
        <f t="shared" si="215"/>
        <v>0</v>
      </c>
      <c r="BI77" s="589">
        <f t="shared" si="216"/>
        <v>0</v>
      </c>
      <c r="BJ77" s="300">
        <v>49</v>
      </c>
      <c r="BK77" s="585">
        <f>SUM('Schedule 3B_Income_Eastern:Schedule 3D_Income_The Cape'!BK77)</f>
        <v>0</v>
      </c>
      <c r="BL77" s="585">
        <f>SUM('Schedule 3B_Income_Eastern:Schedule 3D_Income_The Cape'!BL77)</f>
        <v>0</v>
      </c>
      <c r="BM77" s="585">
        <f>SUM('Schedule 3B_Income_Eastern:Schedule 3D_Income_The Cape'!BM77)</f>
        <v>0</v>
      </c>
      <c r="BN77" s="585">
        <f>SUM('Schedule 3B_Income_Eastern:Schedule 3D_Income_The Cape'!BN77)</f>
        <v>0</v>
      </c>
      <c r="BO77" s="585">
        <f>SUM('Schedule 3B_Income_Eastern:Schedule 3D_Income_The Cape'!BO77)</f>
        <v>0</v>
      </c>
      <c r="BP77" s="585">
        <f>SUM('Schedule 3B_Income_Eastern:Schedule 3D_Income_The Cape'!BP77)</f>
        <v>0</v>
      </c>
      <c r="BQ77" s="585">
        <f>SUM('Schedule 3B_Income_Eastern:Schedule 3D_Income_The Cape'!BQ77)</f>
        <v>0</v>
      </c>
      <c r="BR77" s="585">
        <f>SUM('Schedule 3B_Income_Eastern:Schedule 3D_Income_The Cape'!BR77)</f>
        <v>0</v>
      </c>
      <c r="BS77" s="586">
        <f t="shared" si="217"/>
        <v>0</v>
      </c>
      <c r="BT77" s="587">
        <f>SUM('Schedule 3B_Income_Eastern:Schedule 3D_Income_The Cape'!BT77)</f>
        <v>0</v>
      </c>
      <c r="BU77" s="585">
        <f>SUM('Schedule 3B_Income_Eastern:Schedule 3D_Income_The Cape'!BU77)</f>
        <v>0</v>
      </c>
      <c r="BV77" s="585">
        <f>SUM('Schedule 3B_Income_Eastern:Schedule 3D_Income_The Cape'!BV77)</f>
        <v>0</v>
      </c>
      <c r="BW77" s="585">
        <f>SUM('Schedule 3B_Income_Eastern:Schedule 3D_Income_The Cape'!BW77)</f>
        <v>0</v>
      </c>
      <c r="BX77" s="585">
        <f>SUM('Schedule 3B_Income_Eastern:Schedule 3D_Income_The Cape'!BX77)</f>
        <v>0</v>
      </c>
      <c r="BY77" s="585">
        <f>SUM('Schedule 3B_Income_Eastern:Schedule 3D_Income_The Cape'!BY77)</f>
        <v>0</v>
      </c>
      <c r="BZ77" s="585">
        <f>SUM('Schedule 3B_Income_Eastern:Schedule 3D_Income_The Cape'!BZ77)</f>
        <v>0</v>
      </c>
      <c r="CA77" s="585">
        <f>SUM('Schedule 3B_Income_Eastern:Schedule 3D_Income_The Cape'!CA77)</f>
        <v>0</v>
      </c>
      <c r="CB77" s="588">
        <f t="shared" si="218"/>
        <v>0</v>
      </c>
      <c r="CC77" s="589">
        <f t="shared" si="219"/>
        <v>0</v>
      </c>
      <c r="CD77" s="300">
        <v>49</v>
      </c>
      <c r="CE77" s="414">
        <f t="shared" si="220"/>
        <v>0</v>
      </c>
      <c r="CF77" s="414">
        <f t="shared" si="221"/>
        <v>0</v>
      </c>
      <c r="CG77" s="414">
        <f t="shared" si="222"/>
        <v>0</v>
      </c>
      <c r="CH77" s="414">
        <f t="shared" si="223"/>
        <v>0</v>
      </c>
      <c r="CI77" s="416">
        <f t="shared" si="224"/>
        <v>0</v>
      </c>
      <c r="CJ77" s="414">
        <f t="shared" si="225"/>
        <v>0</v>
      </c>
      <c r="CK77" s="414">
        <f t="shared" si="226"/>
        <v>0</v>
      </c>
      <c r="CL77" s="414">
        <f t="shared" si="227"/>
        <v>0</v>
      </c>
      <c r="CM77" s="414">
        <f t="shared" si="228"/>
        <v>0</v>
      </c>
      <c r="CN77" s="416">
        <f t="shared" si="229"/>
        <v>0</v>
      </c>
      <c r="CO77" s="414">
        <f t="shared" si="230"/>
        <v>0</v>
      </c>
      <c r="CP77" s="414">
        <f t="shared" si="231"/>
        <v>0</v>
      </c>
      <c r="CQ77" s="414">
        <f t="shared" si="232"/>
        <v>0</v>
      </c>
      <c r="CR77" s="414">
        <f t="shared" si="233"/>
        <v>0</v>
      </c>
      <c r="CS77" s="416">
        <f t="shared" si="234"/>
        <v>0</v>
      </c>
    </row>
    <row r="78" spans="1:100" ht="15.75" customHeight="1">
      <c r="A78" s="88" t="s">
        <v>248</v>
      </c>
      <c r="B78" s="300">
        <v>50</v>
      </c>
      <c r="C78" s="585">
        <f>SUM('Schedule 3B_Income_Eastern:Schedule 3D_Income_The Cape'!C78)</f>
        <v>0</v>
      </c>
      <c r="D78" s="585">
        <f>SUM('Schedule 3B_Income_Eastern:Schedule 3D_Income_The Cape'!D78)</f>
        <v>0</v>
      </c>
      <c r="E78" s="585">
        <f>SUM('Schedule 3B_Income_Eastern:Schedule 3D_Income_The Cape'!E78)</f>
        <v>0</v>
      </c>
      <c r="F78" s="585">
        <f>SUM('Schedule 3B_Income_Eastern:Schedule 3D_Income_The Cape'!F78)</f>
        <v>0</v>
      </c>
      <c r="G78" s="585">
        <f>SUM('Schedule 3B_Income_Eastern:Schedule 3D_Income_The Cape'!G78)</f>
        <v>0</v>
      </c>
      <c r="H78" s="585">
        <f>SUM('Schedule 3B_Income_Eastern:Schedule 3D_Income_The Cape'!H78)</f>
        <v>0</v>
      </c>
      <c r="I78" s="585">
        <f>SUM('Schedule 3B_Income_Eastern:Schedule 3D_Income_The Cape'!I78)</f>
        <v>0</v>
      </c>
      <c r="J78" s="585">
        <f>SUM('Schedule 3B_Income_Eastern:Schedule 3D_Income_The Cape'!J78)</f>
        <v>0</v>
      </c>
      <c r="K78" s="586">
        <f t="shared" si="208"/>
        <v>0</v>
      </c>
      <c r="L78" s="587">
        <f>SUM('Schedule 3B_Income_Eastern:Schedule 3D_Income_The Cape'!L78)</f>
        <v>0</v>
      </c>
      <c r="M78" s="585">
        <f>SUM('Schedule 3B_Income_Eastern:Schedule 3D_Income_The Cape'!M78)</f>
        <v>0</v>
      </c>
      <c r="N78" s="585">
        <f>SUM('Schedule 3B_Income_Eastern:Schedule 3D_Income_The Cape'!N78)</f>
        <v>0</v>
      </c>
      <c r="O78" s="585">
        <f>SUM('Schedule 3B_Income_Eastern:Schedule 3D_Income_The Cape'!O78)</f>
        <v>0</v>
      </c>
      <c r="P78" s="585">
        <f>SUM('Schedule 3B_Income_Eastern:Schedule 3D_Income_The Cape'!P78)</f>
        <v>0</v>
      </c>
      <c r="Q78" s="585">
        <f>SUM('Schedule 3B_Income_Eastern:Schedule 3D_Income_The Cape'!Q78)</f>
        <v>0</v>
      </c>
      <c r="R78" s="585">
        <f>SUM('Schedule 3B_Income_Eastern:Schedule 3D_Income_The Cape'!R78)</f>
        <v>0</v>
      </c>
      <c r="S78" s="585">
        <f>SUM('Schedule 3B_Income_Eastern:Schedule 3D_Income_The Cape'!S78)</f>
        <v>0</v>
      </c>
      <c r="T78" s="588">
        <f t="shared" si="209"/>
        <v>0</v>
      </c>
      <c r="U78" s="589">
        <f t="shared" si="210"/>
        <v>0</v>
      </c>
      <c r="V78" s="300">
        <v>50</v>
      </c>
      <c r="W78" s="585">
        <f>SUM('Schedule 3B_Income_Eastern:Schedule 3D_Income_The Cape'!W78)</f>
        <v>0</v>
      </c>
      <c r="X78" s="585">
        <f>SUM('Schedule 3B_Income_Eastern:Schedule 3D_Income_The Cape'!X78)</f>
        <v>0</v>
      </c>
      <c r="Y78" s="585">
        <f>SUM('Schedule 3B_Income_Eastern:Schedule 3D_Income_The Cape'!Y78)</f>
        <v>0</v>
      </c>
      <c r="Z78" s="585">
        <f>SUM('Schedule 3B_Income_Eastern:Schedule 3D_Income_The Cape'!Z78)</f>
        <v>0</v>
      </c>
      <c r="AA78" s="585">
        <f>SUM('Schedule 3B_Income_Eastern:Schedule 3D_Income_The Cape'!AA78)</f>
        <v>0</v>
      </c>
      <c r="AB78" s="585">
        <f>SUM('Schedule 3B_Income_Eastern:Schedule 3D_Income_The Cape'!AB78)</f>
        <v>0</v>
      </c>
      <c r="AC78" s="585">
        <f>SUM('Schedule 3B_Income_Eastern:Schedule 3D_Income_The Cape'!AC78)</f>
        <v>0</v>
      </c>
      <c r="AD78" s="585">
        <f>SUM('Schedule 3B_Income_Eastern:Schedule 3D_Income_The Cape'!AD78)</f>
        <v>0</v>
      </c>
      <c r="AE78" s="586">
        <f t="shared" si="211"/>
        <v>0</v>
      </c>
      <c r="AF78" s="587">
        <f>SUM('Schedule 3B_Income_Eastern:Schedule 3D_Income_The Cape'!AF78)</f>
        <v>0</v>
      </c>
      <c r="AG78" s="585">
        <f>SUM('Schedule 3B_Income_Eastern:Schedule 3D_Income_The Cape'!AG78)</f>
        <v>0</v>
      </c>
      <c r="AH78" s="585">
        <f>SUM('Schedule 3B_Income_Eastern:Schedule 3D_Income_The Cape'!AH78)</f>
        <v>0</v>
      </c>
      <c r="AI78" s="585">
        <f>SUM('Schedule 3B_Income_Eastern:Schedule 3D_Income_The Cape'!AI78)</f>
        <v>0</v>
      </c>
      <c r="AJ78" s="585">
        <f>SUM('Schedule 3B_Income_Eastern:Schedule 3D_Income_The Cape'!AJ78)</f>
        <v>0</v>
      </c>
      <c r="AK78" s="585">
        <f>SUM('Schedule 3B_Income_Eastern:Schedule 3D_Income_The Cape'!AK78)</f>
        <v>0</v>
      </c>
      <c r="AL78" s="585">
        <f>SUM('Schedule 3B_Income_Eastern:Schedule 3D_Income_The Cape'!AL78)</f>
        <v>0</v>
      </c>
      <c r="AM78" s="585">
        <f>SUM('Schedule 3B_Income_Eastern:Schedule 3D_Income_The Cape'!AM78)</f>
        <v>0</v>
      </c>
      <c r="AN78" s="588">
        <f t="shared" si="212"/>
        <v>0</v>
      </c>
      <c r="AO78" s="589">
        <f t="shared" si="213"/>
        <v>0</v>
      </c>
      <c r="AP78" s="300">
        <v>50</v>
      </c>
      <c r="AQ78" s="585">
        <f>SUM('Schedule 3B_Income_Eastern:Schedule 3D_Income_The Cape'!AQ78)</f>
        <v>0</v>
      </c>
      <c r="AR78" s="585">
        <f>SUM('Schedule 3B_Income_Eastern:Schedule 3D_Income_The Cape'!AR78)</f>
        <v>0</v>
      </c>
      <c r="AS78" s="585">
        <f>SUM('Schedule 3B_Income_Eastern:Schedule 3D_Income_The Cape'!AS78)</f>
        <v>0</v>
      </c>
      <c r="AT78" s="585">
        <f>SUM('Schedule 3B_Income_Eastern:Schedule 3D_Income_The Cape'!AT78)</f>
        <v>0</v>
      </c>
      <c r="AU78" s="585">
        <f>SUM('Schedule 3B_Income_Eastern:Schedule 3D_Income_The Cape'!AU78)</f>
        <v>0</v>
      </c>
      <c r="AV78" s="585">
        <f>SUM('Schedule 3B_Income_Eastern:Schedule 3D_Income_The Cape'!AV78)</f>
        <v>0</v>
      </c>
      <c r="AW78" s="585">
        <f>SUM('Schedule 3B_Income_Eastern:Schedule 3D_Income_The Cape'!AW78)</f>
        <v>0</v>
      </c>
      <c r="AX78" s="585">
        <f>SUM('Schedule 3B_Income_Eastern:Schedule 3D_Income_The Cape'!AX78)</f>
        <v>0</v>
      </c>
      <c r="AY78" s="586">
        <f t="shared" si="214"/>
        <v>0</v>
      </c>
      <c r="AZ78" s="587">
        <f>SUM('Schedule 3B_Income_Eastern:Schedule 3D_Income_The Cape'!AZ78)</f>
        <v>0</v>
      </c>
      <c r="BA78" s="585">
        <f>SUM('Schedule 3B_Income_Eastern:Schedule 3D_Income_The Cape'!BA78)</f>
        <v>0</v>
      </c>
      <c r="BB78" s="585">
        <f>SUM('Schedule 3B_Income_Eastern:Schedule 3D_Income_The Cape'!BB78)</f>
        <v>0</v>
      </c>
      <c r="BC78" s="585">
        <f>SUM('Schedule 3B_Income_Eastern:Schedule 3D_Income_The Cape'!BC78)</f>
        <v>0</v>
      </c>
      <c r="BD78" s="585">
        <f>SUM('Schedule 3B_Income_Eastern:Schedule 3D_Income_The Cape'!BD78)</f>
        <v>0</v>
      </c>
      <c r="BE78" s="585">
        <f>SUM('Schedule 3B_Income_Eastern:Schedule 3D_Income_The Cape'!BE78)</f>
        <v>0</v>
      </c>
      <c r="BF78" s="585">
        <f>SUM('Schedule 3B_Income_Eastern:Schedule 3D_Income_The Cape'!BF78)</f>
        <v>0</v>
      </c>
      <c r="BG78" s="585">
        <f>SUM('Schedule 3B_Income_Eastern:Schedule 3D_Income_The Cape'!BG78)</f>
        <v>0</v>
      </c>
      <c r="BH78" s="588">
        <f t="shared" si="215"/>
        <v>0</v>
      </c>
      <c r="BI78" s="589">
        <f t="shared" si="216"/>
        <v>0</v>
      </c>
      <c r="BJ78" s="300">
        <v>50</v>
      </c>
      <c r="BK78" s="585">
        <f>SUM('Schedule 3B_Income_Eastern:Schedule 3D_Income_The Cape'!BK78)</f>
        <v>0</v>
      </c>
      <c r="BL78" s="585">
        <f>SUM('Schedule 3B_Income_Eastern:Schedule 3D_Income_The Cape'!BL78)</f>
        <v>0</v>
      </c>
      <c r="BM78" s="585">
        <f>SUM('Schedule 3B_Income_Eastern:Schedule 3D_Income_The Cape'!BM78)</f>
        <v>0</v>
      </c>
      <c r="BN78" s="585">
        <f>SUM('Schedule 3B_Income_Eastern:Schedule 3D_Income_The Cape'!BN78)</f>
        <v>0</v>
      </c>
      <c r="BO78" s="585">
        <f>SUM('Schedule 3B_Income_Eastern:Schedule 3D_Income_The Cape'!BO78)</f>
        <v>0</v>
      </c>
      <c r="BP78" s="585">
        <f>SUM('Schedule 3B_Income_Eastern:Schedule 3D_Income_The Cape'!BP78)</f>
        <v>0</v>
      </c>
      <c r="BQ78" s="585">
        <f>SUM('Schedule 3B_Income_Eastern:Schedule 3D_Income_The Cape'!BQ78)</f>
        <v>0</v>
      </c>
      <c r="BR78" s="585">
        <f>SUM('Schedule 3B_Income_Eastern:Schedule 3D_Income_The Cape'!BR78)</f>
        <v>0</v>
      </c>
      <c r="BS78" s="586">
        <f t="shared" si="217"/>
        <v>0</v>
      </c>
      <c r="BT78" s="587">
        <f>SUM('Schedule 3B_Income_Eastern:Schedule 3D_Income_The Cape'!BT78)</f>
        <v>0</v>
      </c>
      <c r="BU78" s="585">
        <f>SUM('Schedule 3B_Income_Eastern:Schedule 3D_Income_The Cape'!BU78)</f>
        <v>0</v>
      </c>
      <c r="BV78" s="585">
        <f>SUM('Schedule 3B_Income_Eastern:Schedule 3D_Income_The Cape'!BV78)</f>
        <v>0</v>
      </c>
      <c r="BW78" s="585">
        <f>SUM('Schedule 3B_Income_Eastern:Schedule 3D_Income_The Cape'!BW78)</f>
        <v>0</v>
      </c>
      <c r="BX78" s="585">
        <f>SUM('Schedule 3B_Income_Eastern:Schedule 3D_Income_The Cape'!BX78)</f>
        <v>0</v>
      </c>
      <c r="BY78" s="585">
        <f>SUM('Schedule 3B_Income_Eastern:Schedule 3D_Income_The Cape'!BY78)</f>
        <v>0</v>
      </c>
      <c r="BZ78" s="585">
        <f>SUM('Schedule 3B_Income_Eastern:Schedule 3D_Income_The Cape'!BZ78)</f>
        <v>0</v>
      </c>
      <c r="CA78" s="585">
        <f>SUM('Schedule 3B_Income_Eastern:Schedule 3D_Income_The Cape'!CA78)</f>
        <v>0</v>
      </c>
      <c r="CB78" s="588">
        <f t="shared" si="218"/>
        <v>0</v>
      </c>
      <c r="CC78" s="589">
        <f t="shared" si="219"/>
        <v>0</v>
      </c>
      <c r="CD78" s="300">
        <v>50</v>
      </c>
      <c r="CE78" s="414">
        <f t="shared" si="220"/>
        <v>0</v>
      </c>
      <c r="CF78" s="414">
        <f t="shared" si="221"/>
        <v>0</v>
      </c>
      <c r="CG78" s="414">
        <f t="shared" si="222"/>
        <v>0</v>
      </c>
      <c r="CH78" s="414">
        <f t="shared" si="223"/>
        <v>0</v>
      </c>
      <c r="CI78" s="416">
        <f t="shared" si="224"/>
        <v>0</v>
      </c>
      <c r="CJ78" s="414">
        <f t="shared" si="225"/>
        <v>0</v>
      </c>
      <c r="CK78" s="414">
        <f t="shared" si="226"/>
        <v>0</v>
      </c>
      <c r="CL78" s="414">
        <f t="shared" si="227"/>
        <v>0</v>
      </c>
      <c r="CM78" s="414">
        <f t="shared" si="228"/>
        <v>0</v>
      </c>
      <c r="CN78" s="416">
        <f t="shared" si="229"/>
        <v>0</v>
      </c>
      <c r="CO78" s="414">
        <f t="shared" si="230"/>
        <v>0</v>
      </c>
      <c r="CP78" s="414">
        <f t="shared" si="231"/>
        <v>0</v>
      </c>
      <c r="CQ78" s="414">
        <f t="shared" si="232"/>
        <v>0</v>
      </c>
      <c r="CR78" s="414">
        <f t="shared" si="233"/>
        <v>0</v>
      </c>
      <c r="CS78" s="416">
        <f t="shared" si="234"/>
        <v>0</v>
      </c>
    </row>
    <row r="79" spans="1:100" ht="15.75" customHeight="1">
      <c r="A79" s="88" t="s">
        <v>250</v>
      </c>
      <c r="B79" s="300">
        <v>51</v>
      </c>
      <c r="C79" s="585">
        <f>SUM('Schedule 3B_Income_Eastern:Schedule 3D_Income_The Cape'!C79)</f>
        <v>11478.960331070455</v>
      </c>
      <c r="D79" s="585">
        <f>SUM('Schedule 3B_Income_Eastern:Schedule 3D_Income_The Cape'!D79)</f>
        <v>24067.138527824391</v>
      </c>
      <c r="E79" s="585">
        <f>SUM('Schedule 3B_Income_Eastern:Schedule 3D_Income_The Cape'!E79)</f>
        <v>11803.335313279265</v>
      </c>
      <c r="F79" s="585">
        <f>SUM('Schedule 3B_Income_Eastern:Schedule 3D_Income_The Cape'!F79)</f>
        <v>24717.857829645644</v>
      </c>
      <c r="G79" s="585">
        <f>SUM('Schedule 3B_Income_Eastern:Schedule 3D_Income_The Cape'!G79)</f>
        <v>11842.635583862228</v>
      </c>
      <c r="H79" s="585">
        <f>SUM('Schedule 3B_Income_Eastern:Schedule 3D_Income_The Cape'!H79)</f>
        <v>25067.34110588385</v>
      </c>
      <c r="I79" s="585">
        <f>SUM('Schedule 3B_Income_Eastern:Schedule 3D_Income_The Cape'!I79)</f>
        <v>12395.678743274304</v>
      </c>
      <c r="J79" s="585">
        <f>SUM('Schedule 3B_Income_Eastern:Schedule 3D_Income_The Cape'!J79)</f>
        <v>25377.997347563236</v>
      </c>
      <c r="K79" s="586">
        <f t="shared" si="208"/>
        <v>146750.94478240336</v>
      </c>
      <c r="L79" s="587">
        <f>SUM('Schedule 3B_Income_Eastern:Schedule 3D_Income_The Cape'!L79)</f>
        <v>0</v>
      </c>
      <c r="M79" s="585">
        <f>SUM('Schedule 3B_Income_Eastern:Schedule 3D_Income_The Cape'!M79)</f>
        <v>57087.207069097109</v>
      </c>
      <c r="N79" s="585">
        <f>SUM('Schedule 3B_Income_Eastern:Schedule 3D_Income_The Cape'!N79)</f>
        <v>0</v>
      </c>
      <c r="O79" s="585">
        <f>SUM('Schedule 3B_Income_Eastern:Schedule 3D_Income_The Cape'!O79)</f>
        <v>51565.245196390788</v>
      </c>
      <c r="P79" s="585">
        <f>SUM('Schedule 3B_Income_Eastern:Schedule 3D_Income_The Cape'!P79)</f>
        <v>0</v>
      </c>
      <c r="Q79" s="585">
        <f>SUM('Schedule 3B_Income_Eastern:Schedule 3D_Income_The Cape'!Q79)</f>
        <v>54378.986604978287</v>
      </c>
      <c r="R79" s="585">
        <f>SUM('Schedule 3B_Income_Eastern:Schedule 3D_Income_The Cape'!R79)</f>
        <v>0</v>
      </c>
      <c r="S79" s="585">
        <f>SUM('Schedule 3B_Income_Eastern:Schedule 3D_Income_The Cape'!S79)</f>
        <v>54622.442199441415</v>
      </c>
      <c r="T79" s="588">
        <f t="shared" si="209"/>
        <v>217653.88106990763</v>
      </c>
      <c r="U79" s="589">
        <f t="shared" si="210"/>
        <v>364404.82585231098</v>
      </c>
      <c r="V79" s="300">
        <v>51</v>
      </c>
      <c r="W79" s="585">
        <f>SUM('Schedule 3B_Income_Eastern:Schedule 3D_Income_The Cape'!W79)</f>
        <v>1853.1362531731354</v>
      </c>
      <c r="X79" s="585">
        <f>SUM('Schedule 3B_Income_Eastern:Schedule 3D_Income_The Cape'!X79)</f>
        <v>12433.950918052291</v>
      </c>
      <c r="Y79" s="585">
        <f>SUM('Schedule 3B_Income_Eastern:Schedule 3D_Income_The Cape'!Y79)</f>
        <v>1826.0510959789976</v>
      </c>
      <c r="Z79" s="585">
        <f>SUM('Schedule 3B_Income_Eastern:Schedule 3D_Income_The Cape'!Z79)</f>
        <v>11803.4809575247</v>
      </c>
      <c r="AA79" s="585">
        <f>SUM('Schedule 3B_Income_Eastern:Schedule 3D_Income_The Cape'!AA79)</f>
        <v>1754.9146966483879</v>
      </c>
      <c r="AB79" s="585">
        <f>SUM('Schedule 3B_Income_Eastern:Schedule 3D_Income_The Cape'!AB79)</f>
        <v>11503.34330031124</v>
      </c>
      <c r="AC79" s="585">
        <f>SUM('Schedule 3B_Income_Eastern:Schedule 3D_Income_The Cape'!AC79)</f>
        <v>1973.2673996751187</v>
      </c>
      <c r="AD79" s="585">
        <f>SUM('Schedule 3B_Income_Eastern:Schedule 3D_Income_The Cape'!AD79)</f>
        <v>11913.937980981784</v>
      </c>
      <c r="AE79" s="586">
        <f t="shared" si="211"/>
        <v>55062.082602345661</v>
      </c>
      <c r="AF79" s="587">
        <f>SUM('Schedule 3B_Income_Eastern:Schedule 3D_Income_The Cape'!AF79)</f>
        <v>0</v>
      </c>
      <c r="AG79" s="585">
        <f>SUM('Schedule 3B_Income_Eastern:Schedule 3D_Income_The Cape'!AG79)</f>
        <v>18792.940961352604</v>
      </c>
      <c r="AH79" s="585">
        <f>SUM('Schedule 3B_Income_Eastern:Schedule 3D_Income_The Cape'!AH79)</f>
        <v>0</v>
      </c>
      <c r="AI79" s="585">
        <f>SUM('Schedule 3B_Income_Eastern:Schedule 3D_Income_The Cape'!AI79)</f>
        <v>15558.246942925714</v>
      </c>
      <c r="AJ79" s="585">
        <f>SUM('Schedule 3B_Income_Eastern:Schedule 3D_Income_The Cape'!AJ79)</f>
        <v>0</v>
      </c>
      <c r="AK79" s="585">
        <f>SUM('Schedule 3B_Income_Eastern:Schedule 3D_Income_The Cape'!AK79)</f>
        <v>15918.997723335924</v>
      </c>
      <c r="AL79" s="585">
        <f>SUM('Schedule 3B_Income_Eastern:Schedule 3D_Income_The Cape'!AL79)</f>
        <v>0</v>
      </c>
      <c r="AM79" s="585">
        <f>SUM('Schedule 3B_Income_Eastern:Schedule 3D_Income_The Cape'!AM79)</f>
        <v>16210.338132001676</v>
      </c>
      <c r="AN79" s="588">
        <f t="shared" si="212"/>
        <v>66480.523759615913</v>
      </c>
      <c r="AO79" s="589">
        <f t="shared" si="213"/>
        <v>121542.60636196157</v>
      </c>
      <c r="AP79" s="300">
        <v>51</v>
      </c>
      <c r="AQ79" s="585">
        <f>SUM('Schedule 3B_Income_Eastern:Schedule 3D_Income_The Cape'!AQ79)</f>
        <v>205129.45194452297</v>
      </c>
      <c r="AR79" s="585">
        <f>SUM('Schedule 3B_Income_Eastern:Schedule 3D_Income_The Cape'!AR79)</f>
        <v>484437.96804862085</v>
      </c>
      <c r="AS79" s="585">
        <f>SUM('Schedule 3B_Income_Eastern:Schedule 3D_Income_The Cape'!AS79)</f>
        <v>218058.23302068931</v>
      </c>
      <c r="AT79" s="585">
        <f>SUM('Schedule 3B_Income_Eastern:Schedule 3D_Income_The Cape'!AT79)</f>
        <v>506313.8069227027</v>
      </c>
      <c r="AU79" s="585">
        <f>SUM('Schedule 3B_Income_Eastern:Schedule 3D_Income_The Cape'!AU79)</f>
        <v>222561.21762756785</v>
      </c>
      <c r="AV79" s="585">
        <f>SUM('Schedule 3B_Income_Eastern:Schedule 3D_Income_The Cape'!AV79)</f>
        <v>517510.4464432103</v>
      </c>
      <c r="AW79" s="585">
        <f>SUM('Schedule 3B_Income_Eastern:Schedule 3D_Income_The Cape'!AW79)</f>
        <v>245635.7399113063</v>
      </c>
      <c r="AX79" s="585">
        <f>SUM('Schedule 3B_Income_Eastern:Schedule 3D_Income_The Cape'!AX79)</f>
        <v>540100.78507274669</v>
      </c>
      <c r="AY79" s="586">
        <f t="shared" si="214"/>
        <v>2939747.6489913668</v>
      </c>
      <c r="AZ79" s="587">
        <f>SUM('Schedule 3B_Income_Eastern:Schedule 3D_Income_The Cape'!AZ79)</f>
        <v>0</v>
      </c>
      <c r="BA79" s="585">
        <f>SUM('Schedule 3B_Income_Eastern:Schedule 3D_Income_The Cape'!BA79)</f>
        <v>432803.44531082374</v>
      </c>
      <c r="BB79" s="585">
        <f>SUM('Schedule 3B_Income_Eastern:Schedule 3D_Income_The Cape'!BB79)</f>
        <v>0</v>
      </c>
      <c r="BC79" s="585">
        <f>SUM('Schedule 3B_Income_Eastern:Schedule 3D_Income_The Cape'!BC79)</f>
        <v>355332.60794212355</v>
      </c>
      <c r="BD79" s="585">
        <f>SUM('Schedule 3B_Income_Eastern:Schedule 3D_Income_The Cape'!BD79)</f>
        <v>0</v>
      </c>
      <c r="BE79" s="585">
        <f>SUM('Schedule 3B_Income_Eastern:Schedule 3D_Income_The Cape'!BE79)</f>
        <v>393927.22233233962</v>
      </c>
      <c r="BF79" s="585">
        <f>SUM('Schedule 3B_Income_Eastern:Schedule 3D_Income_The Cape'!BF79)</f>
        <v>0</v>
      </c>
      <c r="BG79" s="585">
        <f>SUM('Schedule 3B_Income_Eastern:Schedule 3D_Income_The Cape'!BG79)</f>
        <v>399456.93875473388</v>
      </c>
      <c r="BH79" s="588">
        <f t="shared" si="215"/>
        <v>1581520.2143400207</v>
      </c>
      <c r="BI79" s="589">
        <f t="shared" si="216"/>
        <v>4521267.8633313878</v>
      </c>
      <c r="BJ79" s="300">
        <v>51</v>
      </c>
      <c r="BK79" s="585">
        <f>SUM('Schedule 3B_Income_Eastern:Schedule 3D_Income_The Cape'!BK79)</f>
        <v>4371.1422782350483</v>
      </c>
      <c r="BL79" s="585">
        <f>SUM('Schedule 3B_Income_Eastern:Schedule 3D_Income_The Cape'!BL79)</f>
        <v>50160.980100485176</v>
      </c>
      <c r="BM79" s="585">
        <f>SUM('Schedule 3B_Income_Eastern:Schedule 3D_Income_The Cape'!BM79)</f>
        <v>4138.8132431695003</v>
      </c>
      <c r="BN79" s="585">
        <f>SUM('Schedule 3B_Income_Eastern:Schedule 3D_Income_The Cape'!BN79)</f>
        <v>47385.149086603604</v>
      </c>
      <c r="BO79" s="585">
        <f>SUM('Schedule 3B_Income_Eastern:Schedule 3D_Income_The Cape'!BO79)</f>
        <v>4038.333415646171</v>
      </c>
      <c r="BP79" s="585">
        <f>SUM('Schedule 3B_Income_Eastern:Schedule 3D_Income_The Cape'!BP79)</f>
        <v>44743.238282368904</v>
      </c>
      <c r="BQ79" s="585">
        <f>SUM('Schedule 3B_Income_Eastern:Schedule 3D_Income_The Cape'!BQ79)</f>
        <v>4470.1242792106996</v>
      </c>
      <c r="BR79" s="585">
        <f>SUM('Schedule 3B_Income_Eastern:Schedule 3D_Income_The Cape'!BR79)</f>
        <v>46839.740789345742</v>
      </c>
      <c r="BS79" s="586">
        <f t="shared" si="217"/>
        <v>206147.5214750648</v>
      </c>
      <c r="BT79" s="587">
        <f>SUM('Schedule 3B_Income_Eastern:Schedule 3D_Income_The Cape'!BT79)</f>
        <v>0</v>
      </c>
      <c r="BU79" s="585">
        <f>SUM('Schedule 3B_Income_Eastern:Schedule 3D_Income_The Cape'!BU79)</f>
        <v>16918.048256742459</v>
      </c>
      <c r="BV79" s="585">
        <f>SUM('Schedule 3B_Income_Eastern:Schedule 3D_Income_The Cape'!BV79)</f>
        <v>0</v>
      </c>
      <c r="BW79" s="585">
        <f>SUM('Schedule 3B_Income_Eastern:Schedule 3D_Income_The Cape'!BW79)</f>
        <v>14920.172448965845</v>
      </c>
      <c r="BX79" s="585">
        <f>SUM('Schedule 3B_Income_Eastern:Schedule 3D_Income_The Cape'!BX79)</f>
        <v>0</v>
      </c>
      <c r="BY79" s="585">
        <f>SUM('Schedule 3B_Income_Eastern:Schedule 3D_Income_The Cape'!BY79)</f>
        <v>15495.002883847577</v>
      </c>
      <c r="BZ79" s="585">
        <f>SUM('Schedule 3B_Income_Eastern:Schedule 3D_Income_The Cape'!BZ79)</f>
        <v>0</v>
      </c>
      <c r="CA79" s="585">
        <f>SUM('Schedule 3B_Income_Eastern:Schedule 3D_Income_The Cape'!CA79)</f>
        <v>17664.16938971942</v>
      </c>
      <c r="CB79" s="588">
        <f t="shared" si="218"/>
        <v>64997.392979275304</v>
      </c>
      <c r="CC79" s="589">
        <f t="shared" si="219"/>
        <v>271144.91445434012</v>
      </c>
      <c r="CD79" s="300">
        <v>51</v>
      </c>
      <c r="CE79" s="414">
        <f t="shared" si="220"/>
        <v>793932.72840198432</v>
      </c>
      <c r="CF79" s="414">
        <f t="shared" si="221"/>
        <v>826046.72746959375</v>
      </c>
      <c r="CG79" s="414">
        <f t="shared" si="222"/>
        <v>839021.4704554989</v>
      </c>
      <c r="CH79" s="414">
        <f t="shared" si="223"/>
        <v>888707.27152410382</v>
      </c>
      <c r="CI79" s="416">
        <f t="shared" si="224"/>
        <v>3347708.197851181</v>
      </c>
      <c r="CJ79" s="414">
        <f t="shared" si="225"/>
        <v>525601.64159801591</v>
      </c>
      <c r="CK79" s="414">
        <f t="shared" si="226"/>
        <v>437376.2725304059</v>
      </c>
      <c r="CL79" s="414">
        <f t="shared" si="227"/>
        <v>479720.20954450138</v>
      </c>
      <c r="CM79" s="414">
        <f t="shared" si="228"/>
        <v>487953.88847589638</v>
      </c>
      <c r="CN79" s="416">
        <f t="shared" si="229"/>
        <v>1930652.0121488194</v>
      </c>
      <c r="CO79" s="414">
        <f t="shared" si="230"/>
        <v>1319534.3700000001</v>
      </c>
      <c r="CP79" s="414">
        <f t="shared" si="231"/>
        <v>1263422.9999999998</v>
      </c>
      <c r="CQ79" s="414">
        <f t="shared" si="232"/>
        <v>1318741.6800000004</v>
      </c>
      <c r="CR79" s="414">
        <f t="shared" si="233"/>
        <v>1376661.1600000004</v>
      </c>
      <c r="CS79" s="416">
        <f t="shared" si="234"/>
        <v>5278360.2100000009</v>
      </c>
    </row>
    <row r="80" spans="1:100" ht="15.75" customHeight="1">
      <c r="A80" s="88" t="s">
        <v>252</v>
      </c>
      <c r="B80" s="300">
        <v>52</v>
      </c>
      <c r="C80" s="585">
        <f>SUM('Schedule 3B_Income_Eastern:Schedule 3D_Income_The Cape'!C80)</f>
        <v>0</v>
      </c>
      <c r="D80" s="585">
        <f>SUM('Schedule 3B_Income_Eastern:Schedule 3D_Income_The Cape'!D80)</f>
        <v>0</v>
      </c>
      <c r="E80" s="585">
        <f>SUM('Schedule 3B_Income_Eastern:Schedule 3D_Income_The Cape'!E80)</f>
        <v>0</v>
      </c>
      <c r="F80" s="585">
        <f>SUM('Schedule 3B_Income_Eastern:Schedule 3D_Income_The Cape'!F80)</f>
        <v>0</v>
      </c>
      <c r="G80" s="585">
        <f>SUM('Schedule 3B_Income_Eastern:Schedule 3D_Income_The Cape'!G80)</f>
        <v>0</v>
      </c>
      <c r="H80" s="585">
        <f>SUM('Schedule 3B_Income_Eastern:Schedule 3D_Income_The Cape'!H80)</f>
        <v>0</v>
      </c>
      <c r="I80" s="585">
        <f>SUM('Schedule 3B_Income_Eastern:Schedule 3D_Income_The Cape'!I80)</f>
        <v>0</v>
      </c>
      <c r="J80" s="585">
        <f>SUM('Schedule 3B_Income_Eastern:Schedule 3D_Income_The Cape'!J80)</f>
        <v>0</v>
      </c>
      <c r="K80" s="586">
        <f t="shared" si="208"/>
        <v>0</v>
      </c>
      <c r="L80" s="587">
        <f>SUM('Schedule 3B_Income_Eastern:Schedule 3D_Income_The Cape'!L80)</f>
        <v>0</v>
      </c>
      <c r="M80" s="585">
        <f>SUM('Schedule 3B_Income_Eastern:Schedule 3D_Income_The Cape'!M80)</f>
        <v>0</v>
      </c>
      <c r="N80" s="585">
        <f>SUM('Schedule 3B_Income_Eastern:Schedule 3D_Income_The Cape'!N80)</f>
        <v>0</v>
      </c>
      <c r="O80" s="585">
        <f>SUM('Schedule 3B_Income_Eastern:Schedule 3D_Income_The Cape'!O80)</f>
        <v>0</v>
      </c>
      <c r="P80" s="585">
        <f>SUM('Schedule 3B_Income_Eastern:Schedule 3D_Income_The Cape'!P80)</f>
        <v>0</v>
      </c>
      <c r="Q80" s="585">
        <f>SUM('Schedule 3B_Income_Eastern:Schedule 3D_Income_The Cape'!Q80)</f>
        <v>0</v>
      </c>
      <c r="R80" s="585">
        <f>SUM('Schedule 3B_Income_Eastern:Schedule 3D_Income_The Cape'!R80)</f>
        <v>0</v>
      </c>
      <c r="S80" s="585">
        <f>SUM('Schedule 3B_Income_Eastern:Schedule 3D_Income_The Cape'!S80)</f>
        <v>0</v>
      </c>
      <c r="T80" s="588">
        <f t="shared" si="209"/>
        <v>0</v>
      </c>
      <c r="U80" s="589">
        <f t="shared" si="210"/>
        <v>0</v>
      </c>
      <c r="V80" s="300">
        <v>52</v>
      </c>
      <c r="W80" s="585">
        <f>SUM('Schedule 3B_Income_Eastern:Schedule 3D_Income_The Cape'!W80)</f>
        <v>0</v>
      </c>
      <c r="X80" s="585">
        <f>SUM('Schedule 3B_Income_Eastern:Schedule 3D_Income_The Cape'!X80)</f>
        <v>0</v>
      </c>
      <c r="Y80" s="585">
        <f>SUM('Schedule 3B_Income_Eastern:Schedule 3D_Income_The Cape'!Y80)</f>
        <v>0</v>
      </c>
      <c r="Z80" s="585">
        <f>SUM('Schedule 3B_Income_Eastern:Schedule 3D_Income_The Cape'!Z80)</f>
        <v>0</v>
      </c>
      <c r="AA80" s="585">
        <f>SUM('Schedule 3B_Income_Eastern:Schedule 3D_Income_The Cape'!AA80)</f>
        <v>0</v>
      </c>
      <c r="AB80" s="585">
        <f>SUM('Schedule 3B_Income_Eastern:Schedule 3D_Income_The Cape'!AB80)</f>
        <v>0</v>
      </c>
      <c r="AC80" s="585">
        <f>SUM('Schedule 3B_Income_Eastern:Schedule 3D_Income_The Cape'!AC80)</f>
        <v>0</v>
      </c>
      <c r="AD80" s="585">
        <f>SUM('Schedule 3B_Income_Eastern:Schedule 3D_Income_The Cape'!AD80)</f>
        <v>0</v>
      </c>
      <c r="AE80" s="586">
        <f t="shared" si="211"/>
        <v>0</v>
      </c>
      <c r="AF80" s="587">
        <f>SUM('Schedule 3B_Income_Eastern:Schedule 3D_Income_The Cape'!AF80)</f>
        <v>0</v>
      </c>
      <c r="AG80" s="585">
        <f>SUM('Schedule 3B_Income_Eastern:Schedule 3D_Income_The Cape'!AG80)</f>
        <v>0</v>
      </c>
      <c r="AH80" s="585">
        <f>SUM('Schedule 3B_Income_Eastern:Schedule 3D_Income_The Cape'!AH80)</f>
        <v>0</v>
      </c>
      <c r="AI80" s="585">
        <f>SUM('Schedule 3B_Income_Eastern:Schedule 3D_Income_The Cape'!AI80)</f>
        <v>0</v>
      </c>
      <c r="AJ80" s="585">
        <f>SUM('Schedule 3B_Income_Eastern:Schedule 3D_Income_The Cape'!AJ80)</f>
        <v>0</v>
      </c>
      <c r="AK80" s="585">
        <f>SUM('Schedule 3B_Income_Eastern:Schedule 3D_Income_The Cape'!AK80)</f>
        <v>0</v>
      </c>
      <c r="AL80" s="585">
        <f>SUM('Schedule 3B_Income_Eastern:Schedule 3D_Income_The Cape'!AL80)</f>
        <v>0</v>
      </c>
      <c r="AM80" s="585">
        <f>SUM('Schedule 3B_Income_Eastern:Schedule 3D_Income_The Cape'!AM80)</f>
        <v>0</v>
      </c>
      <c r="AN80" s="588">
        <f t="shared" si="212"/>
        <v>0</v>
      </c>
      <c r="AO80" s="589">
        <f t="shared" si="213"/>
        <v>0</v>
      </c>
      <c r="AP80" s="300">
        <v>52</v>
      </c>
      <c r="AQ80" s="585">
        <f>SUM('Schedule 3B_Income_Eastern:Schedule 3D_Income_The Cape'!AQ80)</f>
        <v>0</v>
      </c>
      <c r="AR80" s="585">
        <f>SUM('Schedule 3B_Income_Eastern:Schedule 3D_Income_The Cape'!AR80)</f>
        <v>0</v>
      </c>
      <c r="AS80" s="585">
        <f>SUM('Schedule 3B_Income_Eastern:Schedule 3D_Income_The Cape'!AS80)</f>
        <v>0</v>
      </c>
      <c r="AT80" s="585">
        <f>SUM('Schedule 3B_Income_Eastern:Schedule 3D_Income_The Cape'!AT80)</f>
        <v>0</v>
      </c>
      <c r="AU80" s="585">
        <f>SUM('Schedule 3B_Income_Eastern:Schedule 3D_Income_The Cape'!AU80)</f>
        <v>0</v>
      </c>
      <c r="AV80" s="585">
        <f>SUM('Schedule 3B_Income_Eastern:Schedule 3D_Income_The Cape'!AV80)</f>
        <v>0</v>
      </c>
      <c r="AW80" s="585">
        <f>SUM('Schedule 3B_Income_Eastern:Schedule 3D_Income_The Cape'!AW80)</f>
        <v>0</v>
      </c>
      <c r="AX80" s="585">
        <f>SUM('Schedule 3B_Income_Eastern:Schedule 3D_Income_The Cape'!AX80)</f>
        <v>0</v>
      </c>
      <c r="AY80" s="586">
        <f t="shared" si="214"/>
        <v>0</v>
      </c>
      <c r="AZ80" s="587">
        <f>SUM('Schedule 3B_Income_Eastern:Schedule 3D_Income_The Cape'!AZ80)</f>
        <v>0</v>
      </c>
      <c r="BA80" s="585">
        <f>SUM('Schedule 3B_Income_Eastern:Schedule 3D_Income_The Cape'!BA80)</f>
        <v>0</v>
      </c>
      <c r="BB80" s="585">
        <f>SUM('Schedule 3B_Income_Eastern:Schedule 3D_Income_The Cape'!BB80)</f>
        <v>0</v>
      </c>
      <c r="BC80" s="585">
        <f>SUM('Schedule 3B_Income_Eastern:Schedule 3D_Income_The Cape'!BC80)</f>
        <v>0</v>
      </c>
      <c r="BD80" s="585">
        <f>SUM('Schedule 3B_Income_Eastern:Schedule 3D_Income_The Cape'!BD80)</f>
        <v>0</v>
      </c>
      <c r="BE80" s="585">
        <f>SUM('Schedule 3B_Income_Eastern:Schedule 3D_Income_The Cape'!BE80)</f>
        <v>0</v>
      </c>
      <c r="BF80" s="585">
        <f>SUM('Schedule 3B_Income_Eastern:Schedule 3D_Income_The Cape'!BF80)</f>
        <v>0</v>
      </c>
      <c r="BG80" s="585">
        <f>SUM('Schedule 3B_Income_Eastern:Schedule 3D_Income_The Cape'!BG80)</f>
        <v>0</v>
      </c>
      <c r="BH80" s="588">
        <f t="shared" si="215"/>
        <v>0</v>
      </c>
      <c r="BI80" s="589">
        <f t="shared" si="216"/>
        <v>0</v>
      </c>
      <c r="BJ80" s="300">
        <v>52</v>
      </c>
      <c r="BK80" s="585">
        <f>SUM('Schedule 3B_Income_Eastern:Schedule 3D_Income_The Cape'!BK80)</f>
        <v>0</v>
      </c>
      <c r="BL80" s="585">
        <f>SUM('Schedule 3B_Income_Eastern:Schedule 3D_Income_The Cape'!BL80)</f>
        <v>0</v>
      </c>
      <c r="BM80" s="585">
        <f>SUM('Schedule 3B_Income_Eastern:Schedule 3D_Income_The Cape'!BM80)</f>
        <v>0</v>
      </c>
      <c r="BN80" s="585">
        <f>SUM('Schedule 3B_Income_Eastern:Schedule 3D_Income_The Cape'!BN80)</f>
        <v>0</v>
      </c>
      <c r="BO80" s="585">
        <f>SUM('Schedule 3B_Income_Eastern:Schedule 3D_Income_The Cape'!BO80)</f>
        <v>0</v>
      </c>
      <c r="BP80" s="585">
        <f>SUM('Schedule 3B_Income_Eastern:Schedule 3D_Income_The Cape'!BP80)</f>
        <v>0</v>
      </c>
      <c r="BQ80" s="585">
        <f>SUM('Schedule 3B_Income_Eastern:Schedule 3D_Income_The Cape'!BQ80)</f>
        <v>0</v>
      </c>
      <c r="BR80" s="585">
        <f>SUM('Schedule 3B_Income_Eastern:Schedule 3D_Income_The Cape'!BR80)</f>
        <v>0</v>
      </c>
      <c r="BS80" s="586">
        <f t="shared" si="217"/>
        <v>0</v>
      </c>
      <c r="BT80" s="587">
        <f>SUM('Schedule 3B_Income_Eastern:Schedule 3D_Income_The Cape'!BT80)</f>
        <v>0</v>
      </c>
      <c r="BU80" s="585">
        <f>SUM('Schedule 3B_Income_Eastern:Schedule 3D_Income_The Cape'!BU80)</f>
        <v>0</v>
      </c>
      <c r="BV80" s="585">
        <f>SUM('Schedule 3B_Income_Eastern:Schedule 3D_Income_The Cape'!BV80)</f>
        <v>0</v>
      </c>
      <c r="BW80" s="585">
        <f>SUM('Schedule 3B_Income_Eastern:Schedule 3D_Income_The Cape'!BW80)</f>
        <v>0</v>
      </c>
      <c r="BX80" s="585">
        <f>SUM('Schedule 3B_Income_Eastern:Schedule 3D_Income_The Cape'!BX80)</f>
        <v>0</v>
      </c>
      <c r="BY80" s="585">
        <f>SUM('Schedule 3B_Income_Eastern:Schedule 3D_Income_The Cape'!BY80)</f>
        <v>0</v>
      </c>
      <c r="BZ80" s="585">
        <f>SUM('Schedule 3B_Income_Eastern:Schedule 3D_Income_The Cape'!BZ80)</f>
        <v>0</v>
      </c>
      <c r="CA80" s="585">
        <f>SUM('Schedule 3B_Income_Eastern:Schedule 3D_Income_The Cape'!CA80)</f>
        <v>0</v>
      </c>
      <c r="CB80" s="588">
        <f t="shared" si="218"/>
        <v>0</v>
      </c>
      <c r="CC80" s="589">
        <f t="shared" si="219"/>
        <v>0</v>
      </c>
      <c r="CD80" s="300">
        <v>52</v>
      </c>
      <c r="CE80" s="414">
        <f t="shared" si="220"/>
        <v>0</v>
      </c>
      <c r="CF80" s="414">
        <f t="shared" si="221"/>
        <v>0</v>
      </c>
      <c r="CG80" s="414">
        <f t="shared" si="222"/>
        <v>0</v>
      </c>
      <c r="CH80" s="414">
        <f t="shared" si="223"/>
        <v>0</v>
      </c>
      <c r="CI80" s="416">
        <f t="shared" si="224"/>
        <v>0</v>
      </c>
      <c r="CJ80" s="414">
        <f t="shared" si="225"/>
        <v>0</v>
      </c>
      <c r="CK80" s="414">
        <f t="shared" si="226"/>
        <v>0</v>
      </c>
      <c r="CL80" s="414">
        <f t="shared" si="227"/>
        <v>0</v>
      </c>
      <c r="CM80" s="414">
        <f t="shared" si="228"/>
        <v>0</v>
      </c>
      <c r="CN80" s="416">
        <f t="shared" si="229"/>
        <v>0</v>
      </c>
      <c r="CO80" s="414">
        <f t="shared" si="230"/>
        <v>0</v>
      </c>
      <c r="CP80" s="414">
        <f t="shared" si="231"/>
        <v>0</v>
      </c>
      <c r="CQ80" s="414">
        <f t="shared" si="232"/>
        <v>0</v>
      </c>
      <c r="CR80" s="414">
        <f t="shared" si="233"/>
        <v>0</v>
      </c>
      <c r="CS80" s="416">
        <f t="shared" si="234"/>
        <v>0</v>
      </c>
    </row>
    <row r="81" spans="1:99" ht="15.75" customHeight="1">
      <c r="A81" s="88" t="s">
        <v>254</v>
      </c>
      <c r="B81" s="300">
        <v>53</v>
      </c>
      <c r="C81" s="585">
        <f>SUM('Schedule 3B_Income_Eastern:Schedule 3D_Income_The Cape'!C81)</f>
        <v>43076.117460069938</v>
      </c>
      <c r="D81" s="585">
        <f>SUM('Schedule 3B_Income_Eastern:Schedule 3D_Income_The Cape'!D81)</f>
        <v>90314.702399155387</v>
      </c>
      <c r="E81" s="585">
        <f>SUM('Schedule 3B_Income_Eastern:Schedule 3D_Income_The Cape'!E81)</f>
        <v>86220.427474470445</v>
      </c>
      <c r="F81" s="585">
        <f>SUM('Schedule 3B_Income_Eastern:Schedule 3D_Income_The Cape'!F81)</f>
        <v>180557.80097406521</v>
      </c>
      <c r="G81" s="585">
        <f>SUM('Schedule 3B_Income_Eastern:Schedule 3D_Income_The Cape'!G81)</f>
        <v>84643.171588916273</v>
      </c>
      <c r="H81" s="585">
        <f>SUM('Schedule 3B_Income_Eastern:Schedule 3D_Income_The Cape'!H81)</f>
        <v>179164.44692383645</v>
      </c>
      <c r="I81" s="585">
        <f>SUM('Schedule 3B_Income_Eastern:Schedule 3D_Income_The Cape'!I81)</f>
        <v>92406.728914394611</v>
      </c>
      <c r="J81" s="585">
        <f>SUM('Schedule 3B_Income_Eastern:Schedule 3D_Income_The Cape'!J81)</f>
        <v>189186.71335838822</v>
      </c>
      <c r="K81" s="586">
        <f t="shared" si="208"/>
        <v>945570.10909329657</v>
      </c>
      <c r="L81" s="587">
        <f>SUM('Schedule 3B_Income_Eastern:Schedule 3D_Income_The Cape'!L81)</f>
        <v>0</v>
      </c>
      <c r="M81" s="585">
        <f>SUM('Schedule 3B_Income_Eastern:Schedule 3D_Income_The Cape'!M81)</f>
        <v>214226.30327588585</v>
      </c>
      <c r="N81" s="585">
        <f>SUM('Schedule 3B_Income_Eastern:Schedule 3D_Income_The Cape'!N81)</f>
        <v>0</v>
      </c>
      <c r="O81" s="585">
        <f>SUM('Schedule 3B_Income_Eastern:Schedule 3D_Income_The Cape'!O81)</f>
        <v>376671.28533210268</v>
      </c>
      <c r="P81" s="585">
        <f>SUM('Schedule 3B_Income_Eastern:Schedule 3D_Income_The Cape'!P81)</f>
        <v>0</v>
      </c>
      <c r="Q81" s="585">
        <f>SUM('Schedule 3B_Income_Eastern:Schedule 3D_Income_The Cape'!Q81)</f>
        <v>388664.31897209887</v>
      </c>
      <c r="R81" s="585">
        <f>SUM('Schedule 3B_Income_Eastern:Schedule 3D_Income_The Cape'!R81)</f>
        <v>0</v>
      </c>
      <c r="S81" s="585">
        <f>SUM('Schedule 3B_Income_Eastern:Schedule 3D_Income_The Cape'!S81)</f>
        <v>407196.83960062737</v>
      </c>
      <c r="T81" s="588">
        <f t="shared" si="209"/>
        <v>1386758.7471807147</v>
      </c>
      <c r="U81" s="589">
        <f t="shared" si="210"/>
        <v>2332328.8562740115</v>
      </c>
      <c r="V81" s="300">
        <v>53</v>
      </c>
      <c r="W81" s="585">
        <f>SUM('Schedule 3B_Income_Eastern:Schedule 3D_Income_The Cape'!W81)</f>
        <v>6954.1066968523828</v>
      </c>
      <c r="X81" s="585">
        <f>SUM('Schedule 3B_Income_Eastern:Schedule 3D_Income_The Cape'!X81)</f>
        <v>46659.829356585789</v>
      </c>
      <c r="Y81" s="585">
        <f>SUM('Schedule 3B_Income_Eastern:Schedule 3D_Income_The Cape'!Y81)</f>
        <v>13338.848885230287</v>
      </c>
      <c r="Z81" s="585">
        <f>SUM('Schedule 3B_Income_Eastern:Schedule 3D_Income_The Cape'!Z81)</f>
        <v>86221.491369443102</v>
      </c>
      <c r="AA81" s="585">
        <f>SUM('Schedule 3B_Income_Eastern:Schedule 3D_Income_The Cape'!AA81)</f>
        <v>12542.94660512358</v>
      </c>
      <c r="AB81" s="585">
        <f>SUM('Schedule 3B_Income_Eastern:Schedule 3D_Income_The Cape'!AB81)</f>
        <v>82218.139190339716</v>
      </c>
      <c r="AC81" s="585">
        <f>SUM('Schedule 3B_Income_Eastern:Schedule 3D_Income_The Cape'!AC81)</f>
        <v>14710.221961530549</v>
      </c>
      <c r="AD81" s="585">
        <f>SUM('Schedule 3B_Income_Eastern:Schedule 3D_Income_The Cape'!AD81)</f>
        <v>88815.470303216716</v>
      </c>
      <c r="AE81" s="586">
        <f t="shared" si="211"/>
        <v>351461.05436832213</v>
      </c>
      <c r="AF81" s="587">
        <f>SUM('Schedule 3B_Income_Eastern:Schedule 3D_Income_The Cape'!AF81)</f>
        <v>0</v>
      </c>
      <c r="AG81" s="585">
        <f>SUM('Schedule 3B_Income_Eastern:Schedule 3D_Income_The Cape'!AG81)</f>
        <v>70522.670078422787</v>
      </c>
      <c r="AH81" s="585">
        <f>SUM('Schedule 3B_Income_Eastern:Schedule 3D_Income_The Cape'!AH81)</f>
        <v>0</v>
      </c>
      <c r="AI81" s="585">
        <f>SUM('Schedule 3B_Income_Eastern:Schedule 3D_Income_The Cape'!AI81)</f>
        <v>113649.12260547669</v>
      </c>
      <c r="AJ81" s="585">
        <f>SUM('Schedule 3B_Income_Eastern:Schedule 3D_Income_The Cape'!AJ81)</f>
        <v>0</v>
      </c>
      <c r="AK81" s="585">
        <f>SUM('Schedule 3B_Income_Eastern:Schedule 3D_Income_The Cape'!AK81)</f>
        <v>113778.25875652357</v>
      </c>
      <c r="AL81" s="585">
        <f>SUM('Schedule 3B_Income_Eastern:Schedule 3D_Income_The Cape'!AL81)</f>
        <v>0</v>
      </c>
      <c r="AM81" s="585">
        <f>SUM('Schedule 3B_Income_Eastern:Schedule 3D_Income_The Cape'!AM81)</f>
        <v>120844.07416474176</v>
      </c>
      <c r="AN81" s="588">
        <f t="shared" si="212"/>
        <v>418794.12560516479</v>
      </c>
      <c r="AO81" s="589">
        <f t="shared" si="213"/>
        <v>770255.17997348693</v>
      </c>
      <c r="AP81" s="300">
        <v>53</v>
      </c>
      <c r="AQ81" s="585">
        <f>SUM('Schedule 3B_Income_Eastern:Schedule 3D_Income_The Cape'!AQ81)</f>
        <v>769771.83574412065</v>
      </c>
      <c r="AR81" s="585">
        <f>SUM('Schedule 3B_Income_Eastern:Schedule 3D_Income_The Cape'!AR81)</f>
        <v>1817909.1321795702</v>
      </c>
      <c r="AS81" s="585">
        <f>SUM('Schedule 3B_Income_Eastern:Schedule 3D_Income_The Cape'!AS81)</f>
        <v>1592861.1334306069</v>
      </c>
      <c r="AT81" s="585">
        <f>SUM('Schedule 3B_Income_Eastern:Schedule 3D_Income_The Cape'!AT81)</f>
        <v>3698496.3750024624</v>
      </c>
      <c r="AU81" s="585">
        <f>SUM('Schedule 3B_Income_Eastern:Schedule 3D_Income_The Cape'!AU81)</f>
        <v>1590717.47157018</v>
      </c>
      <c r="AV81" s="585">
        <f>SUM('Schedule 3B_Income_Eastern:Schedule 3D_Income_The Cape'!AV81)</f>
        <v>3698815.6231911718</v>
      </c>
      <c r="AW81" s="585">
        <f>SUM('Schedule 3B_Income_Eastern:Schedule 3D_Income_The Cape'!AW81)</f>
        <v>1831153.8802977297</v>
      </c>
      <c r="AX81" s="585">
        <f>SUM('Schedule 3B_Income_Eastern:Schedule 3D_Income_The Cape'!AX81)</f>
        <v>4026318.1925192121</v>
      </c>
      <c r="AY81" s="586">
        <f t="shared" si="214"/>
        <v>19026043.643935055</v>
      </c>
      <c r="AZ81" s="587">
        <f>SUM('Schedule 3B_Income_Eastern:Schedule 3D_Income_The Cape'!AZ81)</f>
        <v>0</v>
      </c>
      <c r="BA81" s="585">
        <f>SUM('Schedule 3B_Income_Eastern:Schedule 3D_Income_The Cape'!BA81)</f>
        <v>1624144.6533157786</v>
      </c>
      <c r="BB81" s="585">
        <f>SUM('Schedule 3B_Income_Eastern:Schedule 3D_Income_The Cape'!BB81)</f>
        <v>0</v>
      </c>
      <c r="BC81" s="585">
        <f>SUM('Schedule 3B_Income_Eastern:Schedule 3D_Income_The Cape'!BC81)</f>
        <v>2595616.2846547645</v>
      </c>
      <c r="BD81" s="585">
        <f>SUM('Schedule 3B_Income_Eastern:Schedule 3D_Income_The Cape'!BD81)</f>
        <v>0</v>
      </c>
      <c r="BE81" s="585">
        <f>SUM('Schedule 3B_Income_Eastern:Schedule 3D_Income_The Cape'!BE81)</f>
        <v>2815526.091071967</v>
      </c>
      <c r="BF81" s="585">
        <f>SUM('Schedule 3B_Income_Eastern:Schedule 3D_Income_The Cape'!BF81)</f>
        <v>0</v>
      </c>
      <c r="BG81" s="585">
        <f>SUM('Schedule 3B_Income_Eastern:Schedule 3D_Income_The Cape'!BG81)</f>
        <v>2977852.9935289556</v>
      </c>
      <c r="BH81" s="588">
        <f t="shared" si="215"/>
        <v>10013140.022571467</v>
      </c>
      <c r="BI81" s="589">
        <f t="shared" si="216"/>
        <v>29039183.666506521</v>
      </c>
      <c r="BJ81" s="300">
        <v>53</v>
      </c>
      <c r="BK81" s="585">
        <f>SUM('Schedule 3B_Income_Eastern:Schedule 3D_Income_The Cape'!BK81)</f>
        <v>16403.213599604082</v>
      </c>
      <c r="BL81" s="585">
        <f>SUM('Schedule 3B_Income_Eastern:Schedule 3D_Income_The Cape'!BL81)</f>
        <v>188234.8408219679</v>
      </c>
      <c r="BM81" s="585">
        <f>SUM('Schedule 3B_Income_Eastern:Schedule 3D_Income_The Cape'!BM81)</f>
        <v>30233.000892688498</v>
      </c>
      <c r="BN81" s="585">
        <f>SUM('Schedule 3B_Income_Eastern:Schedule 3D_Income_The Cape'!BN81)</f>
        <v>346136.72337106569</v>
      </c>
      <c r="BO81" s="585">
        <f>SUM('Schedule 3B_Income_Eastern:Schedule 3D_Income_The Cape'!BO81)</f>
        <v>28863.283499120949</v>
      </c>
      <c r="BP81" s="585">
        <f>SUM('Schedule 3B_Income_Eastern:Schedule 3D_Income_The Cape'!BP81)</f>
        <v>319794.48903579282</v>
      </c>
      <c r="BQ81" s="585">
        <f>SUM('Schedule 3B_Income_Eastern:Schedule 3D_Income_The Cape'!BQ81)</f>
        <v>33323.674406034581</v>
      </c>
      <c r="BR81" s="585">
        <f>SUM('Schedule 3B_Income_Eastern:Schedule 3D_Income_The Cape'!BR81)</f>
        <v>349178.7193896143</v>
      </c>
      <c r="BS81" s="586">
        <f t="shared" si="217"/>
        <v>1312167.9450158891</v>
      </c>
      <c r="BT81" s="587">
        <f>SUM('Schedule 3B_Income_Eastern:Schedule 3D_Income_The Cape'!BT81)</f>
        <v>0</v>
      </c>
      <c r="BU81" s="585">
        <f>SUM('Schedule 3B_Income_Eastern:Schedule 3D_Income_The Cape'!BU81)</f>
        <v>63486.919797954375</v>
      </c>
      <c r="BV81" s="585">
        <f>SUM('Schedule 3B_Income_Eastern:Schedule 3D_Income_The Cape'!BV81)</f>
        <v>0</v>
      </c>
      <c r="BW81" s="585">
        <f>SUM('Schedule 3B_Income_Eastern:Schedule 3D_Income_The Cape'!BW81)</f>
        <v>108988.14719728999</v>
      </c>
      <c r="BX81" s="585">
        <f>SUM('Schedule 3B_Income_Eastern:Schedule 3D_Income_The Cape'!BX81)</f>
        <v>0</v>
      </c>
      <c r="BY81" s="585">
        <f>SUM('Schedule 3B_Income_Eastern:Schedule 3D_Income_The Cape'!BY81)</f>
        <v>110747.82961788392</v>
      </c>
      <c r="BZ81" s="585">
        <f>SUM('Schedule 3B_Income_Eastern:Schedule 3D_Income_The Cape'!BZ81)</f>
        <v>0</v>
      </c>
      <c r="CA81" s="585">
        <f>SUM('Schedule 3B_Income_Eastern:Schedule 3D_Income_The Cape'!CA81)</f>
        <v>131682.02775337361</v>
      </c>
      <c r="CB81" s="588">
        <f t="shared" si="218"/>
        <v>414904.92436650186</v>
      </c>
      <c r="CC81" s="589">
        <f t="shared" si="219"/>
        <v>1727072.869382391</v>
      </c>
      <c r="CD81" s="300">
        <v>53</v>
      </c>
      <c r="CE81" s="414">
        <f t="shared" si="220"/>
        <v>2979323.7782579265</v>
      </c>
      <c r="CF81" s="414">
        <f t="shared" si="221"/>
        <v>6034065.8014000319</v>
      </c>
      <c r="CG81" s="414">
        <f t="shared" si="222"/>
        <v>5996759.571604481</v>
      </c>
      <c r="CH81" s="414">
        <f t="shared" si="223"/>
        <v>6625093.6011501215</v>
      </c>
      <c r="CI81" s="416">
        <f t="shared" si="224"/>
        <v>21635242.752412561</v>
      </c>
      <c r="CJ81" s="414">
        <f t="shared" si="225"/>
        <v>1972380.5464680416</v>
      </c>
      <c r="CK81" s="414">
        <f t="shared" si="226"/>
        <v>3194924.8397896336</v>
      </c>
      <c r="CL81" s="414">
        <f t="shared" si="227"/>
        <v>3428716.4984184736</v>
      </c>
      <c r="CM81" s="414">
        <f t="shared" si="228"/>
        <v>3637575.9350476982</v>
      </c>
      <c r="CN81" s="416">
        <f t="shared" si="229"/>
        <v>12233597.819723848</v>
      </c>
      <c r="CO81" s="414">
        <f t="shared" si="230"/>
        <v>4951704.3247259669</v>
      </c>
      <c r="CP81" s="414">
        <f t="shared" si="231"/>
        <v>9228990.6411896665</v>
      </c>
      <c r="CQ81" s="414">
        <f t="shared" si="232"/>
        <v>9425476.0700229555</v>
      </c>
      <c r="CR81" s="414">
        <f t="shared" si="233"/>
        <v>10262669.536197819</v>
      </c>
      <c r="CS81" s="416">
        <f t="shared" si="234"/>
        <v>33868840.57213641</v>
      </c>
    </row>
    <row r="82" spans="1:99" ht="15.75" customHeight="1">
      <c r="A82" s="88" t="s">
        <v>256</v>
      </c>
      <c r="B82" s="300">
        <v>54</v>
      </c>
      <c r="C82" s="585">
        <f>SUM('Schedule 3B_Income_Eastern:Schedule 3D_Income_The Cape'!C82)</f>
        <v>0</v>
      </c>
      <c r="D82" s="585">
        <f>SUM('Schedule 3B_Income_Eastern:Schedule 3D_Income_The Cape'!D82)</f>
        <v>0</v>
      </c>
      <c r="E82" s="585">
        <f>SUM('Schedule 3B_Income_Eastern:Schedule 3D_Income_The Cape'!E82)</f>
        <v>0</v>
      </c>
      <c r="F82" s="585">
        <f>SUM('Schedule 3B_Income_Eastern:Schedule 3D_Income_The Cape'!F82)</f>
        <v>0</v>
      </c>
      <c r="G82" s="585">
        <f>SUM('Schedule 3B_Income_Eastern:Schedule 3D_Income_The Cape'!G82)</f>
        <v>0</v>
      </c>
      <c r="H82" s="585">
        <f>SUM('Schedule 3B_Income_Eastern:Schedule 3D_Income_The Cape'!H82)</f>
        <v>0</v>
      </c>
      <c r="I82" s="585">
        <f>SUM('Schedule 3B_Income_Eastern:Schedule 3D_Income_The Cape'!I82)</f>
        <v>0</v>
      </c>
      <c r="J82" s="585">
        <f>SUM('Schedule 3B_Income_Eastern:Schedule 3D_Income_The Cape'!J82)</f>
        <v>0</v>
      </c>
      <c r="K82" s="586">
        <f t="shared" si="208"/>
        <v>0</v>
      </c>
      <c r="L82" s="587">
        <f>SUM('Schedule 3B_Income_Eastern:Schedule 3D_Income_The Cape'!L82)</f>
        <v>0</v>
      </c>
      <c r="M82" s="585">
        <f>SUM('Schedule 3B_Income_Eastern:Schedule 3D_Income_The Cape'!M82)</f>
        <v>0</v>
      </c>
      <c r="N82" s="585">
        <f>SUM('Schedule 3B_Income_Eastern:Schedule 3D_Income_The Cape'!N82)</f>
        <v>0</v>
      </c>
      <c r="O82" s="585">
        <f>SUM('Schedule 3B_Income_Eastern:Schedule 3D_Income_The Cape'!O82)</f>
        <v>0</v>
      </c>
      <c r="P82" s="585">
        <f>SUM('Schedule 3B_Income_Eastern:Schedule 3D_Income_The Cape'!P82)</f>
        <v>0</v>
      </c>
      <c r="Q82" s="585">
        <f>SUM('Schedule 3B_Income_Eastern:Schedule 3D_Income_The Cape'!Q82)</f>
        <v>0</v>
      </c>
      <c r="R82" s="585">
        <f>SUM('Schedule 3B_Income_Eastern:Schedule 3D_Income_The Cape'!R82)</f>
        <v>0</v>
      </c>
      <c r="S82" s="585">
        <f>SUM('Schedule 3B_Income_Eastern:Schedule 3D_Income_The Cape'!S82)</f>
        <v>0</v>
      </c>
      <c r="T82" s="588">
        <f t="shared" si="209"/>
        <v>0</v>
      </c>
      <c r="U82" s="589">
        <f t="shared" si="210"/>
        <v>0</v>
      </c>
      <c r="V82" s="300">
        <v>54</v>
      </c>
      <c r="W82" s="585">
        <f>SUM('Schedule 3B_Income_Eastern:Schedule 3D_Income_The Cape'!W82)</f>
        <v>0</v>
      </c>
      <c r="X82" s="585">
        <f>SUM('Schedule 3B_Income_Eastern:Schedule 3D_Income_The Cape'!X82)</f>
        <v>0</v>
      </c>
      <c r="Y82" s="585">
        <f>SUM('Schedule 3B_Income_Eastern:Schedule 3D_Income_The Cape'!Y82)</f>
        <v>0</v>
      </c>
      <c r="Z82" s="585">
        <f>SUM('Schedule 3B_Income_Eastern:Schedule 3D_Income_The Cape'!Z82)</f>
        <v>0</v>
      </c>
      <c r="AA82" s="585">
        <f>SUM('Schedule 3B_Income_Eastern:Schedule 3D_Income_The Cape'!AA82)</f>
        <v>0</v>
      </c>
      <c r="AB82" s="585">
        <f>SUM('Schedule 3B_Income_Eastern:Schedule 3D_Income_The Cape'!AB82)</f>
        <v>0</v>
      </c>
      <c r="AC82" s="585">
        <f>SUM('Schedule 3B_Income_Eastern:Schedule 3D_Income_The Cape'!AC82)</f>
        <v>0</v>
      </c>
      <c r="AD82" s="585">
        <f>SUM('Schedule 3B_Income_Eastern:Schedule 3D_Income_The Cape'!AD82)</f>
        <v>0</v>
      </c>
      <c r="AE82" s="586">
        <f t="shared" si="211"/>
        <v>0</v>
      </c>
      <c r="AF82" s="587">
        <f>SUM('Schedule 3B_Income_Eastern:Schedule 3D_Income_The Cape'!AF82)</f>
        <v>0</v>
      </c>
      <c r="AG82" s="585">
        <f>SUM('Schedule 3B_Income_Eastern:Schedule 3D_Income_The Cape'!AG82)</f>
        <v>0</v>
      </c>
      <c r="AH82" s="585">
        <f>SUM('Schedule 3B_Income_Eastern:Schedule 3D_Income_The Cape'!AH82)</f>
        <v>0</v>
      </c>
      <c r="AI82" s="585">
        <f>SUM('Schedule 3B_Income_Eastern:Schedule 3D_Income_The Cape'!AI82)</f>
        <v>0</v>
      </c>
      <c r="AJ82" s="585">
        <f>SUM('Schedule 3B_Income_Eastern:Schedule 3D_Income_The Cape'!AJ82)</f>
        <v>0</v>
      </c>
      <c r="AK82" s="585">
        <f>SUM('Schedule 3B_Income_Eastern:Schedule 3D_Income_The Cape'!AK82)</f>
        <v>0</v>
      </c>
      <c r="AL82" s="585">
        <f>SUM('Schedule 3B_Income_Eastern:Schedule 3D_Income_The Cape'!AL82)</f>
        <v>0</v>
      </c>
      <c r="AM82" s="585">
        <f>SUM('Schedule 3B_Income_Eastern:Schedule 3D_Income_The Cape'!AM82)</f>
        <v>0</v>
      </c>
      <c r="AN82" s="588">
        <f t="shared" si="212"/>
        <v>0</v>
      </c>
      <c r="AO82" s="589">
        <f t="shared" si="213"/>
        <v>0</v>
      </c>
      <c r="AP82" s="300">
        <v>54</v>
      </c>
      <c r="AQ82" s="585">
        <f>SUM('Schedule 3B_Income_Eastern:Schedule 3D_Income_The Cape'!AQ82)</f>
        <v>0</v>
      </c>
      <c r="AR82" s="585">
        <f>SUM('Schedule 3B_Income_Eastern:Schedule 3D_Income_The Cape'!AR82)</f>
        <v>0</v>
      </c>
      <c r="AS82" s="585">
        <f>SUM('Schedule 3B_Income_Eastern:Schedule 3D_Income_The Cape'!AS82)</f>
        <v>0</v>
      </c>
      <c r="AT82" s="585">
        <f>SUM('Schedule 3B_Income_Eastern:Schedule 3D_Income_The Cape'!AT82)</f>
        <v>0</v>
      </c>
      <c r="AU82" s="585">
        <f>SUM('Schedule 3B_Income_Eastern:Schedule 3D_Income_The Cape'!AU82)</f>
        <v>0</v>
      </c>
      <c r="AV82" s="585">
        <f>SUM('Schedule 3B_Income_Eastern:Schedule 3D_Income_The Cape'!AV82)</f>
        <v>0</v>
      </c>
      <c r="AW82" s="585">
        <f>SUM('Schedule 3B_Income_Eastern:Schedule 3D_Income_The Cape'!AW82)</f>
        <v>0</v>
      </c>
      <c r="AX82" s="585">
        <f>SUM('Schedule 3B_Income_Eastern:Schedule 3D_Income_The Cape'!AX82)</f>
        <v>0</v>
      </c>
      <c r="AY82" s="586">
        <f t="shared" si="214"/>
        <v>0</v>
      </c>
      <c r="AZ82" s="587">
        <f>SUM('Schedule 3B_Income_Eastern:Schedule 3D_Income_The Cape'!AZ82)</f>
        <v>0</v>
      </c>
      <c r="BA82" s="585">
        <f>SUM('Schedule 3B_Income_Eastern:Schedule 3D_Income_The Cape'!BA82)</f>
        <v>0</v>
      </c>
      <c r="BB82" s="585">
        <f>SUM('Schedule 3B_Income_Eastern:Schedule 3D_Income_The Cape'!BB82)</f>
        <v>0</v>
      </c>
      <c r="BC82" s="585">
        <f>SUM('Schedule 3B_Income_Eastern:Schedule 3D_Income_The Cape'!BC82)</f>
        <v>0</v>
      </c>
      <c r="BD82" s="585">
        <f>SUM('Schedule 3B_Income_Eastern:Schedule 3D_Income_The Cape'!BD82)</f>
        <v>0</v>
      </c>
      <c r="BE82" s="585">
        <f>SUM('Schedule 3B_Income_Eastern:Schedule 3D_Income_The Cape'!BE82)</f>
        <v>0</v>
      </c>
      <c r="BF82" s="585">
        <f>SUM('Schedule 3B_Income_Eastern:Schedule 3D_Income_The Cape'!BF82)</f>
        <v>0</v>
      </c>
      <c r="BG82" s="585">
        <f>SUM('Schedule 3B_Income_Eastern:Schedule 3D_Income_The Cape'!BG82)</f>
        <v>0</v>
      </c>
      <c r="BH82" s="588">
        <f t="shared" si="215"/>
        <v>0</v>
      </c>
      <c r="BI82" s="589">
        <f t="shared" si="216"/>
        <v>0</v>
      </c>
      <c r="BJ82" s="300">
        <v>54</v>
      </c>
      <c r="BK82" s="585">
        <f>SUM('Schedule 3B_Income_Eastern:Schedule 3D_Income_The Cape'!BK82)</f>
        <v>0</v>
      </c>
      <c r="BL82" s="585">
        <f>SUM('Schedule 3B_Income_Eastern:Schedule 3D_Income_The Cape'!BL82)</f>
        <v>0</v>
      </c>
      <c r="BM82" s="585">
        <f>SUM('Schedule 3B_Income_Eastern:Schedule 3D_Income_The Cape'!BM82)</f>
        <v>0</v>
      </c>
      <c r="BN82" s="585">
        <f>SUM('Schedule 3B_Income_Eastern:Schedule 3D_Income_The Cape'!BN82)</f>
        <v>0</v>
      </c>
      <c r="BO82" s="585">
        <f>SUM('Schedule 3B_Income_Eastern:Schedule 3D_Income_The Cape'!BO82)</f>
        <v>0</v>
      </c>
      <c r="BP82" s="585">
        <f>SUM('Schedule 3B_Income_Eastern:Schedule 3D_Income_The Cape'!BP82)</f>
        <v>0</v>
      </c>
      <c r="BQ82" s="585">
        <f>SUM('Schedule 3B_Income_Eastern:Schedule 3D_Income_The Cape'!BQ82)</f>
        <v>0</v>
      </c>
      <c r="BR82" s="585">
        <f>SUM('Schedule 3B_Income_Eastern:Schedule 3D_Income_The Cape'!BR82)</f>
        <v>0</v>
      </c>
      <c r="BS82" s="586">
        <f t="shared" si="217"/>
        <v>0</v>
      </c>
      <c r="BT82" s="587">
        <f>SUM('Schedule 3B_Income_Eastern:Schedule 3D_Income_The Cape'!BT82)</f>
        <v>0</v>
      </c>
      <c r="BU82" s="585">
        <f>SUM('Schedule 3B_Income_Eastern:Schedule 3D_Income_The Cape'!BU82)</f>
        <v>0</v>
      </c>
      <c r="BV82" s="585">
        <f>SUM('Schedule 3B_Income_Eastern:Schedule 3D_Income_The Cape'!BV82)</f>
        <v>0</v>
      </c>
      <c r="BW82" s="585">
        <f>SUM('Schedule 3B_Income_Eastern:Schedule 3D_Income_The Cape'!BW82)</f>
        <v>0</v>
      </c>
      <c r="BX82" s="585">
        <f>SUM('Schedule 3B_Income_Eastern:Schedule 3D_Income_The Cape'!BX82)</f>
        <v>0</v>
      </c>
      <c r="BY82" s="585">
        <f>SUM('Schedule 3B_Income_Eastern:Schedule 3D_Income_The Cape'!BY82)</f>
        <v>0</v>
      </c>
      <c r="BZ82" s="585">
        <f>SUM('Schedule 3B_Income_Eastern:Schedule 3D_Income_The Cape'!BZ82)</f>
        <v>0</v>
      </c>
      <c r="CA82" s="585">
        <f>SUM('Schedule 3B_Income_Eastern:Schedule 3D_Income_The Cape'!CA82)</f>
        <v>0</v>
      </c>
      <c r="CB82" s="588">
        <f t="shared" si="218"/>
        <v>0</v>
      </c>
      <c r="CC82" s="589">
        <f t="shared" si="219"/>
        <v>0</v>
      </c>
      <c r="CD82" s="300">
        <v>54</v>
      </c>
      <c r="CE82" s="414">
        <f t="shared" si="220"/>
        <v>0</v>
      </c>
      <c r="CF82" s="414">
        <f t="shared" si="221"/>
        <v>0</v>
      </c>
      <c r="CG82" s="414">
        <f t="shared" si="222"/>
        <v>0</v>
      </c>
      <c r="CH82" s="414">
        <f t="shared" si="223"/>
        <v>0</v>
      </c>
      <c r="CI82" s="416">
        <f t="shared" si="224"/>
        <v>0</v>
      </c>
      <c r="CJ82" s="414">
        <f t="shared" si="225"/>
        <v>0</v>
      </c>
      <c r="CK82" s="414">
        <f t="shared" si="226"/>
        <v>0</v>
      </c>
      <c r="CL82" s="414">
        <f t="shared" si="227"/>
        <v>0</v>
      </c>
      <c r="CM82" s="414">
        <f t="shared" si="228"/>
        <v>0</v>
      </c>
      <c r="CN82" s="416">
        <f t="shared" si="229"/>
        <v>0</v>
      </c>
      <c r="CO82" s="414">
        <f t="shared" si="230"/>
        <v>0</v>
      </c>
      <c r="CP82" s="414">
        <f t="shared" si="231"/>
        <v>0</v>
      </c>
      <c r="CQ82" s="414">
        <f t="shared" si="232"/>
        <v>0</v>
      </c>
      <c r="CR82" s="414">
        <f t="shared" si="233"/>
        <v>0</v>
      </c>
      <c r="CS82" s="416">
        <f t="shared" si="234"/>
        <v>0</v>
      </c>
    </row>
    <row r="83" spans="1:99" ht="15.75" customHeight="1">
      <c r="A83" s="88" t="s">
        <v>258</v>
      </c>
      <c r="B83" s="300">
        <v>55</v>
      </c>
      <c r="C83" s="585">
        <f>SUM('Schedule 3B_Income_Eastern:Schedule 3D_Income_The Cape'!C83)</f>
        <v>0</v>
      </c>
      <c r="D83" s="585">
        <f>SUM('Schedule 3B_Income_Eastern:Schedule 3D_Income_The Cape'!D83)</f>
        <v>0</v>
      </c>
      <c r="E83" s="585">
        <f>SUM('Schedule 3B_Income_Eastern:Schedule 3D_Income_The Cape'!E83)</f>
        <v>0</v>
      </c>
      <c r="F83" s="585">
        <f>SUM('Schedule 3B_Income_Eastern:Schedule 3D_Income_The Cape'!F83)</f>
        <v>0</v>
      </c>
      <c r="G83" s="585">
        <f>SUM('Schedule 3B_Income_Eastern:Schedule 3D_Income_The Cape'!G83)</f>
        <v>0</v>
      </c>
      <c r="H83" s="585">
        <f>SUM('Schedule 3B_Income_Eastern:Schedule 3D_Income_The Cape'!H83)</f>
        <v>0</v>
      </c>
      <c r="I83" s="585">
        <f>SUM('Schedule 3B_Income_Eastern:Schedule 3D_Income_The Cape'!I83)</f>
        <v>0</v>
      </c>
      <c r="J83" s="585">
        <f>SUM('Schedule 3B_Income_Eastern:Schedule 3D_Income_The Cape'!J83)</f>
        <v>0</v>
      </c>
      <c r="K83" s="586">
        <f t="shared" si="208"/>
        <v>0</v>
      </c>
      <c r="L83" s="587">
        <f>SUM('Schedule 3B_Income_Eastern:Schedule 3D_Income_The Cape'!L83)</f>
        <v>0</v>
      </c>
      <c r="M83" s="585">
        <f>SUM('Schedule 3B_Income_Eastern:Schedule 3D_Income_The Cape'!M83)</f>
        <v>0</v>
      </c>
      <c r="N83" s="585">
        <f>SUM('Schedule 3B_Income_Eastern:Schedule 3D_Income_The Cape'!N83)</f>
        <v>0</v>
      </c>
      <c r="O83" s="585">
        <f>SUM('Schedule 3B_Income_Eastern:Schedule 3D_Income_The Cape'!O83)</f>
        <v>0</v>
      </c>
      <c r="P83" s="585">
        <f>SUM('Schedule 3B_Income_Eastern:Schedule 3D_Income_The Cape'!P83)</f>
        <v>0</v>
      </c>
      <c r="Q83" s="585">
        <f>SUM('Schedule 3B_Income_Eastern:Schedule 3D_Income_The Cape'!Q83)</f>
        <v>0</v>
      </c>
      <c r="R83" s="585">
        <f>SUM('Schedule 3B_Income_Eastern:Schedule 3D_Income_The Cape'!R83)</f>
        <v>0</v>
      </c>
      <c r="S83" s="585">
        <f>SUM('Schedule 3B_Income_Eastern:Schedule 3D_Income_The Cape'!S83)</f>
        <v>0</v>
      </c>
      <c r="T83" s="588">
        <f t="shared" si="209"/>
        <v>0</v>
      </c>
      <c r="U83" s="589">
        <f t="shared" si="210"/>
        <v>0</v>
      </c>
      <c r="V83" s="300">
        <v>55</v>
      </c>
      <c r="W83" s="585">
        <f>SUM('Schedule 3B_Income_Eastern:Schedule 3D_Income_The Cape'!W83)</f>
        <v>0</v>
      </c>
      <c r="X83" s="585">
        <f>SUM('Schedule 3B_Income_Eastern:Schedule 3D_Income_The Cape'!X83)</f>
        <v>0</v>
      </c>
      <c r="Y83" s="585">
        <f>SUM('Schedule 3B_Income_Eastern:Schedule 3D_Income_The Cape'!Y83)</f>
        <v>0</v>
      </c>
      <c r="Z83" s="585">
        <f>SUM('Schedule 3B_Income_Eastern:Schedule 3D_Income_The Cape'!Z83)</f>
        <v>0</v>
      </c>
      <c r="AA83" s="585">
        <f>SUM('Schedule 3B_Income_Eastern:Schedule 3D_Income_The Cape'!AA83)</f>
        <v>0</v>
      </c>
      <c r="AB83" s="585">
        <f>SUM('Schedule 3B_Income_Eastern:Schedule 3D_Income_The Cape'!AB83)</f>
        <v>0</v>
      </c>
      <c r="AC83" s="585">
        <f>SUM('Schedule 3B_Income_Eastern:Schedule 3D_Income_The Cape'!AC83)</f>
        <v>0</v>
      </c>
      <c r="AD83" s="585">
        <f>SUM('Schedule 3B_Income_Eastern:Schedule 3D_Income_The Cape'!AD83)</f>
        <v>0</v>
      </c>
      <c r="AE83" s="586">
        <f t="shared" si="211"/>
        <v>0</v>
      </c>
      <c r="AF83" s="587">
        <f>SUM('Schedule 3B_Income_Eastern:Schedule 3D_Income_The Cape'!AF83)</f>
        <v>0</v>
      </c>
      <c r="AG83" s="585">
        <f>SUM('Schedule 3B_Income_Eastern:Schedule 3D_Income_The Cape'!AG83)</f>
        <v>0</v>
      </c>
      <c r="AH83" s="585">
        <f>SUM('Schedule 3B_Income_Eastern:Schedule 3D_Income_The Cape'!AH83)</f>
        <v>0</v>
      </c>
      <c r="AI83" s="585">
        <f>SUM('Schedule 3B_Income_Eastern:Schedule 3D_Income_The Cape'!AI83)</f>
        <v>0</v>
      </c>
      <c r="AJ83" s="585">
        <f>SUM('Schedule 3B_Income_Eastern:Schedule 3D_Income_The Cape'!AJ83)</f>
        <v>0</v>
      </c>
      <c r="AK83" s="585">
        <f>SUM('Schedule 3B_Income_Eastern:Schedule 3D_Income_The Cape'!AK83)</f>
        <v>0</v>
      </c>
      <c r="AL83" s="585">
        <f>SUM('Schedule 3B_Income_Eastern:Schedule 3D_Income_The Cape'!AL83)</f>
        <v>0</v>
      </c>
      <c r="AM83" s="585">
        <f>SUM('Schedule 3B_Income_Eastern:Schedule 3D_Income_The Cape'!AM83)</f>
        <v>0</v>
      </c>
      <c r="AN83" s="588">
        <f t="shared" si="212"/>
        <v>0</v>
      </c>
      <c r="AO83" s="589">
        <f t="shared" si="213"/>
        <v>0</v>
      </c>
      <c r="AP83" s="300">
        <v>55</v>
      </c>
      <c r="AQ83" s="585">
        <f>SUM('Schedule 3B_Income_Eastern:Schedule 3D_Income_The Cape'!AQ83)</f>
        <v>0</v>
      </c>
      <c r="AR83" s="585">
        <f>SUM('Schedule 3B_Income_Eastern:Schedule 3D_Income_The Cape'!AR83)</f>
        <v>0</v>
      </c>
      <c r="AS83" s="585">
        <f>SUM('Schedule 3B_Income_Eastern:Schedule 3D_Income_The Cape'!AS83)</f>
        <v>0</v>
      </c>
      <c r="AT83" s="585">
        <f>SUM('Schedule 3B_Income_Eastern:Schedule 3D_Income_The Cape'!AT83)</f>
        <v>0</v>
      </c>
      <c r="AU83" s="585">
        <f>SUM('Schedule 3B_Income_Eastern:Schedule 3D_Income_The Cape'!AU83)</f>
        <v>0</v>
      </c>
      <c r="AV83" s="585">
        <f>SUM('Schedule 3B_Income_Eastern:Schedule 3D_Income_The Cape'!AV83)</f>
        <v>0</v>
      </c>
      <c r="AW83" s="585">
        <f>SUM('Schedule 3B_Income_Eastern:Schedule 3D_Income_The Cape'!AW83)</f>
        <v>0</v>
      </c>
      <c r="AX83" s="585">
        <f>SUM('Schedule 3B_Income_Eastern:Schedule 3D_Income_The Cape'!AX83)</f>
        <v>0</v>
      </c>
      <c r="AY83" s="586">
        <f t="shared" si="214"/>
        <v>0</v>
      </c>
      <c r="AZ83" s="587">
        <f>SUM('Schedule 3B_Income_Eastern:Schedule 3D_Income_The Cape'!AZ83)</f>
        <v>0</v>
      </c>
      <c r="BA83" s="585">
        <f>SUM('Schedule 3B_Income_Eastern:Schedule 3D_Income_The Cape'!BA83)</f>
        <v>0</v>
      </c>
      <c r="BB83" s="585">
        <f>SUM('Schedule 3B_Income_Eastern:Schedule 3D_Income_The Cape'!BB83)</f>
        <v>0</v>
      </c>
      <c r="BC83" s="585">
        <f>SUM('Schedule 3B_Income_Eastern:Schedule 3D_Income_The Cape'!BC83)</f>
        <v>0</v>
      </c>
      <c r="BD83" s="585">
        <f>SUM('Schedule 3B_Income_Eastern:Schedule 3D_Income_The Cape'!BD83)</f>
        <v>0</v>
      </c>
      <c r="BE83" s="585">
        <f>SUM('Schedule 3B_Income_Eastern:Schedule 3D_Income_The Cape'!BE83)</f>
        <v>0</v>
      </c>
      <c r="BF83" s="585">
        <f>SUM('Schedule 3B_Income_Eastern:Schedule 3D_Income_The Cape'!BF83)</f>
        <v>0</v>
      </c>
      <c r="BG83" s="585">
        <f>SUM('Schedule 3B_Income_Eastern:Schedule 3D_Income_The Cape'!BG83)</f>
        <v>0</v>
      </c>
      <c r="BH83" s="588">
        <f t="shared" si="215"/>
        <v>0</v>
      </c>
      <c r="BI83" s="589">
        <f t="shared" si="216"/>
        <v>0</v>
      </c>
      <c r="BJ83" s="300">
        <v>55</v>
      </c>
      <c r="BK83" s="585">
        <f>SUM('Schedule 3B_Income_Eastern:Schedule 3D_Income_The Cape'!BK83)</f>
        <v>0</v>
      </c>
      <c r="BL83" s="585">
        <f>SUM('Schedule 3B_Income_Eastern:Schedule 3D_Income_The Cape'!BL83)</f>
        <v>0</v>
      </c>
      <c r="BM83" s="585">
        <f>SUM('Schedule 3B_Income_Eastern:Schedule 3D_Income_The Cape'!BM83)</f>
        <v>0</v>
      </c>
      <c r="BN83" s="585">
        <f>SUM('Schedule 3B_Income_Eastern:Schedule 3D_Income_The Cape'!BN83)</f>
        <v>0</v>
      </c>
      <c r="BO83" s="585">
        <f>SUM('Schedule 3B_Income_Eastern:Schedule 3D_Income_The Cape'!BO83)</f>
        <v>0</v>
      </c>
      <c r="BP83" s="585">
        <f>SUM('Schedule 3B_Income_Eastern:Schedule 3D_Income_The Cape'!BP83)</f>
        <v>0</v>
      </c>
      <c r="BQ83" s="585">
        <f>SUM('Schedule 3B_Income_Eastern:Schedule 3D_Income_The Cape'!BQ83)</f>
        <v>0</v>
      </c>
      <c r="BR83" s="585">
        <f>SUM('Schedule 3B_Income_Eastern:Schedule 3D_Income_The Cape'!BR83)</f>
        <v>0</v>
      </c>
      <c r="BS83" s="586">
        <f t="shared" si="217"/>
        <v>0</v>
      </c>
      <c r="BT83" s="587">
        <f>SUM('Schedule 3B_Income_Eastern:Schedule 3D_Income_The Cape'!BT83)</f>
        <v>0</v>
      </c>
      <c r="BU83" s="585">
        <f>SUM('Schedule 3B_Income_Eastern:Schedule 3D_Income_The Cape'!BU83)</f>
        <v>0</v>
      </c>
      <c r="BV83" s="585">
        <f>SUM('Schedule 3B_Income_Eastern:Schedule 3D_Income_The Cape'!BV83)</f>
        <v>0</v>
      </c>
      <c r="BW83" s="585">
        <f>SUM('Schedule 3B_Income_Eastern:Schedule 3D_Income_The Cape'!BW83)</f>
        <v>0</v>
      </c>
      <c r="BX83" s="585">
        <f>SUM('Schedule 3B_Income_Eastern:Schedule 3D_Income_The Cape'!BX83)</f>
        <v>0</v>
      </c>
      <c r="BY83" s="585">
        <f>SUM('Schedule 3B_Income_Eastern:Schedule 3D_Income_The Cape'!BY83)</f>
        <v>0</v>
      </c>
      <c r="BZ83" s="585">
        <f>SUM('Schedule 3B_Income_Eastern:Schedule 3D_Income_The Cape'!BZ83)</f>
        <v>0</v>
      </c>
      <c r="CA83" s="585">
        <f>SUM('Schedule 3B_Income_Eastern:Schedule 3D_Income_The Cape'!CA83)</f>
        <v>0</v>
      </c>
      <c r="CB83" s="588">
        <f t="shared" si="218"/>
        <v>0</v>
      </c>
      <c r="CC83" s="589">
        <f t="shared" si="219"/>
        <v>0</v>
      </c>
      <c r="CD83" s="300">
        <v>55</v>
      </c>
      <c r="CE83" s="414">
        <f t="shared" si="220"/>
        <v>0</v>
      </c>
      <c r="CF83" s="414">
        <f t="shared" si="221"/>
        <v>0</v>
      </c>
      <c r="CG83" s="414">
        <f t="shared" si="222"/>
        <v>0</v>
      </c>
      <c r="CH83" s="414">
        <f t="shared" si="223"/>
        <v>0</v>
      </c>
      <c r="CI83" s="416">
        <f t="shared" si="224"/>
        <v>0</v>
      </c>
      <c r="CJ83" s="414">
        <f t="shared" si="225"/>
        <v>0</v>
      </c>
      <c r="CK83" s="414">
        <f t="shared" si="226"/>
        <v>0</v>
      </c>
      <c r="CL83" s="414">
        <f t="shared" si="227"/>
        <v>0</v>
      </c>
      <c r="CM83" s="414">
        <f t="shared" si="228"/>
        <v>0</v>
      </c>
      <c r="CN83" s="416">
        <f t="shared" si="229"/>
        <v>0</v>
      </c>
      <c r="CO83" s="414">
        <f t="shared" si="230"/>
        <v>0</v>
      </c>
      <c r="CP83" s="414">
        <f t="shared" si="231"/>
        <v>0</v>
      </c>
      <c r="CQ83" s="414">
        <f t="shared" si="232"/>
        <v>0</v>
      </c>
      <c r="CR83" s="414">
        <f t="shared" si="233"/>
        <v>0</v>
      </c>
      <c r="CS83" s="416">
        <f t="shared" si="234"/>
        <v>0</v>
      </c>
    </row>
    <row r="84" spans="1:99" ht="15.75" customHeight="1">
      <c r="A84" s="88" t="s">
        <v>260</v>
      </c>
      <c r="B84" s="300">
        <v>56</v>
      </c>
      <c r="C84" s="585">
        <f>SUM('Schedule 3B_Income_Eastern:Schedule 3D_Income_The Cape'!C84)</f>
        <v>0</v>
      </c>
      <c r="D84" s="585">
        <f>SUM('Schedule 3B_Income_Eastern:Schedule 3D_Income_The Cape'!D84)</f>
        <v>0</v>
      </c>
      <c r="E84" s="585">
        <f>SUM('Schedule 3B_Income_Eastern:Schedule 3D_Income_The Cape'!E84)</f>
        <v>0</v>
      </c>
      <c r="F84" s="585">
        <f>SUM('Schedule 3B_Income_Eastern:Schedule 3D_Income_The Cape'!F84)</f>
        <v>0</v>
      </c>
      <c r="G84" s="585">
        <f>SUM('Schedule 3B_Income_Eastern:Schedule 3D_Income_The Cape'!G84)</f>
        <v>0</v>
      </c>
      <c r="H84" s="585">
        <f>SUM('Schedule 3B_Income_Eastern:Schedule 3D_Income_The Cape'!H84)</f>
        <v>0</v>
      </c>
      <c r="I84" s="585">
        <f>SUM('Schedule 3B_Income_Eastern:Schedule 3D_Income_The Cape'!I84)</f>
        <v>0</v>
      </c>
      <c r="J84" s="585">
        <f>SUM('Schedule 3B_Income_Eastern:Schedule 3D_Income_The Cape'!J84)</f>
        <v>0</v>
      </c>
      <c r="K84" s="586">
        <f t="shared" ref="K84" si="235">SUM(C84:J84)</f>
        <v>0</v>
      </c>
      <c r="L84" s="587">
        <f>SUM('Schedule 3B_Income_Eastern:Schedule 3D_Income_The Cape'!L84)</f>
        <v>0</v>
      </c>
      <c r="M84" s="585">
        <f>SUM('Schedule 3B_Income_Eastern:Schedule 3D_Income_The Cape'!M84)</f>
        <v>0</v>
      </c>
      <c r="N84" s="585">
        <f>SUM('Schedule 3B_Income_Eastern:Schedule 3D_Income_The Cape'!N84)</f>
        <v>0</v>
      </c>
      <c r="O84" s="585">
        <f>SUM('Schedule 3B_Income_Eastern:Schedule 3D_Income_The Cape'!O84)</f>
        <v>0</v>
      </c>
      <c r="P84" s="585">
        <f>SUM('Schedule 3B_Income_Eastern:Schedule 3D_Income_The Cape'!P84)</f>
        <v>0</v>
      </c>
      <c r="Q84" s="585">
        <f>SUM('Schedule 3B_Income_Eastern:Schedule 3D_Income_The Cape'!Q84)</f>
        <v>0</v>
      </c>
      <c r="R84" s="585">
        <f>SUM('Schedule 3B_Income_Eastern:Schedule 3D_Income_The Cape'!R84)</f>
        <v>0</v>
      </c>
      <c r="S84" s="585">
        <f>SUM('Schedule 3B_Income_Eastern:Schedule 3D_Income_The Cape'!S84)</f>
        <v>0</v>
      </c>
      <c r="T84" s="588">
        <f t="shared" ref="T84" si="236">SUM(L84:S84)</f>
        <v>0</v>
      </c>
      <c r="U84" s="589">
        <f t="shared" ref="U84" si="237">SUM(T84,K84)</f>
        <v>0</v>
      </c>
      <c r="V84" s="300">
        <v>56</v>
      </c>
      <c r="W84" s="585">
        <f>SUM('Schedule 3B_Income_Eastern:Schedule 3D_Income_The Cape'!W84)</f>
        <v>0</v>
      </c>
      <c r="X84" s="585">
        <f>SUM('Schedule 3B_Income_Eastern:Schedule 3D_Income_The Cape'!X84)</f>
        <v>0</v>
      </c>
      <c r="Y84" s="585">
        <f>SUM('Schedule 3B_Income_Eastern:Schedule 3D_Income_The Cape'!Y84)</f>
        <v>0</v>
      </c>
      <c r="Z84" s="585">
        <f>SUM('Schedule 3B_Income_Eastern:Schedule 3D_Income_The Cape'!Z84)</f>
        <v>0</v>
      </c>
      <c r="AA84" s="585">
        <f>SUM('Schedule 3B_Income_Eastern:Schedule 3D_Income_The Cape'!AA84)</f>
        <v>0</v>
      </c>
      <c r="AB84" s="585">
        <f>SUM('Schedule 3B_Income_Eastern:Schedule 3D_Income_The Cape'!AB84)</f>
        <v>0</v>
      </c>
      <c r="AC84" s="585">
        <f>SUM('Schedule 3B_Income_Eastern:Schedule 3D_Income_The Cape'!AC84)</f>
        <v>0</v>
      </c>
      <c r="AD84" s="585">
        <f>SUM('Schedule 3B_Income_Eastern:Schedule 3D_Income_The Cape'!AD84)</f>
        <v>0</v>
      </c>
      <c r="AE84" s="586">
        <f t="shared" ref="AE84" si="238">SUM(W84:AD84)</f>
        <v>0</v>
      </c>
      <c r="AF84" s="587">
        <f>SUM('Schedule 3B_Income_Eastern:Schedule 3D_Income_The Cape'!AF84)</f>
        <v>0</v>
      </c>
      <c r="AG84" s="585">
        <f>SUM('Schedule 3B_Income_Eastern:Schedule 3D_Income_The Cape'!AG84)</f>
        <v>0</v>
      </c>
      <c r="AH84" s="585">
        <f>SUM('Schedule 3B_Income_Eastern:Schedule 3D_Income_The Cape'!AH84)</f>
        <v>0</v>
      </c>
      <c r="AI84" s="585">
        <f>SUM('Schedule 3B_Income_Eastern:Schedule 3D_Income_The Cape'!AI84)</f>
        <v>0</v>
      </c>
      <c r="AJ84" s="585">
        <f>SUM('Schedule 3B_Income_Eastern:Schedule 3D_Income_The Cape'!AJ84)</f>
        <v>0</v>
      </c>
      <c r="AK84" s="585">
        <f>SUM('Schedule 3B_Income_Eastern:Schedule 3D_Income_The Cape'!AK84)</f>
        <v>0</v>
      </c>
      <c r="AL84" s="585">
        <f>SUM('Schedule 3B_Income_Eastern:Schedule 3D_Income_The Cape'!AL84)</f>
        <v>0</v>
      </c>
      <c r="AM84" s="585">
        <f>SUM('Schedule 3B_Income_Eastern:Schedule 3D_Income_The Cape'!AM84)</f>
        <v>0</v>
      </c>
      <c r="AN84" s="588">
        <f t="shared" ref="AN84" si="239">SUM(AF84:AM84)</f>
        <v>0</v>
      </c>
      <c r="AO84" s="589">
        <f t="shared" ref="AO84" si="240">SUM(AN84,AE84)</f>
        <v>0</v>
      </c>
      <c r="AP84" s="300">
        <v>56</v>
      </c>
      <c r="AQ84" s="585">
        <f>SUM('Schedule 3B_Income_Eastern:Schedule 3D_Income_The Cape'!AQ84)</f>
        <v>0</v>
      </c>
      <c r="AR84" s="585">
        <f>SUM('Schedule 3B_Income_Eastern:Schedule 3D_Income_The Cape'!AR84)</f>
        <v>0</v>
      </c>
      <c r="AS84" s="585">
        <f>SUM('Schedule 3B_Income_Eastern:Schedule 3D_Income_The Cape'!AS84)</f>
        <v>0</v>
      </c>
      <c r="AT84" s="585">
        <f>SUM('Schedule 3B_Income_Eastern:Schedule 3D_Income_The Cape'!AT84)</f>
        <v>0</v>
      </c>
      <c r="AU84" s="585">
        <f>SUM('Schedule 3B_Income_Eastern:Schedule 3D_Income_The Cape'!AU84)</f>
        <v>0</v>
      </c>
      <c r="AV84" s="585">
        <f>SUM('Schedule 3B_Income_Eastern:Schedule 3D_Income_The Cape'!AV84)</f>
        <v>0</v>
      </c>
      <c r="AW84" s="585">
        <f>SUM('Schedule 3B_Income_Eastern:Schedule 3D_Income_The Cape'!AW84)</f>
        <v>0</v>
      </c>
      <c r="AX84" s="585">
        <f>SUM('Schedule 3B_Income_Eastern:Schedule 3D_Income_The Cape'!AX84)</f>
        <v>0</v>
      </c>
      <c r="AY84" s="586">
        <f t="shared" ref="AY84" si="241">SUM(AQ84:AX84)</f>
        <v>0</v>
      </c>
      <c r="AZ84" s="587">
        <f>SUM('Schedule 3B_Income_Eastern:Schedule 3D_Income_The Cape'!AZ84)</f>
        <v>0</v>
      </c>
      <c r="BA84" s="585">
        <f>SUM('Schedule 3B_Income_Eastern:Schedule 3D_Income_The Cape'!BA84)</f>
        <v>0</v>
      </c>
      <c r="BB84" s="585">
        <f>SUM('Schedule 3B_Income_Eastern:Schedule 3D_Income_The Cape'!BB84)</f>
        <v>0</v>
      </c>
      <c r="BC84" s="585">
        <f>SUM('Schedule 3B_Income_Eastern:Schedule 3D_Income_The Cape'!BC84)</f>
        <v>0</v>
      </c>
      <c r="BD84" s="585">
        <f>SUM('Schedule 3B_Income_Eastern:Schedule 3D_Income_The Cape'!BD84)</f>
        <v>0</v>
      </c>
      <c r="BE84" s="585">
        <f>SUM('Schedule 3B_Income_Eastern:Schedule 3D_Income_The Cape'!BE84)</f>
        <v>0</v>
      </c>
      <c r="BF84" s="585">
        <f>SUM('Schedule 3B_Income_Eastern:Schedule 3D_Income_The Cape'!BF84)</f>
        <v>0</v>
      </c>
      <c r="BG84" s="585">
        <f>SUM('Schedule 3B_Income_Eastern:Schedule 3D_Income_The Cape'!BG84)</f>
        <v>0</v>
      </c>
      <c r="BH84" s="588">
        <f t="shared" ref="BH84" si="242">SUM(AZ84:BG84)</f>
        <v>0</v>
      </c>
      <c r="BI84" s="589">
        <f t="shared" ref="BI84" si="243">SUM(BH84,AY84)</f>
        <v>0</v>
      </c>
      <c r="BJ84" s="300">
        <v>56</v>
      </c>
      <c r="BK84" s="585">
        <f>SUM('Schedule 3B_Income_Eastern:Schedule 3D_Income_The Cape'!BK84)</f>
        <v>0</v>
      </c>
      <c r="BL84" s="585">
        <f>SUM('Schedule 3B_Income_Eastern:Schedule 3D_Income_The Cape'!BL84)</f>
        <v>0</v>
      </c>
      <c r="BM84" s="585">
        <f>SUM('Schedule 3B_Income_Eastern:Schedule 3D_Income_The Cape'!BM84)</f>
        <v>0</v>
      </c>
      <c r="BN84" s="585">
        <f>SUM('Schedule 3B_Income_Eastern:Schedule 3D_Income_The Cape'!BN84)</f>
        <v>0</v>
      </c>
      <c r="BO84" s="585">
        <f>SUM('Schedule 3B_Income_Eastern:Schedule 3D_Income_The Cape'!BO84)</f>
        <v>0</v>
      </c>
      <c r="BP84" s="585">
        <f>SUM('Schedule 3B_Income_Eastern:Schedule 3D_Income_The Cape'!BP84)</f>
        <v>0</v>
      </c>
      <c r="BQ84" s="585">
        <f>SUM('Schedule 3B_Income_Eastern:Schedule 3D_Income_The Cape'!BQ84)</f>
        <v>0</v>
      </c>
      <c r="BR84" s="585">
        <f>SUM('Schedule 3B_Income_Eastern:Schedule 3D_Income_The Cape'!BR84)</f>
        <v>0</v>
      </c>
      <c r="BS84" s="586">
        <f t="shared" ref="BS84" si="244">SUM(BK84:BR84)</f>
        <v>0</v>
      </c>
      <c r="BT84" s="587">
        <f>SUM('Schedule 3B_Income_Eastern:Schedule 3D_Income_The Cape'!BT84)</f>
        <v>0</v>
      </c>
      <c r="BU84" s="585">
        <f>SUM('Schedule 3B_Income_Eastern:Schedule 3D_Income_The Cape'!BU84)</f>
        <v>0</v>
      </c>
      <c r="BV84" s="585">
        <f>SUM('Schedule 3B_Income_Eastern:Schedule 3D_Income_The Cape'!BV84)</f>
        <v>0</v>
      </c>
      <c r="BW84" s="585">
        <f>SUM('Schedule 3B_Income_Eastern:Schedule 3D_Income_The Cape'!BW84)</f>
        <v>0</v>
      </c>
      <c r="BX84" s="585">
        <f>SUM('Schedule 3B_Income_Eastern:Schedule 3D_Income_The Cape'!BX84)</f>
        <v>0</v>
      </c>
      <c r="BY84" s="585">
        <f>SUM('Schedule 3B_Income_Eastern:Schedule 3D_Income_The Cape'!BY84)</f>
        <v>0</v>
      </c>
      <c r="BZ84" s="585">
        <f>SUM('Schedule 3B_Income_Eastern:Schedule 3D_Income_The Cape'!BZ84)</f>
        <v>0</v>
      </c>
      <c r="CA84" s="585">
        <f>SUM('Schedule 3B_Income_Eastern:Schedule 3D_Income_The Cape'!CA84)</f>
        <v>0</v>
      </c>
      <c r="CB84" s="588">
        <f t="shared" ref="CB84" si="245">SUM(BT84:CA84)</f>
        <v>0</v>
      </c>
      <c r="CC84" s="589">
        <f t="shared" ref="CC84" si="246">SUM(CB84,BS84)</f>
        <v>0</v>
      </c>
      <c r="CD84" s="300">
        <v>56</v>
      </c>
      <c r="CE84" s="414">
        <f t="shared" si="220"/>
        <v>0</v>
      </c>
      <c r="CF84" s="414">
        <f t="shared" si="221"/>
        <v>0</v>
      </c>
      <c r="CG84" s="414">
        <f t="shared" si="222"/>
        <v>0</v>
      </c>
      <c r="CH84" s="414">
        <f t="shared" si="223"/>
        <v>0</v>
      </c>
      <c r="CI84" s="416">
        <f t="shared" si="224"/>
        <v>0</v>
      </c>
      <c r="CJ84" s="414">
        <f t="shared" si="225"/>
        <v>0</v>
      </c>
      <c r="CK84" s="414">
        <f t="shared" si="226"/>
        <v>0</v>
      </c>
      <c r="CL84" s="414">
        <f t="shared" si="227"/>
        <v>0</v>
      </c>
      <c r="CM84" s="414">
        <f t="shared" si="228"/>
        <v>0</v>
      </c>
      <c r="CN84" s="416">
        <f t="shared" si="229"/>
        <v>0</v>
      </c>
      <c r="CO84" s="414">
        <f t="shared" si="230"/>
        <v>0</v>
      </c>
      <c r="CP84" s="414">
        <f t="shared" si="231"/>
        <v>0</v>
      </c>
      <c r="CQ84" s="414">
        <f t="shared" si="232"/>
        <v>0</v>
      </c>
      <c r="CR84" s="414">
        <f t="shared" si="233"/>
        <v>0</v>
      </c>
      <c r="CS84" s="416">
        <f t="shared" si="234"/>
        <v>0</v>
      </c>
    </row>
    <row r="85" spans="1:99" ht="15.75" customHeight="1">
      <c r="A85" s="88" t="s">
        <v>262</v>
      </c>
      <c r="B85" s="300">
        <v>57</v>
      </c>
      <c r="C85" s="585">
        <f>SUM('Schedule 3B_Income_Eastern:Schedule 3D_Income_The Cape'!C85)</f>
        <v>0</v>
      </c>
      <c r="D85" s="585">
        <f>SUM('Schedule 3B_Income_Eastern:Schedule 3D_Income_The Cape'!D85)</f>
        <v>0</v>
      </c>
      <c r="E85" s="585">
        <f>SUM('Schedule 3B_Income_Eastern:Schedule 3D_Income_The Cape'!E85)</f>
        <v>0</v>
      </c>
      <c r="F85" s="585">
        <f>SUM('Schedule 3B_Income_Eastern:Schedule 3D_Income_The Cape'!F85)</f>
        <v>0</v>
      </c>
      <c r="G85" s="585">
        <f>SUM('Schedule 3B_Income_Eastern:Schedule 3D_Income_The Cape'!G85)</f>
        <v>0</v>
      </c>
      <c r="H85" s="585">
        <f>SUM('Schedule 3B_Income_Eastern:Schedule 3D_Income_The Cape'!H85)</f>
        <v>0</v>
      </c>
      <c r="I85" s="585">
        <f>SUM('Schedule 3B_Income_Eastern:Schedule 3D_Income_The Cape'!I85)</f>
        <v>0</v>
      </c>
      <c r="J85" s="585">
        <f>SUM('Schedule 3B_Income_Eastern:Schedule 3D_Income_The Cape'!J85)</f>
        <v>0</v>
      </c>
      <c r="K85" s="586">
        <f t="shared" si="208"/>
        <v>0</v>
      </c>
      <c r="L85" s="587">
        <f>SUM('Schedule 3B_Income_Eastern:Schedule 3D_Income_The Cape'!L85)</f>
        <v>0</v>
      </c>
      <c r="M85" s="585">
        <f>SUM('Schedule 3B_Income_Eastern:Schedule 3D_Income_The Cape'!M85)</f>
        <v>0</v>
      </c>
      <c r="N85" s="585">
        <f>SUM('Schedule 3B_Income_Eastern:Schedule 3D_Income_The Cape'!N85)</f>
        <v>0</v>
      </c>
      <c r="O85" s="585">
        <f>SUM('Schedule 3B_Income_Eastern:Schedule 3D_Income_The Cape'!O85)</f>
        <v>0</v>
      </c>
      <c r="P85" s="585">
        <f>SUM('Schedule 3B_Income_Eastern:Schedule 3D_Income_The Cape'!P85)</f>
        <v>0</v>
      </c>
      <c r="Q85" s="585">
        <f>SUM('Schedule 3B_Income_Eastern:Schedule 3D_Income_The Cape'!Q85)</f>
        <v>0</v>
      </c>
      <c r="R85" s="585">
        <f>SUM('Schedule 3B_Income_Eastern:Schedule 3D_Income_The Cape'!R85)</f>
        <v>0</v>
      </c>
      <c r="S85" s="585">
        <f>SUM('Schedule 3B_Income_Eastern:Schedule 3D_Income_The Cape'!S85)</f>
        <v>0</v>
      </c>
      <c r="T85" s="588">
        <f t="shared" si="209"/>
        <v>0</v>
      </c>
      <c r="U85" s="589">
        <f t="shared" si="210"/>
        <v>0</v>
      </c>
      <c r="V85" s="300">
        <v>57</v>
      </c>
      <c r="W85" s="585">
        <f>SUM('Schedule 3B_Income_Eastern:Schedule 3D_Income_The Cape'!W85)</f>
        <v>0</v>
      </c>
      <c r="X85" s="585">
        <f>SUM('Schedule 3B_Income_Eastern:Schedule 3D_Income_The Cape'!X85)</f>
        <v>0</v>
      </c>
      <c r="Y85" s="585">
        <f>SUM('Schedule 3B_Income_Eastern:Schedule 3D_Income_The Cape'!Y85)</f>
        <v>0</v>
      </c>
      <c r="Z85" s="585">
        <f>SUM('Schedule 3B_Income_Eastern:Schedule 3D_Income_The Cape'!Z85)</f>
        <v>0</v>
      </c>
      <c r="AA85" s="585">
        <f>SUM('Schedule 3B_Income_Eastern:Schedule 3D_Income_The Cape'!AA85)</f>
        <v>0</v>
      </c>
      <c r="AB85" s="585">
        <f>SUM('Schedule 3B_Income_Eastern:Schedule 3D_Income_The Cape'!AB85)</f>
        <v>0</v>
      </c>
      <c r="AC85" s="585">
        <f>SUM('Schedule 3B_Income_Eastern:Schedule 3D_Income_The Cape'!AC85)</f>
        <v>0</v>
      </c>
      <c r="AD85" s="585">
        <f>SUM('Schedule 3B_Income_Eastern:Schedule 3D_Income_The Cape'!AD85)</f>
        <v>0</v>
      </c>
      <c r="AE85" s="586">
        <f t="shared" si="211"/>
        <v>0</v>
      </c>
      <c r="AF85" s="587">
        <f>SUM('Schedule 3B_Income_Eastern:Schedule 3D_Income_The Cape'!AF85)</f>
        <v>0</v>
      </c>
      <c r="AG85" s="585">
        <f>SUM('Schedule 3B_Income_Eastern:Schedule 3D_Income_The Cape'!AG85)</f>
        <v>0</v>
      </c>
      <c r="AH85" s="585">
        <f>SUM('Schedule 3B_Income_Eastern:Schedule 3D_Income_The Cape'!AH85)</f>
        <v>0</v>
      </c>
      <c r="AI85" s="585">
        <f>SUM('Schedule 3B_Income_Eastern:Schedule 3D_Income_The Cape'!AI85)</f>
        <v>0</v>
      </c>
      <c r="AJ85" s="585">
        <f>SUM('Schedule 3B_Income_Eastern:Schedule 3D_Income_The Cape'!AJ85)</f>
        <v>0</v>
      </c>
      <c r="AK85" s="585">
        <f>SUM('Schedule 3B_Income_Eastern:Schedule 3D_Income_The Cape'!AK85)</f>
        <v>0</v>
      </c>
      <c r="AL85" s="585">
        <f>SUM('Schedule 3B_Income_Eastern:Schedule 3D_Income_The Cape'!AL85)</f>
        <v>0</v>
      </c>
      <c r="AM85" s="585">
        <f>SUM('Schedule 3B_Income_Eastern:Schedule 3D_Income_The Cape'!AM85)</f>
        <v>0</v>
      </c>
      <c r="AN85" s="588">
        <f t="shared" si="212"/>
        <v>0</v>
      </c>
      <c r="AO85" s="589">
        <f t="shared" si="213"/>
        <v>0</v>
      </c>
      <c r="AP85" s="300">
        <v>57</v>
      </c>
      <c r="AQ85" s="585">
        <f>SUM('Schedule 3B_Income_Eastern:Schedule 3D_Income_The Cape'!AQ85)</f>
        <v>0</v>
      </c>
      <c r="AR85" s="585">
        <f>SUM('Schedule 3B_Income_Eastern:Schedule 3D_Income_The Cape'!AR85)</f>
        <v>0</v>
      </c>
      <c r="AS85" s="585">
        <f>SUM('Schedule 3B_Income_Eastern:Schedule 3D_Income_The Cape'!AS85)</f>
        <v>0</v>
      </c>
      <c r="AT85" s="585">
        <f>SUM('Schedule 3B_Income_Eastern:Schedule 3D_Income_The Cape'!AT85)</f>
        <v>0</v>
      </c>
      <c r="AU85" s="585">
        <f>SUM('Schedule 3B_Income_Eastern:Schedule 3D_Income_The Cape'!AU85)</f>
        <v>0</v>
      </c>
      <c r="AV85" s="585">
        <f>SUM('Schedule 3B_Income_Eastern:Schedule 3D_Income_The Cape'!AV85)</f>
        <v>0</v>
      </c>
      <c r="AW85" s="585">
        <f>SUM('Schedule 3B_Income_Eastern:Schedule 3D_Income_The Cape'!AW85)</f>
        <v>0</v>
      </c>
      <c r="AX85" s="585">
        <f>SUM('Schedule 3B_Income_Eastern:Schedule 3D_Income_The Cape'!AX85)</f>
        <v>0</v>
      </c>
      <c r="AY85" s="586">
        <f t="shared" si="214"/>
        <v>0</v>
      </c>
      <c r="AZ85" s="587">
        <f>SUM('Schedule 3B_Income_Eastern:Schedule 3D_Income_The Cape'!AZ85)</f>
        <v>0</v>
      </c>
      <c r="BA85" s="585">
        <f>SUM('Schedule 3B_Income_Eastern:Schedule 3D_Income_The Cape'!BA85)</f>
        <v>0</v>
      </c>
      <c r="BB85" s="585">
        <f>SUM('Schedule 3B_Income_Eastern:Schedule 3D_Income_The Cape'!BB85)</f>
        <v>0</v>
      </c>
      <c r="BC85" s="585">
        <f>SUM('Schedule 3B_Income_Eastern:Schedule 3D_Income_The Cape'!BC85)</f>
        <v>0</v>
      </c>
      <c r="BD85" s="585">
        <f>SUM('Schedule 3B_Income_Eastern:Schedule 3D_Income_The Cape'!BD85)</f>
        <v>0</v>
      </c>
      <c r="BE85" s="585">
        <f>SUM('Schedule 3B_Income_Eastern:Schedule 3D_Income_The Cape'!BE85)</f>
        <v>0</v>
      </c>
      <c r="BF85" s="585">
        <f>SUM('Schedule 3B_Income_Eastern:Schedule 3D_Income_The Cape'!BF85)</f>
        <v>0</v>
      </c>
      <c r="BG85" s="585">
        <f>SUM('Schedule 3B_Income_Eastern:Schedule 3D_Income_The Cape'!BG85)</f>
        <v>0</v>
      </c>
      <c r="BH85" s="588">
        <f t="shared" si="215"/>
        <v>0</v>
      </c>
      <c r="BI85" s="589">
        <f t="shared" si="216"/>
        <v>0</v>
      </c>
      <c r="BJ85" s="300">
        <v>57</v>
      </c>
      <c r="BK85" s="585">
        <f>SUM('Schedule 3B_Income_Eastern:Schedule 3D_Income_The Cape'!BK85)</f>
        <v>0</v>
      </c>
      <c r="BL85" s="585">
        <f>SUM('Schedule 3B_Income_Eastern:Schedule 3D_Income_The Cape'!BL85)</f>
        <v>0</v>
      </c>
      <c r="BM85" s="585">
        <f>SUM('Schedule 3B_Income_Eastern:Schedule 3D_Income_The Cape'!BM85)</f>
        <v>0</v>
      </c>
      <c r="BN85" s="585">
        <f>SUM('Schedule 3B_Income_Eastern:Schedule 3D_Income_The Cape'!BN85)</f>
        <v>0</v>
      </c>
      <c r="BO85" s="585">
        <f>SUM('Schedule 3B_Income_Eastern:Schedule 3D_Income_The Cape'!BO85)</f>
        <v>0</v>
      </c>
      <c r="BP85" s="585">
        <f>SUM('Schedule 3B_Income_Eastern:Schedule 3D_Income_The Cape'!BP85)</f>
        <v>0</v>
      </c>
      <c r="BQ85" s="585">
        <f>SUM('Schedule 3B_Income_Eastern:Schedule 3D_Income_The Cape'!BQ85)</f>
        <v>0</v>
      </c>
      <c r="BR85" s="585">
        <f>SUM('Schedule 3B_Income_Eastern:Schedule 3D_Income_The Cape'!BR85)</f>
        <v>0</v>
      </c>
      <c r="BS85" s="586">
        <f t="shared" si="217"/>
        <v>0</v>
      </c>
      <c r="BT85" s="587">
        <f>SUM('Schedule 3B_Income_Eastern:Schedule 3D_Income_The Cape'!BT85)</f>
        <v>0</v>
      </c>
      <c r="BU85" s="585">
        <f>SUM('Schedule 3B_Income_Eastern:Schedule 3D_Income_The Cape'!BU85)</f>
        <v>0</v>
      </c>
      <c r="BV85" s="585">
        <f>SUM('Schedule 3B_Income_Eastern:Schedule 3D_Income_The Cape'!BV85)</f>
        <v>0</v>
      </c>
      <c r="BW85" s="585">
        <f>SUM('Schedule 3B_Income_Eastern:Schedule 3D_Income_The Cape'!BW85)</f>
        <v>0</v>
      </c>
      <c r="BX85" s="585">
        <f>SUM('Schedule 3B_Income_Eastern:Schedule 3D_Income_The Cape'!BX85)</f>
        <v>0</v>
      </c>
      <c r="BY85" s="585">
        <f>SUM('Schedule 3B_Income_Eastern:Schedule 3D_Income_The Cape'!BY85)</f>
        <v>0</v>
      </c>
      <c r="BZ85" s="585">
        <f>SUM('Schedule 3B_Income_Eastern:Schedule 3D_Income_The Cape'!BZ85)</f>
        <v>0</v>
      </c>
      <c r="CA85" s="585">
        <f>SUM('Schedule 3B_Income_Eastern:Schedule 3D_Income_The Cape'!CA85)</f>
        <v>0</v>
      </c>
      <c r="CB85" s="588">
        <f t="shared" si="218"/>
        <v>0</v>
      </c>
      <c r="CC85" s="589">
        <f t="shared" si="219"/>
        <v>0</v>
      </c>
      <c r="CD85" s="300">
        <v>57</v>
      </c>
      <c r="CE85" s="414">
        <f t="shared" si="220"/>
        <v>0</v>
      </c>
      <c r="CF85" s="414">
        <f t="shared" si="221"/>
        <v>0</v>
      </c>
      <c r="CG85" s="414">
        <f t="shared" si="222"/>
        <v>0</v>
      </c>
      <c r="CH85" s="414">
        <f t="shared" si="223"/>
        <v>0</v>
      </c>
      <c r="CI85" s="416">
        <f t="shared" si="224"/>
        <v>0</v>
      </c>
      <c r="CJ85" s="414">
        <f t="shared" si="225"/>
        <v>0</v>
      </c>
      <c r="CK85" s="414">
        <f t="shared" si="226"/>
        <v>0</v>
      </c>
      <c r="CL85" s="414">
        <f t="shared" si="227"/>
        <v>0</v>
      </c>
      <c r="CM85" s="414">
        <f t="shared" si="228"/>
        <v>0</v>
      </c>
      <c r="CN85" s="416">
        <f t="shared" si="229"/>
        <v>0</v>
      </c>
      <c r="CO85" s="414">
        <f t="shared" si="230"/>
        <v>0</v>
      </c>
      <c r="CP85" s="414">
        <f t="shared" si="231"/>
        <v>0</v>
      </c>
      <c r="CQ85" s="414">
        <f t="shared" si="232"/>
        <v>0</v>
      </c>
      <c r="CR85" s="414">
        <f t="shared" si="233"/>
        <v>0</v>
      </c>
      <c r="CS85" s="416">
        <f t="shared" si="234"/>
        <v>0</v>
      </c>
    </row>
    <row r="86" spans="1:99" ht="15.75" customHeight="1">
      <c r="A86" s="88" t="s">
        <v>264</v>
      </c>
      <c r="B86" s="300">
        <v>58</v>
      </c>
      <c r="C86" s="585">
        <f>SUM('Schedule 3B_Income_Eastern:Schedule 3D_Income_The Cape'!C86)</f>
        <v>64003.834528568193</v>
      </c>
      <c r="D86" s="585">
        <f>SUM('Schedule 3B_Income_Eastern:Schedule 3D_Income_The Cape'!D86)</f>
        <v>134192.39264566341</v>
      </c>
      <c r="E86" s="585">
        <f>SUM('Schedule 3B_Income_Eastern:Schedule 3D_Income_The Cape'!E86)</f>
        <v>38960.062773243699</v>
      </c>
      <c r="F86" s="585">
        <f>SUM('Schedule 3B_Income_Eastern:Schedule 3D_Income_The Cape'!F86)</f>
        <v>81587.895887332779</v>
      </c>
      <c r="G86" s="585">
        <f>SUM('Schedule 3B_Income_Eastern:Schedule 3D_Income_The Cape'!G86)</f>
        <v>43284.609819637961</v>
      </c>
      <c r="H86" s="585">
        <f>SUM('Schedule 3B_Income_Eastern:Schedule 3D_Income_The Cape'!H86)</f>
        <v>91620.659210565238</v>
      </c>
      <c r="I86" s="585">
        <f>SUM('Schedule 3B_Income_Eastern:Schedule 3D_Income_The Cape'!I86)</f>
        <v>43785.327640669908</v>
      </c>
      <c r="J86" s="585">
        <f>SUM('Schedule 3B_Income_Eastern:Schedule 3D_Income_The Cape'!J86)</f>
        <v>89642.84665170261</v>
      </c>
      <c r="K86" s="586">
        <f t="shared" si="208"/>
        <v>587077.62915738381</v>
      </c>
      <c r="L86" s="587">
        <f>SUM('Schedule 3B_Income_Eastern:Schedule 3D_Income_The Cape'!L86)</f>
        <v>0</v>
      </c>
      <c r="M86" s="585">
        <f>SUM('Schedule 3B_Income_Eastern:Schedule 3D_Income_The Cape'!M86)</f>
        <v>318304.10155340872</v>
      </c>
      <c r="N86" s="585">
        <f>SUM('Schedule 3B_Income_Eastern:Schedule 3D_Income_The Cape'!N86)</f>
        <v>0</v>
      </c>
      <c r="O86" s="585">
        <f>SUM('Schedule 3B_Income_Eastern:Schedule 3D_Income_The Cape'!O86)</f>
        <v>170204.87315215828</v>
      </c>
      <c r="P86" s="585">
        <f>SUM('Schedule 3B_Income_Eastern:Schedule 3D_Income_The Cape'!P86)</f>
        <v>0</v>
      </c>
      <c r="Q86" s="585">
        <f>SUM('Schedule 3B_Income_Eastern:Schedule 3D_Income_The Cape'!Q86)</f>
        <v>198754.17097113529</v>
      </c>
      <c r="R86" s="585">
        <f>SUM('Schedule 3B_Income_Eastern:Schedule 3D_Income_The Cape'!R86)</f>
        <v>0</v>
      </c>
      <c r="S86" s="585">
        <f>SUM('Schedule 3B_Income_Eastern:Schedule 3D_Income_The Cape'!S86)</f>
        <v>192943.16816122507</v>
      </c>
      <c r="T86" s="588">
        <f t="shared" si="209"/>
        <v>880206.3138379273</v>
      </c>
      <c r="U86" s="589">
        <f t="shared" si="210"/>
        <v>1467283.9429953112</v>
      </c>
      <c r="V86" s="300">
        <v>58</v>
      </c>
      <c r="W86" s="585">
        <f>SUM('Schedule 3B_Income_Eastern:Schedule 3D_Income_The Cape'!W86)</f>
        <v>10332.627928501919</v>
      </c>
      <c r="X86" s="585">
        <f>SUM('Schedule 3B_Income_Eastern:Schedule 3D_Income_The Cape'!X86)</f>
        <v>69328.625079510515</v>
      </c>
      <c r="Y86" s="585">
        <f>SUM('Schedule 3B_Income_Eastern:Schedule 3D_Income_The Cape'!Y86)</f>
        <v>6027.369674608256</v>
      </c>
      <c r="Z86" s="585">
        <f>SUM('Schedule 3B_Income_Eastern:Schedule 3D_Income_The Cape'!Z86)</f>
        <v>38960.543511000775</v>
      </c>
      <c r="AA86" s="585">
        <f>SUM('Schedule 3B_Income_Eastern:Schedule 3D_Income_The Cape'!AA86)</f>
        <v>6414.1801352635011</v>
      </c>
      <c r="AB86" s="585">
        <f>SUM('Schedule 3B_Income_Eastern:Schedule 3D_Income_The Cape'!AB86)</f>
        <v>42044.502919081875</v>
      </c>
      <c r="AC86" s="585">
        <f>SUM('Schedule 3B_Income_Eastern:Schedule 3D_Income_The Cape'!AC86)</f>
        <v>6970.1838363879142</v>
      </c>
      <c r="AD86" s="585">
        <f>SUM('Schedule 3B_Income_Eastern:Schedule 3D_Income_The Cape'!AD86)</f>
        <v>42083.671962775799</v>
      </c>
      <c r="AE86" s="586">
        <f t="shared" si="211"/>
        <v>222161.70504713053</v>
      </c>
      <c r="AF86" s="587">
        <f>SUM('Schedule 3B_Income_Eastern:Schedule 3D_Income_The Cape'!AF86)</f>
        <v>0</v>
      </c>
      <c r="AG86" s="585">
        <f>SUM('Schedule 3B_Income_Eastern:Schedule 3D_Income_The Cape'!AG86)</f>
        <v>104784.77570306197</v>
      </c>
      <c r="AH86" s="585">
        <f>SUM('Schedule 3B_Income_Eastern:Schedule 3D_Income_The Cape'!AH86)</f>
        <v>0</v>
      </c>
      <c r="AI86" s="585">
        <f>SUM('Schedule 3B_Income_Eastern:Schedule 3D_Income_The Cape'!AI86)</f>
        <v>51354.152148508998</v>
      </c>
      <c r="AJ86" s="585">
        <f>SUM('Schedule 3B_Income_Eastern:Schedule 3D_Income_The Cape'!AJ86)</f>
        <v>0</v>
      </c>
      <c r="AK86" s="585">
        <f>SUM('Schedule 3B_Income_Eastern:Schedule 3D_Income_The Cape'!AK86)</f>
        <v>58183.636598026766</v>
      </c>
      <c r="AL86" s="585">
        <f>SUM('Schedule 3B_Income_Eastern:Schedule 3D_Income_The Cape'!AL86)</f>
        <v>0</v>
      </c>
      <c r="AM86" s="585">
        <f>SUM('Schedule 3B_Income_Eastern:Schedule 3D_Income_The Cape'!AM86)</f>
        <v>57259.871038594873</v>
      </c>
      <c r="AN86" s="588">
        <f t="shared" si="212"/>
        <v>271582.4354881926</v>
      </c>
      <c r="AO86" s="589">
        <f t="shared" si="213"/>
        <v>493744.14053532312</v>
      </c>
      <c r="AP86" s="300">
        <v>58</v>
      </c>
      <c r="AQ86" s="585">
        <f>SUM('Schedule 3B_Income_Eastern:Schedule 3D_Income_The Cape'!AQ86)</f>
        <v>1143750.9252171791</v>
      </c>
      <c r="AR86" s="585">
        <f>SUM('Schedule 3B_Income_Eastern:Schedule 3D_Income_The Cape'!AR86)</f>
        <v>2701105.9061172251</v>
      </c>
      <c r="AS86" s="585">
        <f>SUM('Schedule 3B_Income_Eastern:Schedule 3D_Income_The Cape'!AS86)</f>
        <v>719759.47655666259</v>
      </c>
      <c r="AT86" s="585">
        <f>SUM('Schedule 3B_Income_Eastern:Schedule 3D_Income_The Cape'!AT86)</f>
        <v>1671224.0377070247</v>
      </c>
      <c r="AU86" s="585">
        <f>SUM('Schedule 3B_Income_Eastern:Schedule 3D_Income_The Cape'!AU86)</f>
        <v>813457.05504272936</v>
      </c>
      <c r="AV86" s="585">
        <f>SUM('Schedule 3B_Income_Eastern:Schedule 3D_Income_The Cape'!AV86)</f>
        <v>1891490.9264290335</v>
      </c>
      <c r="AW86" s="585">
        <f>SUM('Schedule 3B_Income_Eastern:Schedule 3D_Income_The Cape'!AW86)</f>
        <v>867660.54324459995</v>
      </c>
      <c r="AX86" s="585">
        <f>SUM('Schedule 3B_Income_Eastern:Schedule 3D_Income_The Cape'!AX86)</f>
        <v>1907801.1235346464</v>
      </c>
      <c r="AY86" s="586">
        <f t="shared" si="214"/>
        <v>11716249.993849102</v>
      </c>
      <c r="AZ86" s="587">
        <f>SUM('Schedule 3B_Income_Eastern:Schedule 3D_Income_The Cape'!AZ86)</f>
        <v>0</v>
      </c>
      <c r="BA86" s="585">
        <f>SUM('Schedule 3B_Income_Eastern:Schedule 3D_Income_The Cape'!BA86)</f>
        <v>2413204.619419131</v>
      </c>
      <c r="BB86" s="585">
        <f>SUM('Schedule 3B_Income_Eastern:Schedule 3D_Income_The Cape'!BB86)</f>
        <v>0</v>
      </c>
      <c r="BC86" s="585">
        <f>SUM('Schedule 3B_Income_Eastern:Schedule 3D_Income_The Cape'!BC86)</f>
        <v>1172870.2390781587</v>
      </c>
      <c r="BD86" s="585">
        <f>SUM('Schedule 3B_Income_Eastern:Schedule 3D_Income_The Cape'!BD86)</f>
        <v>0</v>
      </c>
      <c r="BE86" s="585">
        <f>SUM('Schedule 3B_Income_Eastern:Schedule 3D_Income_The Cape'!BE86)</f>
        <v>1439796.5719070341</v>
      </c>
      <c r="BF86" s="585">
        <f>SUM('Schedule 3B_Income_Eastern:Schedule 3D_Income_The Cape'!BF86)</f>
        <v>0</v>
      </c>
      <c r="BG86" s="585">
        <f>SUM('Schedule 3B_Income_Eastern:Schedule 3D_Income_The Cape'!BG86)</f>
        <v>1411004.0526183383</v>
      </c>
      <c r="BH86" s="588">
        <f t="shared" si="215"/>
        <v>6436875.4830226619</v>
      </c>
      <c r="BI86" s="589">
        <f t="shared" si="216"/>
        <v>18153125.476871766</v>
      </c>
      <c r="BJ86" s="300">
        <v>58</v>
      </c>
      <c r="BK86" s="585">
        <f>SUM('Schedule 3B_Income_Eastern:Schedule 3D_Income_The Cape'!BK86)</f>
        <v>24372.404730742292</v>
      </c>
      <c r="BL86" s="585">
        <f>SUM('Schedule 3B_Income_Eastern:Schedule 3D_Income_The Cape'!BL86)</f>
        <v>279685.17858296889</v>
      </c>
      <c r="BM86" s="585">
        <f>SUM('Schedule 3B_Income_Eastern:Schedule 3D_Income_The Cape'!BM86)</f>
        <v>13661.259252645696</v>
      </c>
      <c r="BN86" s="585">
        <f>SUM('Schedule 3B_Income_Eastern:Schedule 3D_Income_The Cape'!BN86)</f>
        <v>156407.34876493874</v>
      </c>
      <c r="BO86" s="585">
        <f>SUM('Schedule 3B_Income_Eastern:Schedule 3D_Income_The Cape'!BO86)</f>
        <v>14760.032509658948</v>
      </c>
      <c r="BP86" s="585">
        <f>SUM('Schedule 3B_Income_Eastern:Schedule 3D_Income_The Cape'!BP86)</f>
        <v>163535.69249048986</v>
      </c>
      <c r="BQ86" s="585">
        <f>SUM('Schedule 3B_Income_Eastern:Schedule 3D_Income_The Cape'!BQ86)</f>
        <v>15789.845817515365</v>
      </c>
      <c r="BR86" s="585">
        <f>SUM('Schedule 3B_Income_Eastern:Schedule 3D_Income_The Cape'!BR86)</f>
        <v>165452.28700593227</v>
      </c>
      <c r="BS86" s="586">
        <f t="shared" si="217"/>
        <v>833664.0491548921</v>
      </c>
      <c r="BT86" s="587">
        <f>SUM('Schedule 3B_Income_Eastern:Schedule 3D_Income_The Cape'!BT86)</f>
        <v>0</v>
      </c>
      <c r="BU86" s="585">
        <f>SUM('Schedule 3B_Income_Eastern:Schedule 3D_Income_The Cape'!BU86)</f>
        <v>94330.83919978136</v>
      </c>
      <c r="BV86" s="585">
        <f>SUM('Schedule 3B_Income_Eastern:Schedule 3D_Income_The Cape'!BV86)</f>
        <v>0</v>
      </c>
      <c r="BW86" s="585">
        <f>SUM('Schedule 3B_Income_Eastern:Schedule 3D_Income_The Cape'!BW86)</f>
        <v>49248.016748736511</v>
      </c>
      <c r="BX86" s="585">
        <f>SUM('Schedule 3B_Income_Eastern:Schedule 3D_Income_The Cape'!BX86)</f>
        <v>0</v>
      </c>
      <c r="BY86" s="585">
        <f>SUM('Schedule 3B_Income_Eastern:Schedule 3D_Income_The Cape'!BY86)</f>
        <v>56633.943452203581</v>
      </c>
      <c r="BZ86" s="585">
        <f>SUM('Schedule 3B_Income_Eastern:Schedule 3D_Income_The Cape'!BZ86)</f>
        <v>0</v>
      </c>
      <c r="CA86" s="585">
        <f>SUM('Schedule 3B_Income_Eastern:Schedule 3D_Income_The Cape'!CA86)</f>
        <v>62395.247589714156</v>
      </c>
      <c r="CB86" s="588">
        <f t="shared" si="218"/>
        <v>262608.04699043557</v>
      </c>
      <c r="CC86" s="589">
        <f t="shared" si="219"/>
        <v>1096272.0961453277</v>
      </c>
      <c r="CD86" s="300">
        <v>58</v>
      </c>
      <c r="CE86" s="414">
        <f t="shared" si="220"/>
        <v>4426771.8948303591</v>
      </c>
      <c r="CF86" s="414">
        <f t="shared" si="221"/>
        <v>2726587.994127457</v>
      </c>
      <c r="CG86" s="414">
        <f t="shared" si="222"/>
        <v>3066607.6585564604</v>
      </c>
      <c r="CH86" s="414">
        <f t="shared" si="223"/>
        <v>3139185.8296942296</v>
      </c>
      <c r="CI86" s="416">
        <f t="shared" si="224"/>
        <v>13359153.377208509</v>
      </c>
      <c r="CJ86" s="414">
        <f t="shared" si="225"/>
        <v>2930624.3358753831</v>
      </c>
      <c r="CK86" s="414">
        <f t="shared" si="226"/>
        <v>1443677.2811275627</v>
      </c>
      <c r="CL86" s="414">
        <f t="shared" si="227"/>
        <v>1753368.3229283998</v>
      </c>
      <c r="CM86" s="414">
        <f t="shared" si="228"/>
        <v>1723602.3394078724</v>
      </c>
      <c r="CN86" s="416">
        <f t="shared" si="229"/>
        <v>7851272.2793392176</v>
      </c>
      <c r="CO86" s="414">
        <f t="shared" si="230"/>
        <v>7357396.2307057418</v>
      </c>
      <c r="CP86" s="414">
        <f t="shared" si="231"/>
        <v>4170265.2752550198</v>
      </c>
      <c r="CQ86" s="414">
        <f t="shared" si="232"/>
        <v>4819975.9814848602</v>
      </c>
      <c r="CR86" s="414">
        <f t="shared" si="233"/>
        <v>4862788.1691021025</v>
      </c>
      <c r="CS86" s="416">
        <f t="shared" si="234"/>
        <v>21210425.656547729</v>
      </c>
    </row>
    <row r="87" spans="1:99" ht="15.75" customHeight="1">
      <c r="A87" s="136"/>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99" s="318" customFormat="1" ht="15.75" customHeight="1">
      <c r="A88" s="16" t="s">
        <v>266</v>
      </c>
      <c r="B88" s="300">
        <v>59</v>
      </c>
      <c r="C88" s="216">
        <f t="shared" ref="C88:U88" si="247">SUM(C76:C86)</f>
        <v>118558.91231970859</v>
      </c>
      <c r="D88" s="216">
        <f t="shared" si="247"/>
        <v>248574.23357264319</v>
      </c>
      <c r="E88" s="216">
        <f t="shared" si="247"/>
        <v>136983.8255609934</v>
      </c>
      <c r="F88" s="216">
        <f t="shared" si="247"/>
        <v>286863.55469104362</v>
      </c>
      <c r="G88" s="216">
        <f t="shared" si="247"/>
        <v>139770.41699241646</v>
      </c>
      <c r="H88" s="216">
        <f t="shared" si="247"/>
        <v>295852.44724028558</v>
      </c>
      <c r="I88" s="216">
        <f t="shared" si="247"/>
        <v>148587.73529833881</v>
      </c>
      <c r="J88" s="216">
        <f t="shared" si="247"/>
        <v>304207.55735765409</v>
      </c>
      <c r="K88" s="221">
        <f t="shared" si="247"/>
        <v>1679398.6830330836</v>
      </c>
      <c r="L88" s="218">
        <f t="shared" si="247"/>
        <v>0</v>
      </c>
      <c r="M88" s="216">
        <f t="shared" si="247"/>
        <v>589617.61189839174</v>
      </c>
      <c r="N88" s="216">
        <f t="shared" si="247"/>
        <v>0</v>
      </c>
      <c r="O88" s="216">
        <f t="shared" si="247"/>
        <v>598441.40368065168</v>
      </c>
      <c r="P88" s="216">
        <f t="shared" si="247"/>
        <v>0</v>
      </c>
      <c r="Q88" s="216">
        <f t="shared" si="247"/>
        <v>641797.47654821246</v>
      </c>
      <c r="R88" s="216">
        <f t="shared" si="247"/>
        <v>0</v>
      </c>
      <c r="S88" s="216">
        <f t="shared" si="247"/>
        <v>654762.44996129384</v>
      </c>
      <c r="T88" s="219">
        <f t="shared" si="247"/>
        <v>2484618.94208855</v>
      </c>
      <c r="U88" s="218">
        <f t="shared" si="247"/>
        <v>4164017.625121634</v>
      </c>
      <c r="V88" s="300">
        <v>59</v>
      </c>
      <c r="W88" s="216">
        <f t="shared" ref="W88:AO88" si="248">SUM(W76:W86)</f>
        <v>19139.870878527436</v>
      </c>
      <c r="X88" s="216">
        <f t="shared" si="248"/>
        <v>128422.40535414859</v>
      </c>
      <c r="Y88" s="216">
        <f t="shared" si="248"/>
        <v>21192.269655817541</v>
      </c>
      <c r="Z88" s="216">
        <f t="shared" si="248"/>
        <v>136985.51583796859</v>
      </c>
      <c r="AA88" s="216">
        <f t="shared" si="248"/>
        <v>20712.04143703547</v>
      </c>
      <c r="AB88" s="216">
        <f t="shared" si="248"/>
        <v>135765.98540973285</v>
      </c>
      <c r="AC88" s="216">
        <f t="shared" si="248"/>
        <v>23653.673197593584</v>
      </c>
      <c r="AD88" s="216">
        <f t="shared" si="248"/>
        <v>142813.08024697431</v>
      </c>
      <c r="AE88" s="221">
        <f t="shared" si="248"/>
        <v>628684.84201779834</v>
      </c>
      <c r="AF88" s="218">
        <f t="shared" si="248"/>
        <v>0</v>
      </c>
      <c r="AG88" s="216">
        <f t="shared" si="248"/>
        <v>194100.38674283738</v>
      </c>
      <c r="AH88" s="216">
        <f t="shared" si="248"/>
        <v>0</v>
      </c>
      <c r="AI88" s="216">
        <f t="shared" si="248"/>
        <v>180561.5216969114</v>
      </c>
      <c r="AJ88" s="216">
        <f t="shared" si="248"/>
        <v>0</v>
      </c>
      <c r="AK88" s="216">
        <f t="shared" si="248"/>
        <v>187880.89307788626</v>
      </c>
      <c r="AL88" s="216">
        <f t="shared" si="248"/>
        <v>0</v>
      </c>
      <c r="AM88" s="216">
        <f t="shared" si="248"/>
        <v>194314.28333533829</v>
      </c>
      <c r="AN88" s="219">
        <f t="shared" si="248"/>
        <v>756857.08485297323</v>
      </c>
      <c r="AO88" s="218">
        <f t="shared" si="248"/>
        <v>1385541.9268707717</v>
      </c>
      <c r="AP88" s="300">
        <v>59</v>
      </c>
      <c r="AQ88" s="216">
        <f t="shared" ref="AQ88:BI88" si="249">SUM(AQ76:AQ86)</f>
        <v>2118652.2129058228</v>
      </c>
      <c r="AR88" s="216">
        <f t="shared" si="249"/>
        <v>5003453.0063454155</v>
      </c>
      <c r="AS88" s="216">
        <f t="shared" si="249"/>
        <v>2530678.843007959</v>
      </c>
      <c r="AT88" s="216">
        <f t="shared" si="249"/>
        <v>5876034.2196321897</v>
      </c>
      <c r="AU88" s="216">
        <f t="shared" si="249"/>
        <v>2626735.7442404772</v>
      </c>
      <c r="AV88" s="216">
        <f t="shared" si="249"/>
        <v>6107816.996063415</v>
      </c>
      <c r="AW88" s="216">
        <f t="shared" si="249"/>
        <v>2944450.1634536358</v>
      </c>
      <c r="AX88" s="216">
        <f t="shared" si="249"/>
        <v>6474220.1011266056</v>
      </c>
      <c r="AY88" s="221">
        <f t="shared" si="249"/>
        <v>33682041.286775529</v>
      </c>
      <c r="AZ88" s="218">
        <f t="shared" si="249"/>
        <v>0</v>
      </c>
      <c r="BA88" s="216">
        <f t="shared" si="249"/>
        <v>4470152.7180457339</v>
      </c>
      <c r="BB88" s="216">
        <f t="shared" si="249"/>
        <v>0</v>
      </c>
      <c r="BC88" s="216">
        <f t="shared" si="249"/>
        <v>4123819.1316750469</v>
      </c>
      <c r="BD88" s="216">
        <f t="shared" si="249"/>
        <v>0</v>
      </c>
      <c r="BE88" s="216">
        <f t="shared" si="249"/>
        <v>4649249.8853113409</v>
      </c>
      <c r="BF88" s="216">
        <f t="shared" si="249"/>
        <v>0</v>
      </c>
      <c r="BG88" s="216">
        <f t="shared" si="249"/>
        <v>4788313.984902028</v>
      </c>
      <c r="BH88" s="219">
        <f t="shared" si="249"/>
        <v>18031535.719934151</v>
      </c>
      <c r="BI88" s="218">
        <f t="shared" si="249"/>
        <v>51713577.006709673</v>
      </c>
      <c r="BJ88" s="300">
        <v>59</v>
      </c>
      <c r="BK88" s="216">
        <f t="shared" ref="BK88:CC88" si="250">SUM(BK76:BK86)</f>
        <v>45146.760608581419</v>
      </c>
      <c r="BL88" s="216">
        <f t="shared" si="250"/>
        <v>518080.99950542196</v>
      </c>
      <c r="BM88" s="216">
        <f t="shared" si="250"/>
        <v>48033.07338850369</v>
      </c>
      <c r="BN88" s="216">
        <f t="shared" si="250"/>
        <v>549929.221222608</v>
      </c>
      <c r="BO88" s="216">
        <f t="shared" si="250"/>
        <v>47661.649424426068</v>
      </c>
      <c r="BP88" s="216">
        <f t="shared" si="250"/>
        <v>528073.41980865155</v>
      </c>
      <c r="BQ88" s="216">
        <f t="shared" si="250"/>
        <v>53583.644502760646</v>
      </c>
      <c r="BR88" s="216">
        <f t="shared" si="250"/>
        <v>561470.7471848923</v>
      </c>
      <c r="BS88" s="221">
        <f t="shared" si="250"/>
        <v>2351979.5156458458</v>
      </c>
      <c r="BT88" s="218">
        <f t="shared" si="250"/>
        <v>0</v>
      </c>
      <c r="BU88" s="216">
        <f t="shared" si="250"/>
        <v>174735.80725447819</v>
      </c>
      <c r="BV88" s="216">
        <f t="shared" si="250"/>
        <v>0</v>
      </c>
      <c r="BW88" s="216">
        <f t="shared" si="250"/>
        <v>173156.33639499237</v>
      </c>
      <c r="BX88" s="216">
        <f t="shared" si="250"/>
        <v>0</v>
      </c>
      <c r="BY88" s="216">
        <f t="shared" si="250"/>
        <v>182876.77595393508</v>
      </c>
      <c r="BZ88" s="216">
        <f t="shared" si="250"/>
        <v>0</v>
      </c>
      <c r="CA88" s="216">
        <f t="shared" si="250"/>
        <v>211741.4447328072</v>
      </c>
      <c r="CB88" s="219">
        <f t="shared" si="250"/>
        <v>742510.36433621275</v>
      </c>
      <c r="CC88" s="218">
        <f t="shared" si="250"/>
        <v>3094489.8799820589</v>
      </c>
      <c r="CD88" s="300">
        <v>59</v>
      </c>
      <c r="CE88" s="219">
        <f t="shared" ref="CE88:CH88" si="251">SUM(CE76:CE86)</f>
        <v>8200028.4014902702</v>
      </c>
      <c r="CF88" s="219">
        <f t="shared" si="251"/>
        <v>9586700.5229970813</v>
      </c>
      <c r="CG88" s="219">
        <f t="shared" si="251"/>
        <v>9902388.7006164417</v>
      </c>
      <c r="CH88" s="219">
        <f t="shared" si="251"/>
        <v>10652986.702368455</v>
      </c>
      <c r="CI88" s="216">
        <f>SUM(CI76:CI86)</f>
        <v>38342104.327472255</v>
      </c>
      <c r="CJ88" s="219">
        <f t="shared" ref="CJ88:CM88" si="252">SUM(CJ76:CJ86)</f>
        <v>5428606.5239414405</v>
      </c>
      <c r="CK88" s="219">
        <f t="shared" si="252"/>
        <v>5075978.3934476022</v>
      </c>
      <c r="CL88" s="219">
        <f t="shared" si="252"/>
        <v>5661805.0308913747</v>
      </c>
      <c r="CM88" s="219">
        <f t="shared" si="252"/>
        <v>5849132.1629314665</v>
      </c>
      <c r="CN88" s="216">
        <f>SUM(CN76:CN86)</f>
        <v>22015522.111211885</v>
      </c>
      <c r="CO88" s="219">
        <f t="shared" ref="CO88:CR88" si="253">SUM(CO76:CO86)</f>
        <v>13628634.92543171</v>
      </c>
      <c r="CP88" s="219">
        <f t="shared" si="253"/>
        <v>14662678.916444685</v>
      </c>
      <c r="CQ88" s="219">
        <f t="shared" si="253"/>
        <v>15564193.731507815</v>
      </c>
      <c r="CR88" s="219">
        <f t="shared" si="253"/>
        <v>16502118.865299921</v>
      </c>
      <c r="CS88" s="216">
        <f>SUM(CS76:CS86)</f>
        <v>60357626.438684136</v>
      </c>
    </row>
    <row r="89" spans="1:99" ht="15.75" customHeight="1">
      <c r="A89" s="136"/>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c r="U89" s="379"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c r="AO89" s="379"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c r="BI89" s="379"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c r="CC89" s="379" t="s">
        <v>1315</v>
      </c>
      <c r="CD89" s="300"/>
      <c r="CE89" s="380" t="s">
        <v>1315</v>
      </c>
      <c r="CF89" s="380"/>
      <c r="CG89" s="380"/>
      <c r="CH89" s="380"/>
      <c r="CI89" s="187"/>
      <c r="CJ89" s="380" t="s">
        <v>1315</v>
      </c>
      <c r="CK89" s="380"/>
      <c r="CL89" s="380"/>
      <c r="CM89" s="380"/>
      <c r="CN89" s="187"/>
      <c r="CO89" s="380" t="s">
        <v>1315</v>
      </c>
      <c r="CP89" s="380"/>
      <c r="CQ89" s="380"/>
      <c r="CR89" s="380"/>
      <c r="CS89" s="187"/>
    </row>
    <row r="90" spans="1:99" s="318" customFormat="1" ht="15.75" customHeight="1">
      <c r="A90" s="16" t="s">
        <v>268</v>
      </c>
      <c r="B90" s="300">
        <v>60</v>
      </c>
      <c r="C90" s="216">
        <f t="shared" ref="C90:U90" si="254">C88+C66+C73-C70</f>
        <v>1669977.9579515064</v>
      </c>
      <c r="D90" s="216">
        <f t="shared" si="254"/>
        <v>4357208.3182249945</v>
      </c>
      <c r="E90" s="216">
        <f t="shared" si="254"/>
        <v>3412616.3218842079</v>
      </c>
      <c r="F90" s="216">
        <f t="shared" si="254"/>
        <v>7503499.8262310261</v>
      </c>
      <c r="G90" s="216">
        <f t="shared" si="254"/>
        <v>3176985.8627124229</v>
      </c>
      <c r="H90" s="216">
        <f t="shared" si="254"/>
        <v>6853774.431679558</v>
      </c>
      <c r="I90" s="216">
        <f t="shared" si="254"/>
        <v>2523072.0284681409</v>
      </c>
      <c r="J90" s="216">
        <f t="shared" si="254"/>
        <v>4748422.3961557746</v>
      </c>
      <c r="K90" s="221">
        <f t="shared" si="254"/>
        <v>34245557.143307634</v>
      </c>
      <c r="L90" s="218">
        <f t="shared" si="254"/>
        <v>0</v>
      </c>
      <c r="M90" s="216">
        <f t="shared" si="254"/>
        <v>6244035.4674488585</v>
      </c>
      <c r="N90" s="216">
        <f t="shared" si="254"/>
        <v>0</v>
      </c>
      <c r="O90" s="216">
        <f t="shared" si="254"/>
        <v>11525267.345631968</v>
      </c>
      <c r="P90" s="216">
        <f t="shared" si="254"/>
        <v>0</v>
      </c>
      <c r="Q90" s="216">
        <f t="shared" si="254"/>
        <v>10688569.293705599</v>
      </c>
      <c r="R90" s="216">
        <f t="shared" si="254"/>
        <v>0</v>
      </c>
      <c r="S90" s="216">
        <f t="shared" si="254"/>
        <v>9219288.011163488</v>
      </c>
      <c r="T90" s="219">
        <f t="shared" si="254"/>
        <v>37677160.117949925</v>
      </c>
      <c r="U90" s="218">
        <f t="shared" si="254"/>
        <v>71922717.261257559</v>
      </c>
      <c r="V90" s="300">
        <v>60</v>
      </c>
      <c r="W90" s="216">
        <f t="shared" ref="W90:AO90" si="255">W88+W66+W73-W70</f>
        <v>212746.8001870786</v>
      </c>
      <c r="X90" s="216">
        <f t="shared" si="255"/>
        <v>1056129.3845933974</v>
      </c>
      <c r="Y90" s="216">
        <f t="shared" si="255"/>
        <v>138448.83798576478</v>
      </c>
      <c r="Z90" s="216">
        <f t="shared" si="255"/>
        <v>893936.68418856419</v>
      </c>
      <c r="AA90" s="216">
        <f t="shared" si="255"/>
        <v>171832.50177010096</v>
      </c>
      <c r="AB90" s="216">
        <f t="shared" si="255"/>
        <v>889147.38248277968</v>
      </c>
      <c r="AC90" s="216">
        <f t="shared" si="255"/>
        <v>256477.07350384063</v>
      </c>
      <c r="AD90" s="216">
        <f t="shared" si="255"/>
        <v>824690.37533616112</v>
      </c>
      <c r="AE90" s="221">
        <f t="shared" si="255"/>
        <v>4443409.0400476884</v>
      </c>
      <c r="AF90" s="218">
        <f t="shared" si="255"/>
        <v>0</v>
      </c>
      <c r="AG90" s="216">
        <f t="shared" si="255"/>
        <v>2394768.7715455461</v>
      </c>
      <c r="AH90" s="216">
        <f t="shared" si="255"/>
        <v>0</v>
      </c>
      <c r="AI90" s="216">
        <f t="shared" si="255"/>
        <v>2201865.8487352422</v>
      </c>
      <c r="AJ90" s="216">
        <f t="shared" si="255"/>
        <v>0</v>
      </c>
      <c r="AK90" s="216">
        <f t="shared" si="255"/>
        <v>2105402.4178305948</v>
      </c>
      <c r="AL90" s="216">
        <f t="shared" si="255"/>
        <v>0</v>
      </c>
      <c r="AM90" s="216">
        <f t="shared" si="255"/>
        <v>2454235.4250648958</v>
      </c>
      <c r="AN90" s="219">
        <f t="shared" si="255"/>
        <v>9156272.4631762765</v>
      </c>
      <c r="AO90" s="218">
        <f t="shared" si="255"/>
        <v>13599681.503223965</v>
      </c>
      <c r="AP90" s="300">
        <v>60</v>
      </c>
      <c r="AQ90" s="216">
        <f t="shared" ref="AQ90:BI90" si="256">AQ88+AQ66+AQ73-AQ70</f>
        <v>24819631.484637287</v>
      </c>
      <c r="AR90" s="216">
        <f t="shared" si="256"/>
        <v>56649196.600982659</v>
      </c>
      <c r="AS90" s="216">
        <f t="shared" si="256"/>
        <v>24272233.515381783</v>
      </c>
      <c r="AT90" s="216">
        <f t="shared" si="256"/>
        <v>57024711.303170465</v>
      </c>
      <c r="AU90" s="216">
        <f t="shared" si="256"/>
        <v>27245436.546560466</v>
      </c>
      <c r="AV90" s="216">
        <f t="shared" si="256"/>
        <v>61554296.856588989</v>
      </c>
      <c r="AW90" s="216">
        <f t="shared" si="256"/>
        <v>31653928.609050315</v>
      </c>
      <c r="AX90" s="216">
        <f t="shared" si="256"/>
        <v>64881016.348485291</v>
      </c>
      <c r="AY90" s="221">
        <f t="shared" si="256"/>
        <v>348100451.26485717</v>
      </c>
      <c r="AZ90" s="218">
        <f t="shared" si="256"/>
        <v>0</v>
      </c>
      <c r="BA90" s="216">
        <f t="shared" si="256"/>
        <v>47829630.83795274</v>
      </c>
      <c r="BB90" s="216">
        <f t="shared" si="256"/>
        <v>0</v>
      </c>
      <c r="BC90" s="216">
        <f t="shared" si="256"/>
        <v>46783821.36832054</v>
      </c>
      <c r="BD90" s="216">
        <f t="shared" si="256"/>
        <v>0</v>
      </c>
      <c r="BE90" s="216">
        <f t="shared" si="256"/>
        <v>51231445.410536446</v>
      </c>
      <c r="BF90" s="216">
        <f t="shared" si="256"/>
        <v>0</v>
      </c>
      <c r="BG90" s="216">
        <f t="shared" si="256"/>
        <v>55892934.364174403</v>
      </c>
      <c r="BH90" s="219">
        <f t="shared" si="256"/>
        <v>201737831.98098406</v>
      </c>
      <c r="BI90" s="218">
        <f t="shared" si="256"/>
        <v>549838283.24584138</v>
      </c>
      <c r="BJ90" s="300">
        <v>60</v>
      </c>
      <c r="BK90" s="216">
        <f t="shared" ref="BK90:CC90" si="257">BK88+BK66+BK73-BK70</f>
        <v>696164.01212975779</v>
      </c>
      <c r="BL90" s="216">
        <f t="shared" si="257"/>
        <v>6883827.1511624381</v>
      </c>
      <c r="BM90" s="216">
        <f t="shared" si="257"/>
        <v>587282.12840580591</v>
      </c>
      <c r="BN90" s="216">
        <f t="shared" si="257"/>
        <v>5630445.8301956728</v>
      </c>
      <c r="BO90" s="216">
        <f t="shared" si="257"/>
        <v>634026.74586561264</v>
      </c>
      <c r="BP90" s="216">
        <f t="shared" si="257"/>
        <v>6435403.0547836516</v>
      </c>
      <c r="BQ90" s="216">
        <f t="shared" si="257"/>
        <v>820439.45401924767</v>
      </c>
      <c r="BR90" s="216">
        <f t="shared" si="257"/>
        <v>6968271.7205154672</v>
      </c>
      <c r="BS90" s="221">
        <f t="shared" si="257"/>
        <v>28655860.097077645</v>
      </c>
      <c r="BT90" s="218">
        <f t="shared" si="257"/>
        <v>0</v>
      </c>
      <c r="BU90" s="216">
        <f t="shared" si="257"/>
        <v>2463797.2108762315</v>
      </c>
      <c r="BV90" s="216">
        <f t="shared" si="257"/>
        <v>0</v>
      </c>
      <c r="BW90" s="216">
        <f t="shared" si="257"/>
        <v>3396316.0967949415</v>
      </c>
      <c r="BX90" s="216">
        <f t="shared" si="257"/>
        <v>0</v>
      </c>
      <c r="BY90" s="216">
        <f t="shared" si="257"/>
        <v>2891044.2292626551</v>
      </c>
      <c r="BZ90" s="216">
        <f t="shared" si="257"/>
        <v>0</v>
      </c>
      <c r="CA90" s="216">
        <f t="shared" si="257"/>
        <v>2999375.1250465903</v>
      </c>
      <c r="CB90" s="219">
        <f t="shared" si="257"/>
        <v>11750532.66198042</v>
      </c>
      <c r="CC90" s="218">
        <f t="shared" si="257"/>
        <v>40406392.759058088</v>
      </c>
      <c r="CD90" s="300">
        <v>60</v>
      </c>
      <c r="CE90" s="219">
        <f t="shared" ref="CE90:CS90" si="258">CE88+CE66+CE73-CE70</f>
        <v>96344881.709869102</v>
      </c>
      <c r="CF90" s="219">
        <f t="shared" si="258"/>
        <v>99463174.447443292</v>
      </c>
      <c r="CG90" s="219">
        <f t="shared" si="258"/>
        <v>106960903.38244361</v>
      </c>
      <c r="CH90" s="219">
        <f t="shared" si="258"/>
        <v>112676318.00553425</v>
      </c>
      <c r="CI90" s="216">
        <f t="shared" si="258"/>
        <v>415445277.54529017</v>
      </c>
      <c r="CJ90" s="219">
        <f t="shared" si="258"/>
        <v>58932232.287823372</v>
      </c>
      <c r="CK90" s="219">
        <f t="shared" si="258"/>
        <v>63907270.65948268</v>
      </c>
      <c r="CL90" s="219">
        <f t="shared" si="258"/>
        <v>66916461.351335302</v>
      </c>
      <c r="CM90" s="219">
        <f t="shared" si="258"/>
        <v>70565832.925449371</v>
      </c>
      <c r="CN90" s="216">
        <f t="shared" si="258"/>
        <v>22015522.111211885</v>
      </c>
      <c r="CO90" s="219">
        <f t="shared" si="258"/>
        <v>155277113.9976925</v>
      </c>
      <c r="CP90" s="219">
        <f t="shared" si="258"/>
        <v>163370445.10692593</v>
      </c>
      <c r="CQ90" s="219">
        <f t="shared" si="258"/>
        <v>173877364.73377883</v>
      </c>
      <c r="CR90" s="219">
        <f t="shared" si="258"/>
        <v>183242150.93098363</v>
      </c>
      <c r="CS90" s="216">
        <f t="shared" si="258"/>
        <v>675767074.76938093</v>
      </c>
    </row>
    <row r="91" spans="1:99" ht="15.75" customHeight="1">
      <c r="A91" s="136"/>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c r="U91" s="379"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379"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379"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379" t="s">
        <v>1315</v>
      </c>
      <c r="CD91" s="300"/>
      <c r="CE91" s="380" t="s">
        <v>1315</v>
      </c>
      <c r="CF91" s="380"/>
      <c r="CG91" s="380"/>
      <c r="CH91" s="380"/>
      <c r="CI91" s="187"/>
      <c r="CJ91" s="380" t="s">
        <v>1315</v>
      </c>
      <c r="CK91" s="380"/>
      <c r="CL91" s="380"/>
      <c r="CM91" s="380"/>
      <c r="CN91" s="187"/>
      <c r="CO91" s="380" t="s">
        <v>1315</v>
      </c>
      <c r="CP91" s="380"/>
      <c r="CQ91" s="380"/>
      <c r="CR91" s="380"/>
      <c r="CS91" s="187"/>
    </row>
    <row r="92" spans="1:99" s="318" customFormat="1" ht="15.75" customHeight="1">
      <c r="A92" s="16" t="s">
        <v>270</v>
      </c>
      <c r="B92" s="300">
        <v>61</v>
      </c>
      <c r="C92" s="216">
        <f t="shared" ref="C92:J92" si="259">C32-C90</f>
        <v>-362802.48795147636</v>
      </c>
      <c r="D92" s="216">
        <f t="shared" si="259"/>
        <v>-1610910.0082247532</v>
      </c>
      <c r="E92" s="216">
        <f t="shared" si="259"/>
        <v>-2059131.741884178</v>
      </c>
      <c r="F92" s="216">
        <f t="shared" si="259"/>
        <v>-4666009.006230765</v>
      </c>
      <c r="G92" s="216">
        <f t="shared" si="259"/>
        <v>-1770530.4327123829</v>
      </c>
      <c r="H92" s="216">
        <f t="shared" si="259"/>
        <v>-3877224.2216792749</v>
      </c>
      <c r="I92" s="216">
        <f t="shared" si="259"/>
        <v>-1050774.7284681008</v>
      </c>
      <c r="J92" s="216">
        <f t="shared" si="259"/>
        <v>-1731617.5961554912</v>
      </c>
      <c r="K92" s="221">
        <f>SUM(C92:J92)</f>
        <v>-17129000.223306421</v>
      </c>
      <c r="L92" s="218">
        <f t="shared" ref="L92:S92" si="260">L32-L90</f>
        <v>0</v>
      </c>
      <c r="M92" s="216">
        <f t="shared" si="260"/>
        <v>1132533.2497140663</v>
      </c>
      <c r="N92" s="216">
        <f t="shared" si="260"/>
        <v>0</v>
      </c>
      <c r="O92" s="216">
        <f t="shared" si="260"/>
        <v>-4577820.825779777</v>
      </c>
      <c r="P92" s="216">
        <f t="shared" si="260"/>
        <v>0</v>
      </c>
      <c r="Q92" s="216">
        <f t="shared" si="260"/>
        <v>-2854616.5198905654</v>
      </c>
      <c r="R92" s="216">
        <f t="shared" si="260"/>
        <v>0</v>
      </c>
      <c r="S92" s="216">
        <f t="shared" si="260"/>
        <v>-1251551.3981408626</v>
      </c>
      <c r="T92" s="219">
        <f>SUM(L92:S92)</f>
        <v>-7551455.4940971388</v>
      </c>
      <c r="U92" s="218">
        <f>U32-U90</f>
        <v>-24680455.717403568</v>
      </c>
      <c r="V92" s="300">
        <v>61</v>
      </c>
      <c r="W92" s="216">
        <f t="shared" ref="W92:AD92" si="261">W32-W90</f>
        <v>-1208.9401870786096</v>
      </c>
      <c r="X92" s="216">
        <f t="shared" si="261"/>
        <v>363221.92540662154</v>
      </c>
      <c r="Y92" s="216">
        <f t="shared" si="261"/>
        <v>71433.092014235212</v>
      </c>
      <c r="Z92" s="216">
        <f t="shared" si="261"/>
        <v>462727.08581145399</v>
      </c>
      <c r="AA92" s="216">
        <f t="shared" si="261"/>
        <v>36584.728229899018</v>
      </c>
      <c r="AB92" s="216">
        <f t="shared" si="261"/>
        <v>477013.00751723931</v>
      </c>
      <c r="AC92" s="216">
        <f t="shared" si="261"/>
        <v>-21866.543503840629</v>
      </c>
      <c r="AD92" s="216">
        <f t="shared" si="261"/>
        <v>591810.65466385894</v>
      </c>
      <c r="AE92" s="221">
        <f>SUM(W92:AD92)</f>
        <v>1979715.0099523887</v>
      </c>
      <c r="AF92" s="218">
        <f t="shared" ref="AF92:AM92" si="262">AF32-AF90</f>
        <v>0</v>
      </c>
      <c r="AG92" s="216">
        <f t="shared" si="262"/>
        <v>172165.26534120599</v>
      </c>
      <c r="AH92" s="216">
        <f t="shared" si="262"/>
        <v>0</v>
      </c>
      <c r="AI92" s="216">
        <f t="shared" si="262"/>
        <v>-89020.718820270617</v>
      </c>
      <c r="AJ92" s="216">
        <f t="shared" si="262"/>
        <v>0</v>
      </c>
      <c r="AK92" s="216">
        <f t="shared" si="262"/>
        <v>153019.94261296745</v>
      </c>
      <c r="AL92" s="216">
        <f t="shared" si="262"/>
        <v>0</v>
      </c>
      <c r="AM92" s="216">
        <f t="shared" si="262"/>
        <v>-157793.22382537834</v>
      </c>
      <c r="AN92" s="219">
        <f>SUM(AF92:AM92)</f>
        <v>78371.265308524482</v>
      </c>
      <c r="AO92" s="218">
        <f>AO32-AO90</f>
        <v>2058086.2752609123</v>
      </c>
      <c r="AP92" s="300">
        <v>61</v>
      </c>
      <c r="AQ92" s="216">
        <f t="shared" ref="AQ92:AX92" si="263">AQ32-AQ90</f>
        <v>-1401103.1546390988</v>
      </c>
      <c r="AR92" s="216">
        <f t="shared" si="263"/>
        <v>-1356903.1009764373</v>
      </c>
      <c r="AS92" s="216">
        <f t="shared" si="263"/>
        <v>790856.39461621642</v>
      </c>
      <c r="AT92" s="216">
        <f t="shared" si="263"/>
        <v>1160560.626838766</v>
      </c>
      <c r="AU92" s="216">
        <f t="shared" si="263"/>
        <v>-813614.77655986324</v>
      </c>
      <c r="AV92" s="216">
        <f t="shared" si="263"/>
        <v>-93706.236572355032</v>
      </c>
      <c r="AW92" s="216">
        <f t="shared" si="263"/>
        <v>-3025261.9390491173</v>
      </c>
      <c r="AX92" s="216">
        <f t="shared" si="263"/>
        <v>-665535.81846588105</v>
      </c>
      <c r="AY92" s="221">
        <f>SUM(AQ92:AX92)</f>
        <v>-5404708.0048077703</v>
      </c>
      <c r="AZ92" s="218">
        <f t="shared" ref="AZ92:BG92" si="264">AZ32-AZ90</f>
        <v>0</v>
      </c>
      <c r="BA92" s="216">
        <f t="shared" si="264"/>
        <v>13639424.340758353</v>
      </c>
      <c r="BB92" s="216">
        <f t="shared" si="264"/>
        <v>0</v>
      </c>
      <c r="BC92" s="216">
        <f t="shared" si="264"/>
        <v>4277748.0689673349</v>
      </c>
      <c r="BD92" s="216">
        <f t="shared" si="264"/>
        <v>0</v>
      </c>
      <c r="BE92" s="216">
        <f t="shared" si="264"/>
        <v>6169169.4157636911</v>
      </c>
      <c r="BF92" s="216">
        <f t="shared" si="264"/>
        <v>0</v>
      </c>
      <c r="BG92" s="216">
        <f t="shared" si="264"/>
        <v>1623692.516520977</v>
      </c>
      <c r="BH92" s="219">
        <f>SUM(AZ92:BG92)</f>
        <v>25710034.342010356</v>
      </c>
      <c r="BI92" s="218">
        <f>BI32-BI90</f>
        <v>20305326.337202549</v>
      </c>
      <c r="BJ92" s="300">
        <v>61</v>
      </c>
      <c r="BK92" s="216">
        <f t="shared" ref="BK92:BR92" si="265">BK32-BK90</f>
        <v>-128880.21515821724</v>
      </c>
      <c r="BL92" s="216">
        <f t="shared" si="265"/>
        <v>-673619.69813381881</v>
      </c>
      <c r="BM92" s="216">
        <f t="shared" si="265"/>
        <v>-44706.15258045122</v>
      </c>
      <c r="BN92" s="216">
        <f t="shared" si="265"/>
        <v>359115.67397897318</v>
      </c>
      <c r="BO92" s="216">
        <f t="shared" si="265"/>
        <v>-115293.2533168103</v>
      </c>
      <c r="BP92" s="216">
        <f t="shared" si="265"/>
        <v>-669119.06733245216</v>
      </c>
      <c r="BQ92" s="216">
        <f t="shared" si="265"/>
        <v>-115801.30576854048</v>
      </c>
      <c r="BR92" s="216">
        <f t="shared" si="265"/>
        <v>415207.1612339858</v>
      </c>
      <c r="BS92" s="221">
        <f>SUM(BK92:BR92)</f>
        <v>-973096.85707733128</v>
      </c>
      <c r="BT92" s="218">
        <f t="shared" ref="BT92:CA92" si="266">BT32-BT90</f>
        <v>0</v>
      </c>
      <c r="BU92" s="216">
        <f t="shared" si="266"/>
        <v>271567.92292501032</v>
      </c>
      <c r="BV92" s="216">
        <f t="shared" si="266"/>
        <v>0</v>
      </c>
      <c r="BW92" s="216">
        <f t="shared" si="266"/>
        <v>-1161875.5372433732</v>
      </c>
      <c r="BX92" s="216">
        <f t="shared" si="266"/>
        <v>0</v>
      </c>
      <c r="BY92" s="216">
        <f t="shared" si="266"/>
        <v>-688207.89938083151</v>
      </c>
      <c r="BZ92" s="216">
        <f t="shared" si="266"/>
        <v>0</v>
      </c>
      <c r="CA92" s="216">
        <f t="shared" si="266"/>
        <v>-599849.30149302166</v>
      </c>
      <c r="CB92" s="219">
        <f>SUM(BT92:CA92)</f>
        <v>-2178364.8151922161</v>
      </c>
      <c r="CC92" s="218">
        <f>CC32-CC90</f>
        <v>-3151461.6722695678</v>
      </c>
      <c r="CD92" s="300">
        <v>61</v>
      </c>
      <c r="CE92" s="219">
        <f t="shared" ref="CE92:CS92" si="267">CE32-CE90</f>
        <v>-5172205.6798642576</v>
      </c>
      <c r="CF92" s="219">
        <f t="shared" si="267"/>
        <v>-3925154.0274357647</v>
      </c>
      <c r="CG92" s="219">
        <f t="shared" si="267"/>
        <v>-6825890.2524260134</v>
      </c>
      <c r="CH92" s="219">
        <f t="shared" si="267"/>
        <v>-5603840.115513131</v>
      </c>
      <c r="CI92" s="216">
        <f t="shared" si="267"/>
        <v>-21527090.075239122</v>
      </c>
      <c r="CJ92" s="219">
        <f t="shared" si="267"/>
        <v>15215690.77873864</v>
      </c>
      <c r="CK92" s="219">
        <f t="shared" si="267"/>
        <v>-1550969.012876071</v>
      </c>
      <c r="CL92" s="219">
        <f t="shared" si="267"/>
        <v>2779364.9391052425</v>
      </c>
      <c r="CM92" s="219">
        <f t="shared" si="267"/>
        <v>-385501.40693826973</v>
      </c>
      <c r="CN92" s="216">
        <f t="shared" si="267"/>
        <v>-22015522.111211885</v>
      </c>
      <c r="CO92" s="219">
        <f t="shared" si="267"/>
        <v>10043485.09887436</v>
      </c>
      <c r="CP92" s="219">
        <f t="shared" si="267"/>
        <v>-5476123.0403118134</v>
      </c>
      <c r="CQ92" s="219">
        <f t="shared" si="267"/>
        <v>-4046525.3133207262</v>
      </c>
      <c r="CR92" s="219">
        <f t="shared" si="267"/>
        <v>-5989341.5224514306</v>
      </c>
      <c r="CS92" s="216">
        <f t="shared" si="267"/>
        <v>-5468504.7772096395</v>
      </c>
    </row>
    <row r="93" spans="1:99" ht="15.75" customHeight="1">
      <c r="A93" s="136"/>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99" ht="15.75" customHeight="1">
      <c r="A94" s="135" t="s">
        <v>272</v>
      </c>
      <c r="B94" s="300">
        <v>62</v>
      </c>
      <c r="C94" s="387">
        <f t="shared" ref="C94:U94" si="268">IF((C32-C28)=0,"",C92/(C32-C28))</f>
        <v>-0.27754689120005294</v>
      </c>
      <c r="D94" s="387">
        <f t="shared" si="268"/>
        <v>-0.58657502805098094</v>
      </c>
      <c r="E94" s="387">
        <f t="shared" si="268"/>
        <v>-1.5213558930121927</v>
      </c>
      <c r="F94" s="387">
        <f t="shared" si="268"/>
        <v>-1.6444137804224987</v>
      </c>
      <c r="G94" s="387">
        <f t="shared" si="268"/>
        <v>-1.2588599645225391</v>
      </c>
      <c r="H94" s="387">
        <f t="shared" si="268"/>
        <v>-1.3025898937142089</v>
      </c>
      <c r="I94" s="387">
        <f t="shared" si="268"/>
        <v>-0.71369738195408783</v>
      </c>
      <c r="J94" s="387">
        <f t="shared" si="268"/>
        <v>-0.57399059964215404</v>
      </c>
      <c r="K94" s="388">
        <f t="shared" si="268"/>
        <v>-1.0007269746692264</v>
      </c>
      <c r="L94" s="389" t="str">
        <f t="shared" si="268"/>
        <v/>
      </c>
      <c r="M94" s="387">
        <f t="shared" si="268"/>
        <v>0.15353117325119228</v>
      </c>
      <c r="N94" s="387" t="str">
        <f t="shared" si="268"/>
        <v/>
      </c>
      <c r="O94" s="387">
        <f t="shared" si="268"/>
        <v>-0.65892134796557911</v>
      </c>
      <c r="P94" s="387" t="str">
        <f t="shared" si="268"/>
        <v/>
      </c>
      <c r="Q94" s="387">
        <f t="shared" si="268"/>
        <v>-0.36439031512062642</v>
      </c>
      <c r="R94" s="387" t="str">
        <f t="shared" si="268"/>
        <v/>
      </c>
      <c r="S94" s="387">
        <f t="shared" si="268"/>
        <v>-0.15707740590913891</v>
      </c>
      <c r="T94" s="390">
        <f t="shared" si="268"/>
        <v>-0.25066485874385447</v>
      </c>
      <c r="U94" s="389">
        <f t="shared" si="268"/>
        <v>-0.52242324797455397</v>
      </c>
      <c r="V94" s="300">
        <v>62</v>
      </c>
      <c r="W94" s="387">
        <f t="shared" ref="W94:AO94" si="269">IF((W32-W28)=0,"",W92/(W32-W28))</f>
        <v>-5.7150062266802248E-3</v>
      </c>
      <c r="X94" s="387">
        <f t="shared" si="269"/>
        <v>0.25590699275616036</v>
      </c>
      <c r="Y94" s="387">
        <f t="shared" si="269"/>
        <v>0.34034893815887446</v>
      </c>
      <c r="Z94" s="387">
        <f t="shared" si="269"/>
        <v>0.34107720427401683</v>
      </c>
      <c r="AA94" s="387">
        <f t="shared" si="269"/>
        <v>0.17553600645157322</v>
      </c>
      <c r="AB94" s="387">
        <f t="shared" si="269"/>
        <v>0.34916325418952654</v>
      </c>
      <c r="AC94" s="387">
        <f t="shared" si="269"/>
        <v>-9.3203589386378474E-2</v>
      </c>
      <c r="AD94" s="387">
        <f t="shared" si="269"/>
        <v>0.41779754629889015</v>
      </c>
      <c r="AE94" s="388">
        <f t="shared" si="269"/>
        <v>0.30821684192015025</v>
      </c>
      <c r="AF94" s="389" t="str">
        <f t="shared" si="269"/>
        <v/>
      </c>
      <c r="AG94" s="387">
        <f t="shared" si="269"/>
        <v>6.7070389370041131E-2</v>
      </c>
      <c r="AH94" s="387" t="str">
        <f t="shared" si="269"/>
        <v/>
      </c>
      <c r="AI94" s="387">
        <f t="shared" si="269"/>
        <v>-4.2133101740331122E-2</v>
      </c>
      <c r="AJ94" s="387" t="str">
        <f t="shared" si="269"/>
        <v/>
      </c>
      <c r="AK94" s="387">
        <f t="shared" si="269"/>
        <v>6.7755237148340045E-2</v>
      </c>
      <c r="AL94" s="387" t="str">
        <f t="shared" si="269"/>
        <v/>
      </c>
      <c r="AM94" s="387">
        <f t="shared" si="269"/>
        <v>-6.87120380126304E-2</v>
      </c>
      <c r="AN94" s="390">
        <f t="shared" si="269"/>
        <v>8.4866582418099898E-3</v>
      </c>
      <c r="AO94" s="389">
        <f t="shared" si="269"/>
        <v>0.13144186989980144</v>
      </c>
      <c r="AP94" s="300">
        <v>62</v>
      </c>
      <c r="AQ94" s="387">
        <f t="shared" ref="AQ94:BI94" si="270">IF((AQ32-AQ28)=0,"",AQ92/(AQ32-AQ28))</f>
        <v>-5.9828830185043792E-2</v>
      </c>
      <c r="AR94" s="387">
        <f t="shared" si="270"/>
        <v>-2.4540546522568912E-2</v>
      </c>
      <c r="AS94" s="387">
        <f t="shared" si="270"/>
        <v>3.1554624647487428E-2</v>
      </c>
      <c r="AT94" s="387">
        <f t="shared" si="270"/>
        <v>1.9945951756224472E-2</v>
      </c>
      <c r="AU94" s="387">
        <f t="shared" si="270"/>
        <v>-3.0781638270703453E-2</v>
      </c>
      <c r="AV94" s="387">
        <f t="shared" si="270"/>
        <v>-1.5246556472536818E-3</v>
      </c>
      <c r="AW94" s="387">
        <f t="shared" si="270"/>
        <v>-0.10567247067147437</v>
      </c>
      <c r="AX94" s="387">
        <f t="shared" si="270"/>
        <v>-1.0364102440294858E-2</v>
      </c>
      <c r="AY94" s="388">
        <f t="shared" si="270"/>
        <v>-1.5771155933811787E-2</v>
      </c>
      <c r="AZ94" s="389" t="str">
        <f t="shared" si="270"/>
        <v/>
      </c>
      <c r="BA94" s="387">
        <f t="shared" si="270"/>
        <v>0.22189090593802013</v>
      </c>
      <c r="BB94" s="387" t="str">
        <f t="shared" si="270"/>
        <v/>
      </c>
      <c r="BC94" s="387">
        <f t="shared" si="270"/>
        <v>8.3776274723030661E-2</v>
      </c>
      <c r="BD94" s="387" t="str">
        <f t="shared" si="270"/>
        <v/>
      </c>
      <c r="BE94" s="387">
        <f t="shared" si="270"/>
        <v>0.10747566789018201</v>
      </c>
      <c r="BF94" s="387" t="str">
        <f t="shared" si="270"/>
        <v/>
      </c>
      <c r="BG94" s="387">
        <f t="shared" si="270"/>
        <v>2.8229967655943083E-2</v>
      </c>
      <c r="BH94" s="390">
        <f t="shared" si="270"/>
        <v>0.11303704342295309</v>
      </c>
      <c r="BI94" s="389">
        <f t="shared" si="270"/>
        <v>3.5614406608980832E-2</v>
      </c>
      <c r="BJ94" s="300">
        <v>62</v>
      </c>
      <c r="BK94" s="387">
        <f t="shared" ref="BK94:CC94" si="271">IF((BK32-BK28)=0,"",BK92/(BK32-BK28))</f>
        <v>-0.22718825365054959</v>
      </c>
      <c r="BL94" s="387">
        <f t="shared" si="271"/>
        <v>-0.10846975777037934</v>
      </c>
      <c r="BM94" s="387">
        <f t="shared" si="271"/>
        <v>-8.2396115147643972E-2</v>
      </c>
      <c r="BN94" s="387">
        <f t="shared" si="271"/>
        <v>5.9956922343759933E-2</v>
      </c>
      <c r="BO94" s="387">
        <f t="shared" si="271"/>
        <v>-0.22225912722603608</v>
      </c>
      <c r="BP94" s="387">
        <f t="shared" si="271"/>
        <v>-0.11603990868098307</v>
      </c>
      <c r="BQ94" s="387">
        <f t="shared" si="271"/>
        <v>-0.16434152203655439</v>
      </c>
      <c r="BR94" s="387">
        <f t="shared" si="271"/>
        <v>5.6234624339523531E-2</v>
      </c>
      <c r="BS94" s="388">
        <f t="shared" si="271"/>
        <v>-3.515172414837732E-2</v>
      </c>
      <c r="BT94" s="389" t="str">
        <f t="shared" si="271"/>
        <v/>
      </c>
      <c r="BU94" s="387">
        <f t="shared" si="271"/>
        <v>9.9280318948725438E-2</v>
      </c>
      <c r="BV94" s="387" t="str">
        <f t="shared" si="271"/>
        <v/>
      </c>
      <c r="BW94" s="387">
        <f t="shared" si="271"/>
        <v>-0.51998498338955634</v>
      </c>
      <c r="BX94" s="387" t="str">
        <f t="shared" si="271"/>
        <v/>
      </c>
      <c r="BY94" s="387">
        <f t="shared" si="271"/>
        <v>-0.31241898912106286</v>
      </c>
      <c r="BZ94" s="387" t="str">
        <f t="shared" si="271"/>
        <v/>
      </c>
      <c r="CA94" s="387">
        <f t="shared" si="271"/>
        <v>-0.24998659968771542</v>
      </c>
      <c r="CB94" s="390">
        <f t="shared" si="271"/>
        <v>-0.22757277662270978</v>
      </c>
      <c r="CC94" s="389">
        <f t="shared" si="271"/>
        <v>-8.4591799805721582E-2</v>
      </c>
      <c r="CD94" s="300">
        <v>62</v>
      </c>
      <c r="CE94" s="390">
        <f t="shared" ref="CE94:CS94" si="272">IF((CE32-CE28)=0,"",CE92/(CE32-CE28))</f>
        <v>-5.672977809889105E-2</v>
      </c>
      <c r="CF94" s="390">
        <f t="shared" si="272"/>
        <v>-4.1084732655961131E-2</v>
      </c>
      <c r="CG94" s="390">
        <f t="shared" si="272"/>
        <v>-6.8166868301730993E-2</v>
      </c>
      <c r="CH94" s="390">
        <f t="shared" si="272"/>
        <v>-5.2336886433776972E-2</v>
      </c>
      <c r="CI94" s="423">
        <f t="shared" si="272"/>
        <v>-5.464863202559235E-2</v>
      </c>
      <c r="CJ94" s="390">
        <f t="shared" si="272"/>
        <v>0.20520724181417238</v>
      </c>
      <c r="CK94" s="390">
        <f t="shared" si="272"/>
        <v>-2.4872690841511346E-2</v>
      </c>
      <c r="CL94" s="390">
        <f t="shared" si="272"/>
        <v>3.9878499001115356E-2</v>
      </c>
      <c r="CM94" s="390">
        <f t="shared" si="272"/>
        <v>-5.4930120533355992E-3</v>
      </c>
      <c r="CN94" s="423" t="str">
        <f t="shared" si="272"/>
        <v/>
      </c>
      <c r="CO94" s="390">
        <f t="shared" si="272"/>
        <v>6.0751564860999398E-2</v>
      </c>
      <c r="CP94" s="390">
        <f t="shared" si="272"/>
        <v>-3.4682203695719276E-2</v>
      </c>
      <c r="CQ94" s="390">
        <f t="shared" si="272"/>
        <v>-2.3826799226391124E-2</v>
      </c>
      <c r="CR94" s="390">
        <f t="shared" si="272"/>
        <v>-3.3789825630617783E-2</v>
      </c>
      <c r="CS94" s="423">
        <f t="shared" si="272"/>
        <v>-8.1583118658204931E-3</v>
      </c>
      <c r="CU94" s="319"/>
    </row>
    <row r="95" spans="1:99" ht="15.75" customHeight="1">
      <c r="A95" s="135" t="s">
        <v>274</v>
      </c>
      <c r="B95" s="300">
        <v>63</v>
      </c>
      <c r="C95" s="392">
        <f>IF((C32-C28-C25)=0,"",(C73+C66-C64)/(C32-C28-C25))</f>
        <v>1.1868483468648339</v>
      </c>
      <c r="D95" s="392">
        <f t="shared" ref="D95:U95" si="273">IF((D32-D28-D25)=0,"",(D73+D66-D64)/(D32-D28-D25))</f>
        <v>1.4960625616275423</v>
      </c>
      <c r="E95" s="392">
        <f t="shared" si="273"/>
        <v>2.4201476283705738</v>
      </c>
      <c r="F95" s="392">
        <f t="shared" si="273"/>
        <v>2.5433161653503844</v>
      </c>
      <c r="G95" s="392">
        <f t="shared" si="273"/>
        <v>2.159482185453911</v>
      </c>
      <c r="H95" s="392">
        <f t="shared" si="273"/>
        <v>2.2031954852992883</v>
      </c>
      <c r="I95" s="392">
        <f t="shared" si="273"/>
        <v>1.6127750102983531</v>
      </c>
      <c r="J95" s="392">
        <f t="shared" si="273"/>
        <v>1.4731529327975423</v>
      </c>
      <c r="K95" s="388">
        <f t="shared" si="273"/>
        <v>1.9026115247640734</v>
      </c>
      <c r="L95" s="393" t="str">
        <f t="shared" si="273"/>
        <v/>
      </c>
      <c r="M95" s="392">
        <f t="shared" si="273"/>
        <v>0.76653767793072114</v>
      </c>
      <c r="N95" s="392" t="str">
        <f t="shared" si="273"/>
        <v/>
      </c>
      <c r="O95" s="392">
        <f t="shared" si="273"/>
        <v>1.5727830233349946</v>
      </c>
      <c r="P95" s="392" t="str">
        <f t="shared" si="273"/>
        <v/>
      </c>
      <c r="Q95" s="392">
        <f t="shared" si="273"/>
        <v>1.2824652008036985</v>
      </c>
      <c r="R95" s="392" t="str">
        <f t="shared" si="273"/>
        <v/>
      </c>
      <c r="S95" s="392">
        <f t="shared" si="273"/>
        <v>1.0749006872546671</v>
      </c>
      <c r="T95" s="390">
        <f t="shared" si="273"/>
        <v>1.1681898105047743</v>
      </c>
      <c r="U95" s="394">
        <f t="shared" si="273"/>
        <v>1.4342814552439869</v>
      </c>
      <c r="V95" s="300">
        <v>63</v>
      </c>
      <c r="W95" s="392">
        <f>IF((W32-W28-W25)=0,"",(W73+W66-W64)/(W32-W28-W25))</f>
        <v>0.91523535932788191</v>
      </c>
      <c r="X95" s="392">
        <f t="shared" ref="X95:AO95" si="274">IF((X32-X28-X25)=0,"",(X73+X66-X64)/(X32-X28-X25))</f>
        <v>0.65361336034504136</v>
      </c>
      <c r="Y95" s="392">
        <f t="shared" si="274"/>
        <v>0.55867872155524412</v>
      </c>
      <c r="Z95" s="392">
        <f t="shared" si="274"/>
        <v>0.5579504554401018</v>
      </c>
      <c r="AA95" s="392">
        <f t="shared" si="274"/>
        <v>0.72508621447979849</v>
      </c>
      <c r="AB95" s="392">
        <f t="shared" si="274"/>
        <v>0.55145896674184536</v>
      </c>
      <c r="AC95" s="392">
        <f t="shared" si="274"/>
        <v>0.99238256827708049</v>
      </c>
      <c r="AD95" s="392">
        <f t="shared" si="274"/>
        <v>0.48138143259181199</v>
      </c>
      <c r="AE95" s="388">
        <f t="shared" si="274"/>
        <v>0.59390479902530358</v>
      </c>
      <c r="AF95" s="393" t="str">
        <f t="shared" si="274"/>
        <v/>
      </c>
      <c r="AG95" s="392">
        <f t="shared" si="274"/>
        <v>0.85731396022616135</v>
      </c>
      <c r="AH95" s="392" t="str">
        <f t="shared" si="274"/>
        <v/>
      </c>
      <c r="AI95" s="392">
        <f t="shared" si="274"/>
        <v>0.95667415392612098</v>
      </c>
      <c r="AJ95" s="392" t="str">
        <f t="shared" si="274"/>
        <v/>
      </c>
      <c r="AK95" s="392">
        <f t="shared" si="274"/>
        <v>0.84905355098242141</v>
      </c>
      <c r="AL95" s="392" t="str">
        <f t="shared" si="274"/>
        <v/>
      </c>
      <c r="AM95" s="392">
        <f t="shared" si="274"/>
        <v>0.98409667811789581</v>
      </c>
      <c r="AN95" s="390">
        <f t="shared" si="274"/>
        <v>0.90955489191367633</v>
      </c>
      <c r="AO95" s="394">
        <f t="shared" si="274"/>
        <v>0.78006902063884709</v>
      </c>
      <c r="AP95" s="300">
        <v>63</v>
      </c>
      <c r="AQ95" s="392">
        <f>IF((AQ32-AQ28-AQ25)=0,"",(AQ73+AQ66-AQ64)/(AQ32-AQ28-AQ25))</f>
        <v>0.96935977153835184</v>
      </c>
      <c r="AR95" s="392">
        <f t="shared" ref="AR95:BI95" si="275">IF((AR32-AR28-AR25)=0,"",(AR73+AR66-AR64)/(AR32-AR28-AR25))</f>
        <v>0.93404958133327265</v>
      </c>
      <c r="AS95" s="392">
        <f t="shared" si="275"/>
        <v>0.86747303506663109</v>
      </c>
      <c r="AT95" s="392">
        <f t="shared" si="275"/>
        <v>0.87906570489289393</v>
      </c>
      <c r="AU95" s="392">
        <f t="shared" si="275"/>
        <v>0.93140385920207525</v>
      </c>
      <c r="AV95" s="392">
        <f t="shared" si="275"/>
        <v>0.90214687657862547</v>
      </c>
      <c r="AW95" s="392">
        <f t="shared" si="275"/>
        <v>1.002822757221878</v>
      </c>
      <c r="AX95" s="392">
        <f t="shared" si="275"/>
        <v>0.90954386333766868</v>
      </c>
      <c r="AY95" s="388">
        <f t="shared" si="275"/>
        <v>0.91748560103791543</v>
      </c>
      <c r="AZ95" s="393" t="str">
        <f t="shared" si="275"/>
        <v/>
      </c>
      <c r="BA95" s="392">
        <f t="shared" si="275"/>
        <v>0.70538709264111032</v>
      </c>
      <c r="BB95" s="392" t="str">
        <f t="shared" si="275"/>
        <v/>
      </c>
      <c r="BC95" s="392">
        <f t="shared" si="275"/>
        <v>0.83546202568330941</v>
      </c>
      <c r="BD95" s="392" t="str">
        <f t="shared" si="275"/>
        <v/>
      </c>
      <c r="BE95" s="392">
        <f t="shared" si="275"/>
        <v>0.8115278149230174</v>
      </c>
      <c r="BF95" s="392" t="str">
        <f t="shared" si="275"/>
        <v/>
      </c>
      <c r="BG95" s="392">
        <f t="shared" si="275"/>
        <v>0.88851907962678001</v>
      </c>
      <c r="BH95" s="390">
        <f t="shared" si="275"/>
        <v>0.80768529171503434</v>
      </c>
      <c r="BI95" s="394">
        <f t="shared" si="275"/>
        <v>0.87368287194066607</v>
      </c>
      <c r="BJ95" s="300">
        <v>63</v>
      </c>
      <c r="BK95" s="392">
        <f>IF((BK32-BK28-BK25)=0,"",(BK73+BK66-BK64)/(BK32-BK28-BK25))</f>
        <v>1.2307937019841084</v>
      </c>
      <c r="BL95" s="392">
        <f t="shared" ref="BL95:CC95" si="276">IF((BL32-BL28-BL25)=0,"",(BL73+BL66-BL64)/(BL32-BL28-BL25))</f>
        <v>1.1032096583893809</v>
      </c>
      <c r="BM95" s="392">
        <f t="shared" si="276"/>
        <v>1.0686575691672899</v>
      </c>
      <c r="BN95" s="392">
        <f t="shared" si="276"/>
        <v>0.91461353787451594</v>
      </c>
      <c r="BO95" s="392">
        <f t="shared" si="276"/>
        <v>1.2226110869302718</v>
      </c>
      <c r="BP95" s="392">
        <f t="shared" si="276"/>
        <v>1.1077544379333688</v>
      </c>
      <c r="BQ95" s="392">
        <f t="shared" si="276"/>
        <v>1.4428877780992706</v>
      </c>
      <c r="BR95" s="392">
        <f t="shared" si="276"/>
        <v>1.1504432232914259</v>
      </c>
      <c r="BS95" s="388">
        <f t="shared" si="276"/>
        <v>1.0837424546527832</v>
      </c>
      <c r="BT95" s="393" t="str">
        <f t="shared" si="276"/>
        <v/>
      </c>
      <c r="BU95" s="392">
        <f t="shared" si="276"/>
        <v>0.83683943153897122</v>
      </c>
      <c r="BV95" s="392" t="str">
        <f t="shared" si="276"/>
        <v/>
      </c>
      <c r="BW95" s="392">
        <f t="shared" si="276"/>
        <v>1.4424907150122659</v>
      </c>
      <c r="BX95" s="392" t="str">
        <f t="shared" si="276"/>
        <v/>
      </c>
      <c r="BY95" s="392">
        <f t="shared" si="276"/>
        <v>1.2294002130671262</v>
      </c>
      <c r="BZ95" s="392" t="str">
        <f t="shared" si="276"/>
        <v/>
      </c>
      <c r="CA95" s="392">
        <f t="shared" si="276"/>
        <v>1.1617435632284414</v>
      </c>
      <c r="CB95" s="390">
        <f t="shared" si="276"/>
        <v>1.1500030582244529</v>
      </c>
      <c r="CC95" s="394">
        <f t="shared" si="276"/>
        <v>1.1024833499322531</v>
      </c>
      <c r="CD95" s="300">
        <v>63</v>
      </c>
      <c r="CE95" s="390">
        <f t="shared" ref="CE95:CS95" si="277">IF((CE32-CE28-CE25)=0,"",(CE73+CE66-CE64)/(CE32-CE28-CE25))</f>
        <v>0.97188933770222619</v>
      </c>
      <c r="CF95" s="390">
        <f t="shared" si="277"/>
        <v>0.94541819226554302</v>
      </c>
      <c r="CG95" s="390">
        <f t="shared" si="277"/>
        <v>0.97387388845716738</v>
      </c>
      <c r="CH95" s="390">
        <f t="shared" si="277"/>
        <v>0.97086651084472442</v>
      </c>
      <c r="CI95" s="391">
        <f t="shared" si="277"/>
        <v>0.96567642012403765</v>
      </c>
      <c r="CJ95" s="390">
        <f t="shared" si="277"/>
        <v>0.72157956084423491</v>
      </c>
      <c r="CK95" s="390">
        <f t="shared" si="277"/>
        <v>0.94346987734216659</v>
      </c>
      <c r="CL95" s="390">
        <f t="shared" si="277"/>
        <v>0.87888557436968928</v>
      </c>
      <c r="CM95" s="390">
        <f t="shared" si="277"/>
        <v>0.92214868984265086</v>
      </c>
      <c r="CN95" s="391" t="str">
        <f t="shared" si="277"/>
        <v/>
      </c>
      <c r="CO95" s="390">
        <f t="shared" si="277"/>
        <v>0.85929714961234571</v>
      </c>
      <c r="CP95" s="390">
        <f t="shared" si="277"/>
        <v>0.9446464449084313</v>
      </c>
      <c r="CQ95" s="390">
        <f t="shared" si="277"/>
        <v>0.93478341750713223</v>
      </c>
      <c r="CR95" s="390">
        <f t="shared" si="277"/>
        <v>0.95135873748569288</v>
      </c>
      <c r="CS95" s="391">
        <f t="shared" si="277"/>
        <v>0.92280898227838848</v>
      </c>
    </row>
    <row r="96" spans="1:99" ht="15.75" customHeight="1">
      <c r="A96" s="135" t="s">
        <v>276</v>
      </c>
      <c r="B96" s="300">
        <v>64</v>
      </c>
      <c r="C96" s="392">
        <f>IF((C32-C28)=0,"",(C73)/(C32-C28))</f>
        <v>3.1510265512506963E-2</v>
      </c>
      <c r="D96" s="392">
        <f t="shared" ref="D96:U96" si="278">IF((D32-D28)=0,"",(D73)/(D32-D28))</f>
        <v>3.1445618781413422E-2</v>
      </c>
      <c r="E96" s="392">
        <f t="shared" si="278"/>
        <v>3.3762648713627066E-2</v>
      </c>
      <c r="F96" s="392">
        <f t="shared" si="278"/>
        <v>3.372573648557204E-2</v>
      </c>
      <c r="G96" s="392">
        <f t="shared" si="278"/>
        <v>3.5095274522832773E-2</v>
      </c>
      <c r="H96" s="392">
        <f t="shared" si="278"/>
        <v>3.5101147178457928E-2</v>
      </c>
      <c r="I96" s="392">
        <f t="shared" si="278"/>
        <v>3.351478565868482E-2</v>
      </c>
      <c r="J96" s="392">
        <f t="shared" si="278"/>
        <v>3.3486656478380464E-2</v>
      </c>
      <c r="K96" s="388">
        <f t="shared" si="278"/>
        <v>3.3485057273854188E-2</v>
      </c>
      <c r="L96" s="393" t="str">
        <f t="shared" si="278"/>
        <v/>
      </c>
      <c r="M96" s="392">
        <f t="shared" si="278"/>
        <v>2.6704191522471728E-2</v>
      </c>
      <c r="N96" s="392" t="str">
        <f t="shared" si="278"/>
        <v/>
      </c>
      <c r="O96" s="392">
        <f t="shared" si="278"/>
        <v>2.7791163300799511E-2</v>
      </c>
      <c r="P96" s="392" t="str">
        <f t="shared" si="278"/>
        <v/>
      </c>
      <c r="Q96" s="392">
        <f t="shared" si="278"/>
        <v>2.804962268274095E-2</v>
      </c>
      <c r="R96" s="392" t="str">
        <f t="shared" si="278"/>
        <v/>
      </c>
      <c r="S96" s="392">
        <f t="shared" si="278"/>
        <v>2.6473238547582666E-2</v>
      </c>
      <c r="T96" s="390">
        <f t="shared" si="278"/>
        <v>2.7243649443788244E-2</v>
      </c>
      <c r="U96" s="394">
        <f t="shared" si="278"/>
        <v>2.9505002073680769E-2</v>
      </c>
      <c r="V96" s="300">
        <v>64</v>
      </c>
      <c r="W96" s="392">
        <f t="shared" ref="W96:AO96" si="279">IF((W32-W28)=0,"",(W73)/(W32-W28))</f>
        <v>3.1434216702769378E-2</v>
      </c>
      <c r="X96" s="392">
        <f t="shared" si="279"/>
        <v>3.1434216702769385E-2</v>
      </c>
      <c r="Y96" s="392">
        <f t="shared" si="279"/>
        <v>3.3683945347118827E-2</v>
      </c>
      <c r="Z96" s="392">
        <f t="shared" si="279"/>
        <v>3.368394534711882E-2</v>
      </c>
      <c r="AA96" s="392">
        <f t="shared" si="279"/>
        <v>3.5095274522832766E-2</v>
      </c>
      <c r="AB96" s="392">
        <f t="shared" si="279"/>
        <v>3.5095274522832766E-2</v>
      </c>
      <c r="AC96" s="392">
        <f t="shared" si="279"/>
        <v>3.348112868268939E-2</v>
      </c>
      <c r="AD96" s="392">
        <f t="shared" si="279"/>
        <v>3.3481128682689383E-2</v>
      </c>
      <c r="AE96" s="388">
        <f t="shared" si="279"/>
        <v>3.3406559503048737E-2</v>
      </c>
      <c r="AF96" s="393" t="str">
        <f t="shared" si="279"/>
        <v/>
      </c>
      <c r="AG96" s="392">
        <f t="shared" si="279"/>
        <v>2.5262426980436004E-2</v>
      </c>
      <c r="AH96" s="392" t="str">
        <f t="shared" si="279"/>
        <v/>
      </c>
      <c r="AI96" s="392">
        <f t="shared" si="279"/>
        <v>2.7571973153700545E-2</v>
      </c>
      <c r="AJ96" s="392" t="str">
        <f t="shared" si="279"/>
        <v/>
      </c>
      <c r="AK96" s="392">
        <f t="shared" si="279"/>
        <v>2.8483110739705598E-2</v>
      </c>
      <c r="AL96" s="392" t="str">
        <f t="shared" si="279"/>
        <v/>
      </c>
      <c r="AM96" s="392">
        <f t="shared" si="279"/>
        <v>2.7258847079323894E-2</v>
      </c>
      <c r="AN96" s="390">
        <f t="shared" si="279"/>
        <v>2.7074953966962523E-2</v>
      </c>
      <c r="AO96" s="394">
        <f t="shared" si="279"/>
        <v>2.9672302986905923E-2</v>
      </c>
      <c r="AP96" s="300">
        <v>64</v>
      </c>
      <c r="AQ96" s="392">
        <f t="shared" ref="AQ96:BI96" si="280">IF((AQ32-AQ28)=0,"",(AQ73)/(AQ32-AQ28))</f>
        <v>3.143053815822789E-2</v>
      </c>
      <c r="AR96" s="392">
        <f t="shared" si="280"/>
        <v>3.1438148875455846E-2</v>
      </c>
      <c r="AS96" s="392">
        <f t="shared" si="280"/>
        <v>3.368394534711882E-2</v>
      </c>
      <c r="AT96" s="392">
        <f t="shared" si="280"/>
        <v>3.3689283901868858E-2</v>
      </c>
      <c r="AU96" s="392">
        <f t="shared" si="280"/>
        <v>3.5095274522832766E-2</v>
      </c>
      <c r="AV96" s="392">
        <f t="shared" si="280"/>
        <v>3.5095274522832766E-2</v>
      </c>
      <c r="AW96" s="392">
        <f t="shared" si="280"/>
        <v>3.4154826573821497E-2</v>
      </c>
      <c r="AX96" s="392">
        <f t="shared" si="280"/>
        <v>3.3480868990159854E-2</v>
      </c>
      <c r="AY96" s="388">
        <f t="shared" si="280"/>
        <v>3.3531766886351733E-2</v>
      </c>
      <c r="AZ96" s="393" t="str">
        <f t="shared" si="280"/>
        <v/>
      </c>
      <c r="BA96" s="392">
        <f t="shared" si="280"/>
        <v>2.4295688008439262E-2</v>
      </c>
      <c r="BB96" s="392" t="str">
        <f t="shared" si="280"/>
        <v/>
      </c>
      <c r="BC96" s="392">
        <f t="shared" si="280"/>
        <v>2.6056480567542797E-2</v>
      </c>
      <c r="BD96" s="392" t="str">
        <f t="shared" si="280"/>
        <v/>
      </c>
      <c r="BE96" s="392">
        <f t="shared" si="280"/>
        <v>2.7731688440701459E-2</v>
      </c>
      <c r="BF96" s="392" t="str">
        <f t="shared" si="280"/>
        <v/>
      </c>
      <c r="BG96" s="392">
        <f t="shared" si="280"/>
        <v>2.6819303163768599E-2</v>
      </c>
      <c r="BH96" s="390">
        <f t="shared" si="280"/>
        <v>2.6196287065026018E-2</v>
      </c>
      <c r="BI96" s="394">
        <f t="shared" si="280"/>
        <v>3.06054177950481E-2</v>
      </c>
      <c r="BJ96" s="300">
        <v>64</v>
      </c>
      <c r="BK96" s="392">
        <f t="shared" ref="BK96:CC96" si="281">IF((BK32-BK28)=0,"",(BK73)/(BK32-BK28))</f>
        <v>2.7648906546474006E-2</v>
      </c>
      <c r="BL96" s="392">
        <f t="shared" si="281"/>
        <v>2.8982997713866279E-2</v>
      </c>
      <c r="BM96" s="392">
        <f t="shared" si="281"/>
        <v>2.9532509165748001E-2</v>
      </c>
      <c r="BN96" s="392">
        <f t="shared" si="281"/>
        <v>3.0628963482455088E-2</v>
      </c>
      <c r="BO96" s="392">
        <f t="shared" si="281"/>
        <v>3.2447716248823089E-2</v>
      </c>
      <c r="BP96" s="392">
        <f t="shared" si="281"/>
        <v>3.2341312282200899E-2</v>
      </c>
      <c r="BQ96" s="392">
        <f t="shared" si="281"/>
        <v>2.5253123095424736E-2</v>
      </c>
      <c r="BR96" s="392">
        <f t="shared" si="281"/>
        <v>2.5253123095424743E-2</v>
      </c>
      <c r="BS96" s="388">
        <f t="shared" si="281"/>
        <v>2.8997250455038173E-2</v>
      </c>
      <c r="BT96" s="393" t="str">
        <f t="shared" si="281"/>
        <v/>
      </c>
      <c r="BU96" s="392">
        <f t="shared" si="281"/>
        <v>2.1341747775478353E-2</v>
      </c>
      <c r="BV96" s="392" t="str">
        <f t="shared" si="281"/>
        <v/>
      </c>
      <c r="BW96" s="392">
        <f t="shared" si="281"/>
        <v>2.5002295744495869E-2</v>
      </c>
      <c r="BX96" s="392" t="str">
        <f t="shared" si="281"/>
        <v/>
      </c>
      <c r="BY96" s="392">
        <f t="shared" si="281"/>
        <v>2.8424071950482851E-2</v>
      </c>
      <c r="BZ96" s="392" t="str">
        <f t="shared" si="281"/>
        <v/>
      </c>
      <c r="CA96" s="392">
        <f t="shared" si="281"/>
        <v>2.842750346569449E-2</v>
      </c>
      <c r="CB96" s="390">
        <f t="shared" si="281"/>
        <v>2.5602322000219561E-2</v>
      </c>
      <c r="CC96" s="394">
        <f t="shared" si="281"/>
        <v>2.8124967939693914E-2</v>
      </c>
      <c r="CD96" s="300">
        <v>64</v>
      </c>
      <c r="CE96" s="390">
        <f t="shared" ref="CE96:CS96" si="282">IF((CE32-CE28)=0,"",(CE73)/(CE32-CE28))</f>
        <v>3.1246573552404878E-2</v>
      </c>
      <c r="CF96" s="390">
        <f t="shared" si="282"/>
        <v>3.3474450318885976E-2</v>
      </c>
      <c r="CG96" s="390">
        <f t="shared" si="282"/>
        <v>3.4923146665380045E-2</v>
      </c>
      <c r="CH96" s="390">
        <f t="shared" si="282"/>
        <v>3.3040189539342041E-2</v>
      </c>
      <c r="CI96" s="391">
        <f t="shared" si="282"/>
        <v>3.3209030645386557E-2</v>
      </c>
      <c r="CJ96" s="390">
        <f t="shared" si="282"/>
        <v>2.4459791616807294E-2</v>
      </c>
      <c r="CK96" s="390">
        <f t="shared" si="282"/>
        <v>2.6263325793796199E-2</v>
      </c>
      <c r="CL96" s="390">
        <f t="shared" si="282"/>
        <v>2.7813657743788179E-2</v>
      </c>
      <c r="CM96" s="390">
        <f t="shared" si="282"/>
        <v>2.6849382155878856E-2</v>
      </c>
      <c r="CN96" s="391" t="str">
        <f t="shared" si="282"/>
        <v/>
      </c>
      <c r="CO96" s="390">
        <f t="shared" si="282"/>
        <v>2.8202634759657837E-2</v>
      </c>
      <c r="CP96" s="390">
        <f t="shared" si="282"/>
        <v>3.0626602149221999E-2</v>
      </c>
      <c r="CQ96" s="390">
        <f t="shared" si="282"/>
        <v>3.2005527541645158E-2</v>
      </c>
      <c r="CR96" s="390">
        <f t="shared" si="282"/>
        <v>3.0589041283985943E-2</v>
      </c>
      <c r="CS96" s="391">
        <f t="shared" si="282"/>
        <v>3.036820169786969E-2</v>
      </c>
    </row>
    <row r="97" spans="1:97" ht="15.75" customHeight="1">
      <c r="A97" s="135" t="s">
        <v>278</v>
      </c>
      <c r="B97" s="300">
        <v>65</v>
      </c>
      <c r="C97" s="392">
        <f t="shared" ref="C97:U97" si="283">IF((C32-C28)=0,"",C88/(C32-C28))</f>
        <v>9.0698544335219095E-2</v>
      </c>
      <c r="D97" s="392">
        <f t="shared" si="283"/>
        <v>9.0512466423438673E-2</v>
      </c>
      <c r="E97" s="392">
        <f t="shared" si="283"/>
        <v>0.10120826464161888</v>
      </c>
      <c r="F97" s="392">
        <f t="shared" si="283"/>
        <v>0.10109761507211404</v>
      </c>
      <c r="G97" s="392">
        <f t="shared" si="283"/>
        <v>9.9377779068628214E-2</v>
      </c>
      <c r="H97" s="392">
        <f t="shared" si="283"/>
        <v>9.9394408414920518E-2</v>
      </c>
      <c r="I97" s="392">
        <f t="shared" si="283"/>
        <v>0.10092237165573473</v>
      </c>
      <c r="J97" s="392">
        <f t="shared" si="283"/>
        <v>0.10083766684461173</v>
      </c>
      <c r="K97" s="395">
        <f t="shared" si="283"/>
        <v>9.8115449905153293E-2</v>
      </c>
      <c r="L97" s="393" t="str">
        <f t="shared" si="283"/>
        <v/>
      </c>
      <c r="M97" s="392">
        <f t="shared" si="283"/>
        <v>7.9931148818086578E-2</v>
      </c>
      <c r="N97" s="392" t="str">
        <f t="shared" si="283"/>
        <v/>
      </c>
      <c r="O97" s="392">
        <f t="shared" si="283"/>
        <v>8.6138324630584379E-2</v>
      </c>
      <c r="P97" s="392" t="str">
        <f t="shared" si="283"/>
        <v/>
      </c>
      <c r="Q97" s="392">
        <f t="shared" si="283"/>
        <v>8.1925114316928074E-2</v>
      </c>
      <c r="R97" s="392" t="str">
        <f t="shared" si="283"/>
        <v/>
      </c>
      <c r="S97" s="392">
        <f t="shared" si="283"/>
        <v>8.2176718654471737E-2</v>
      </c>
      <c r="T97" s="396">
        <f t="shared" si="283"/>
        <v>8.247504823908057E-2</v>
      </c>
      <c r="U97" s="393">
        <f t="shared" si="283"/>
        <v>8.8141792730567409E-2</v>
      </c>
      <c r="V97" s="300">
        <v>65</v>
      </c>
      <c r="W97" s="392">
        <f t="shared" ref="W97:AO97" si="284">IF((W32-W28)=0,"",W88/(W32-W28))</f>
        <v>9.0479646898798338E-2</v>
      </c>
      <c r="X97" s="392">
        <f t="shared" si="284"/>
        <v>9.0479646898798352E-2</v>
      </c>
      <c r="Y97" s="392">
        <f t="shared" si="284"/>
        <v>0.10097234028588141</v>
      </c>
      <c r="Z97" s="392">
        <f t="shared" si="284"/>
        <v>0.10097234028588141</v>
      </c>
      <c r="AA97" s="392">
        <f t="shared" si="284"/>
        <v>9.9377779068628214E-2</v>
      </c>
      <c r="AB97" s="392">
        <f t="shared" si="284"/>
        <v>9.9377779068628214E-2</v>
      </c>
      <c r="AC97" s="392">
        <f t="shared" si="284"/>
        <v>0.10082102110929797</v>
      </c>
      <c r="AD97" s="392">
        <f t="shared" si="284"/>
        <v>0.10082102110929794</v>
      </c>
      <c r="AE97" s="395">
        <f t="shared" si="284"/>
        <v>9.7878359054546185E-2</v>
      </c>
      <c r="AF97" s="393" t="str">
        <f t="shared" si="284"/>
        <v/>
      </c>
      <c r="AG97" s="392">
        <f t="shared" si="284"/>
        <v>7.561565040379753E-2</v>
      </c>
      <c r="AH97" s="392" t="str">
        <f t="shared" si="284"/>
        <v/>
      </c>
      <c r="AI97" s="392">
        <f t="shared" si="284"/>
        <v>8.545894781421004E-2</v>
      </c>
      <c r="AJ97" s="392" t="str">
        <f t="shared" si="284"/>
        <v/>
      </c>
      <c r="AK97" s="392">
        <f t="shared" si="284"/>
        <v>8.3191211869238571E-2</v>
      </c>
      <c r="AL97" s="392" t="str">
        <f t="shared" si="284"/>
        <v/>
      </c>
      <c r="AM97" s="392">
        <f t="shared" si="284"/>
        <v>8.4615359894734593E-2</v>
      </c>
      <c r="AN97" s="396">
        <f t="shared" si="284"/>
        <v>8.1958449844513545E-2</v>
      </c>
      <c r="AO97" s="393">
        <f t="shared" si="284"/>
        <v>8.8489109461351551E-2</v>
      </c>
      <c r="AP97" s="300">
        <v>65</v>
      </c>
      <c r="AQ97" s="392">
        <f t="shared" ref="AQ97:BI97" si="285">IF((AQ32-AQ28)=0,"",AQ88/(AQ32-AQ28))</f>
        <v>9.0469058646691941E-2</v>
      </c>
      <c r="AR97" s="392">
        <f t="shared" si="285"/>
        <v>9.0490965189296266E-2</v>
      </c>
      <c r="AS97" s="392">
        <f t="shared" si="285"/>
        <v>0.10097234028588141</v>
      </c>
      <c r="AT97" s="392">
        <f t="shared" si="285"/>
        <v>0.10098834335088167</v>
      </c>
      <c r="AU97" s="392">
        <f t="shared" si="285"/>
        <v>9.93777790686282E-2</v>
      </c>
      <c r="AV97" s="392">
        <f t="shared" si="285"/>
        <v>9.9377779068628186E-2</v>
      </c>
      <c r="AW97" s="392">
        <f t="shared" si="285"/>
        <v>0.10284971344959645</v>
      </c>
      <c r="AX97" s="392">
        <f t="shared" si="285"/>
        <v>0.10082023910262637</v>
      </c>
      <c r="AY97" s="395">
        <f t="shared" si="285"/>
        <v>9.828555489589616E-2</v>
      </c>
      <c r="AZ97" s="393" t="str">
        <f t="shared" si="285"/>
        <v/>
      </c>
      <c r="BA97" s="392">
        <f t="shared" si="285"/>
        <v>7.27220014208695E-2</v>
      </c>
      <c r="BB97" s="392" t="str">
        <f t="shared" si="285"/>
        <v/>
      </c>
      <c r="BC97" s="392">
        <f t="shared" si="285"/>
        <v>8.0761699593659864E-2</v>
      </c>
      <c r="BD97" s="392" t="str">
        <f t="shared" si="285"/>
        <v/>
      </c>
      <c r="BE97" s="392">
        <f t="shared" si="285"/>
        <v>8.0996517186800607E-2</v>
      </c>
      <c r="BF97" s="392" t="str">
        <f t="shared" si="285"/>
        <v/>
      </c>
      <c r="BG97" s="392">
        <f t="shared" si="285"/>
        <v>8.3250952717276894E-2</v>
      </c>
      <c r="BH97" s="396">
        <f t="shared" si="285"/>
        <v>7.927766486201239E-2</v>
      </c>
      <c r="BI97" s="393">
        <f t="shared" si="285"/>
        <v>9.0702721450353047E-2</v>
      </c>
      <c r="BJ97" s="300">
        <v>65</v>
      </c>
      <c r="BK97" s="392">
        <f t="shared" ref="BK97:CC97" si="286">IF((BK32-BK28)=0,"",BK88/(BK32-BK28))</f>
        <v>7.9584082692998784E-2</v>
      </c>
      <c r="BL97" s="392">
        <f t="shared" si="286"/>
        <v>8.3424105140442947E-2</v>
      </c>
      <c r="BM97" s="392">
        <f t="shared" si="286"/>
        <v>8.8527829333830771E-2</v>
      </c>
      <c r="BN97" s="392">
        <f t="shared" si="286"/>
        <v>9.1814604598235539E-2</v>
      </c>
      <c r="BO97" s="392">
        <f t="shared" si="286"/>
        <v>9.1880802201994058E-2</v>
      </c>
      <c r="BP97" s="392">
        <f t="shared" si="286"/>
        <v>9.1579502667205506E-2</v>
      </c>
      <c r="BQ97" s="392">
        <f t="shared" si="286"/>
        <v>7.6044200325776024E-2</v>
      </c>
      <c r="BR97" s="392">
        <f t="shared" si="286"/>
        <v>7.6044200325776051E-2</v>
      </c>
      <c r="BS97" s="395">
        <f t="shared" si="286"/>
        <v>8.496187664703006E-2</v>
      </c>
      <c r="BT97" s="393" t="str">
        <f t="shared" si="286"/>
        <v/>
      </c>
      <c r="BU97" s="392">
        <f t="shared" si="286"/>
        <v>6.3880249512303283E-2</v>
      </c>
      <c r="BV97" s="392" t="str">
        <f t="shared" si="286"/>
        <v/>
      </c>
      <c r="BW97" s="392">
        <f t="shared" si="286"/>
        <v>7.7494268377290496E-2</v>
      </c>
      <c r="BX97" s="392" t="str">
        <f t="shared" si="286"/>
        <v/>
      </c>
      <c r="BY97" s="392">
        <f t="shared" si="286"/>
        <v>8.301877605393676E-2</v>
      </c>
      <c r="BZ97" s="392" t="str">
        <f t="shared" si="286"/>
        <v/>
      </c>
      <c r="CA97" s="392">
        <f t="shared" si="286"/>
        <v>8.8243036459274074E-2</v>
      </c>
      <c r="CB97" s="396">
        <f t="shared" si="286"/>
        <v>7.7569718398257201E-2</v>
      </c>
      <c r="CC97" s="393">
        <f t="shared" si="286"/>
        <v>8.306255815567562E-2</v>
      </c>
      <c r="CD97" s="300">
        <v>65</v>
      </c>
      <c r="CE97" s="396">
        <f t="shared" ref="CE97:CS97" si="287">IF((CE32-CE28)=0,"",CE88/(CE32-CE28))</f>
        <v>8.9939538451099629E-2</v>
      </c>
      <c r="CF97" s="396">
        <f t="shared" si="287"/>
        <v>0.10034434961967706</v>
      </c>
      <c r="CG97" s="396">
        <f t="shared" si="287"/>
        <v>9.8890372019614689E-2</v>
      </c>
      <c r="CH97" s="396">
        <f t="shared" si="287"/>
        <v>9.9493230308077954E-2</v>
      </c>
      <c r="CI97" s="423">
        <f t="shared" si="287"/>
        <v>9.7335196868480064E-2</v>
      </c>
      <c r="CJ97" s="396">
        <f t="shared" si="287"/>
        <v>7.3213197341592734E-2</v>
      </c>
      <c r="CK97" s="396">
        <f t="shared" si="287"/>
        <v>8.1402813499344751E-2</v>
      </c>
      <c r="CL97" s="396">
        <f t="shared" si="287"/>
        <v>8.1235926629195376E-2</v>
      </c>
      <c r="CM97" s="396">
        <f t="shared" si="287"/>
        <v>8.3344322210684788E-2</v>
      </c>
      <c r="CN97" s="423" t="str">
        <f t="shared" si="287"/>
        <v/>
      </c>
      <c r="CO97" s="396">
        <f t="shared" si="287"/>
        <v>8.2437609105632192E-2</v>
      </c>
      <c r="CP97" s="396">
        <f t="shared" si="287"/>
        <v>9.2863877082664442E-2</v>
      </c>
      <c r="CQ97" s="396">
        <f t="shared" si="287"/>
        <v>9.1645273524055409E-2</v>
      </c>
      <c r="CR97" s="396">
        <f t="shared" si="287"/>
        <v>9.3099336029511634E-2</v>
      </c>
      <c r="CS97" s="423">
        <f t="shared" si="287"/>
        <v>9.0045882746533495E-2</v>
      </c>
    </row>
    <row r="99" spans="1:97">
      <c r="K99" s="319"/>
    </row>
    <row r="100" spans="1:97">
      <c r="K100" s="319"/>
    </row>
  </sheetData>
  <sheetProtection formatColumns="0"/>
  <mergeCells count="13">
    <mergeCell ref="BI11:BI13"/>
    <mergeCell ref="CD10:CD13"/>
    <mergeCell ref="CC11:CC13"/>
    <mergeCell ref="CS10:CS13"/>
    <mergeCell ref="AP10:AP13"/>
    <mergeCell ref="BJ10:BJ13"/>
    <mergeCell ref="CN10:CN13"/>
    <mergeCell ref="CI10:CI13"/>
    <mergeCell ref="V10:V13"/>
    <mergeCell ref="U11:U13"/>
    <mergeCell ref="AO11:AO13"/>
    <mergeCell ref="G1:I1"/>
    <mergeCell ref="B10:B13"/>
  </mergeCells>
  <pageMargins left="0.25" right="0.25" top="0.5" bottom="0.75" header="0.3" footer="0.3"/>
  <pageSetup paperSize="9" scale="58" fitToHeight="0" orientation="portrait" r:id="rId1"/>
  <headerFooter alignWithMargins="0"/>
  <ignoredErrors>
    <ignoredError sqref="K7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EA342"/>
  <sheetViews>
    <sheetView zoomScale="90" zoomScaleNormal="90" workbookViewId="0">
      <pane xSplit="2" ySplit="14" topLeftCell="C15" activePane="bottomRight" state="frozen"/>
      <selection pane="bottomRight" activeCell="CP128" sqref="CP128"/>
      <selection pane="bottomLeft" activeCell="CP128" sqref="CP128"/>
      <selection pane="topRight" activeCell="CP128" sqref="CP128"/>
    </sheetView>
  </sheetViews>
  <sheetFormatPr defaultColWidth="9.42578125" defaultRowHeight="13.15"/>
  <cols>
    <col min="1" max="1" width="49.42578125" style="136" bestFit="1" customWidth="1"/>
    <col min="2" max="2" width="8.5703125" style="136" bestFit="1" customWidth="1"/>
    <col min="3" max="21" width="15.5703125" style="136" customWidth="1"/>
    <col min="22" max="22" width="7.42578125" style="136" bestFit="1" customWidth="1"/>
    <col min="23" max="41" width="15.5703125" style="136" customWidth="1"/>
    <col min="42" max="42" width="7.42578125" style="136" bestFit="1" customWidth="1"/>
    <col min="43" max="61" width="15.5703125" style="136" customWidth="1"/>
    <col min="62" max="62" width="7.42578125" style="136" bestFit="1" customWidth="1"/>
    <col min="63" max="81" width="15.5703125" style="136" customWidth="1"/>
    <col min="82" max="82" width="7.42578125" style="136" bestFit="1" customWidth="1"/>
    <col min="83" max="92" width="15.5703125" style="136" customWidth="1"/>
    <col min="93" max="93" width="16.7109375" style="136" bestFit="1" customWidth="1"/>
    <col min="94" max="97" width="15.5703125" style="136" customWidth="1"/>
    <col min="98" max="98" width="13.42578125" style="317" bestFit="1" customWidth="1"/>
    <col min="99" max="99" width="12.42578125" style="317" bestFit="1" customWidth="1"/>
    <col min="100" max="100" width="13.42578125" style="317" bestFit="1" customWidth="1"/>
    <col min="101" max="101" width="11.42578125" style="317" bestFit="1" customWidth="1"/>
    <col min="102" max="102" width="13.42578125" style="317" bestFit="1" customWidth="1"/>
    <col min="103" max="131" width="9.42578125" style="317"/>
    <col min="132" max="16384" width="9.42578125" style="136"/>
  </cols>
  <sheetData>
    <row r="1" spans="1:131" s="179" customFormat="1" ht="27" customHeight="1">
      <c r="A1" s="15" t="s">
        <v>1325</v>
      </c>
      <c r="G1" s="777"/>
      <c r="H1" s="777"/>
      <c r="I1" s="777"/>
      <c r="J1" s="710"/>
      <c r="K1" s="710"/>
      <c r="L1" s="180"/>
      <c r="M1" s="180"/>
      <c r="N1" s="180"/>
      <c r="O1" s="180"/>
      <c r="P1" s="180"/>
      <c r="Q1" s="180"/>
      <c r="R1" s="180"/>
      <c r="S1" s="180"/>
      <c r="T1" s="710"/>
      <c r="U1" s="180"/>
      <c r="V1" s="180"/>
      <c r="W1" s="180"/>
      <c r="X1" s="180"/>
      <c r="Y1" s="180"/>
      <c r="Z1" s="180"/>
      <c r="AA1" s="180"/>
      <c r="AB1" s="180"/>
      <c r="AC1" s="180"/>
      <c r="AD1" s="180"/>
      <c r="AE1" s="710"/>
      <c r="AF1" s="180"/>
      <c r="AG1" s="180"/>
      <c r="AH1" s="180"/>
      <c r="AI1" s="180"/>
      <c r="AJ1" s="180"/>
      <c r="AK1" s="180"/>
      <c r="AL1" s="180"/>
      <c r="AM1" s="180"/>
      <c r="AN1" s="710"/>
      <c r="AO1" s="180"/>
      <c r="AP1" s="180"/>
      <c r="AQ1" s="180"/>
      <c r="AR1" s="180"/>
      <c r="AS1" s="180"/>
      <c r="AT1" s="180"/>
      <c r="AU1" s="180"/>
      <c r="AV1" s="180"/>
      <c r="AW1" s="180"/>
      <c r="AX1" s="180"/>
      <c r="AY1" s="710"/>
      <c r="AZ1" s="180"/>
      <c r="BA1" s="180"/>
      <c r="BB1" s="180"/>
      <c r="BC1" s="180"/>
      <c r="BD1" s="180"/>
      <c r="BE1" s="180"/>
      <c r="BF1" s="180"/>
      <c r="BG1" s="180"/>
      <c r="BH1" s="710"/>
      <c r="BI1" s="180"/>
      <c r="BJ1" s="180"/>
      <c r="BK1" s="180"/>
      <c r="BL1" s="180"/>
      <c r="BM1" s="180"/>
      <c r="BN1" s="180"/>
      <c r="BO1" s="180"/>
      <c r="BP1" s="180"/>
      <c r="BQ1" s="180"/>
      <c r="BR1" s="180"/>
      <c r="BS1" s="710"/>
      <c r="BT1" s="180"/>
      <c r="BU1" s="180"/>
      <c r="BV1" s="180"/>
      <c r="BW1" s="180"/>
      <c r="BX1" s="180"/>
      <c r="BY1" s="180"/>
      <c r="BZ1" s="180"/>
      <c r="CA1" s="180"/>
      <c r="CB1" s="71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row>
    <row r="2" spans="1:131" s="179" customFormat="1" ht="15.6">
      <c r="A2" s="139" t="s">
        <v>1303</v>
      </c>
      <c r="B2" s="397" t="str">
        <f>'Schedule 3A_Income Statement'!B2</f>
        <v>Tufts Associated Health Plans, Inc. (TAHMO)</v>
      </c>
      <c r="C2" s="398"/>
      <c r="D2" s="398"/>
      <c r="E2" s="398"/>
      <c r="F2" s="399"/>
      <c r="G2" s="425"/>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row>
    <row r="3" spans="1:131" s="179" customFormat="1" ht="15.6">
      <c r="A3" s="139" t="s">
        <v>1285</v>
      </c>
      <c r="B3" s="520" t="str">
        <f>'Schedule 3A_Income Statement'!B3</f>
        <v>01/01/2024 - 12/31/2024</v>
      </c>
      <c r="C3" s="521"/>
      <c r="D3" s="521"/>
      <c r="E3" s="521"/>
      <c r="F3" s="522"/>
      <c r="G3" s="42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c r="DV3" s="180"/>
      <c r="DW3" s="180"/>
      <c r="DX3" s="180"/>
      <c r="DY3" s="180"/>
      <c r="DZ3" s="180"/>
      <c r="EA3" s="180"/>
    </row>
    <row r="4" spans="1:131" s="179" customFormat="1" ht="15.6">
      <c r="A4" s="139" t="s">
        <v>1306</v>
      </c>
      <c r="B4" s="401">
        <f>'Schedule 3A_Income Statement'!B4</f>
        <v>45657</v>
      </c>
      <c r="C4" s="398"/>
      <c r="D4" s="398"/>
      <c r="E4" s="398"/>
      <c r="F4" s="399"/>
      <c r="G4" s="425"/>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row>
    <row r="5" spans="1:131" s="179" customFormat="1" ht="15.6">
      <c r="A5" s="139" t="s">
        <v>1307</v>
      </c>
      <c r="B5" s="397" t="str">
        <f>'Schedule 3A_Income Statement'!B5</f>
        <v>Roshni Parikh</v>
      </c>
      <c r="C5" s="398"/>
      <c r="D5" s="398"/>
      <c r="E5" s="398"/>
      <c r="F5" s="399"/>
      <c r="G5" s="425"/>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row>
    <row r="6" spans="1:131" s="179" customFormat="1" ht="15.6">
      <c r="A6" s="139" t="s">
        <v>1288</v>
      </c>
      <c r="B6" s="401">
        <f>'Schedule 3A_Income Statement'!B6</f>
        <v>45657</v>
      </c>
      <c r="C6" s="398"/>
      <c r="D6" s="398"/>
      <c r="E6" s="398"/>
      <c r="F6" s="399"/>
      <c r="G6" s="425"/>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row>
    <row r="7" spans="1:131" s="179" customFormat="1">
      <c r="A7" s="230" t="s">
        <v>1289</v>
      </c>
      <c r="B7" s="181"/>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row>
    <row r="8" spans="1:131" s="179" customFormat="1">
      <c r="A8" s="230"/>
      <c r="B8" s="181"/>
      <c r="G8" s="180"/>
      <c r="H8" s="180"/>
      <c r="I8" s="180"/>
      <c r="J8" s="180"/>
      <c r="K8" s="180"/>
      <c r="L8" s="180"/>
      <c r="M8" s="180"/>
      <c r="N8" s="180"/>
      <c r="O8" s="180"/>
      <c r="P8" s="180"/>
      <c r="Q8" s="180"/>
      <c r="R8" s="180"/>
      <c r="S8" s="180"/>
      <c r="T8" s="180"/>
      <c r="U8" s="180"/>
      <c r="V8" s="343"/>
      <c r="W8" s="180"/>
      <c r="X8" s="180"/>
      <c r="Y8" s="180"/>
      <c r="Z8" s="180"/>
      <c r="AA8" s="180"/>
      <c r="AB8" s="180"/>
      <c r="AC8" s="180"/>
      <c r="AD8" s="180"/>
      <c r="AE8" s="180"/>
      <c r="AF8" s="180"/>
      <c r="AG8" s="180"/>
      <c r="AH8" s="180"/>
      <c r="AI8" s="180"/>
      <c r="AJ8" s="180"/>
      <c r="AK8" s="180"/>
      <c r="AL8" s="180"/>
      <c r="AM8" s="180"/>
      <c r="AN8" s="180"/>
      <c r="AO8" s="180"/>
      <c r="AP8" s="343"/>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row>
    <row r="9" spans="1:131" s="179" customFormat="1">
      <c r="A9" s="230"/>
      <c r="B9" s="181"/>
      <c r="G9" s="180"/>
      <c r="H9" s="180"/>
      <c r="I9" s="180"/>
      <c r="J9" s="180"/>
      <c r="K9" s="180"/>
      <c r="L9" s="180"/>
      <c r="M9" s="180"/>
      <c r="N9" s="180"/>
      <c r="O9" s="180"/>
      <c r="P9" s="180"/>
      <c r="Q9" s="180"/>
      <c r="R9" s="180"/>
      <c r="S9" s="180"/>
      <c r="T9" s="180"/>
      <c r="U9" s="180"/>
      <c r="V9" s="343"/>
      <c r="W9" s="180"/>
      <c r="X9" s="180"/>
      <c r="Y9" s="180"/>
      <c r="Z9" s="180"/>
      <c r="AA9" s="180"/>
      <c r="AB9" s="180"/>
      <c r="AC9" s="180"/>
      <c r="AD9" s="180"/>
      <c r="AE9" s="180"/>
      <c r="AF9" s="180"/>
      <c r="AG9" s="180"/>
      <c r="AH9" s="180"/>
      <c r="AI9" s="180"/>
      <c r="AJ9" s="180"/>
      <c r="AK9" s="180"/>
      <c r="AL9" s="180"/>
      <c r="AM9" s="180"/>
      <c r="AN9" s="180"/>
      <c r="AO9" s="180"/>
      <c r="AP9" s="343"/>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row>
    <row r="10" spans="1:131" s="179" customFormat="1" ht="15.75" customHeight="1">
      <c r="A10" s="404"/>
      <c r="B10" s="769" t="s">
        <v>1326</v>
      </c>
      <c r="C10" s="405" t="s">
        <v>404</v>
      </c>
      <c r="D10" s="406"/>
      <c r="E10" s="406"/>
      <c r="F10" s="406"/>
      <c r="G10" s="406"/>
      <c r="H10" s="406"/>
      <c r="I10" s="406"/>
      <c r="J10" s="406"/>
      <c r="K10" s="406"/>
      <c r="L10" s="406"/>
      <c r="M10" s="406"/>
      <c r="N10" s="406"/>
      <c r="O10" s="406"/>
      <c r="P10" s="406"/>
      <c r="Q10" s="406"/>
      <c r="R10" s="406"/>
      <c r="S10" s="406"/>
      <c r="T10" s="406"/>
      <c r="U10" s="407"/>
      <c r="V10" s="769" t="s">
        <v>1326</v>
      </c>
      <c r="W10" s="405" t="s">
        <v>409</v>
      </c>
      <c r="X10" s="406"/>
      <c r="Y10" s="406"/>
      <c r="Z10" s="406"/>
      <c r="AA10" s="406"/>
      <c r="AB10" s="406"/>
      <c r="AC10" s="406"/>
      <c r="AD10" s="406"/>
      <c r="AE10" s="406"/>
      <c r="AF10" s="406"/>
      <c r="AG10" s="406"/>
      <c r="AH10" s="406"/>
      <c r="AI10" s="406"/>
      <c r="AJ10" s="406"/>
      <c r="AK10" s="406"/>
      <c r="AL10" s="406"/>
      <c r="AM10" s="406"/>
      <c r="AN10" s="406"/>
      <c r="AO10" s="407"/>
      <c r="AP10" s="769" t="s">
        <v>1326</v>
      </c>
      <c r="AQ10" s="405" t="s">
        <v>411</v>
      </c>
      <c r="AR10" s="406"/>
      <c r="AS10" s="406"/>
      <c r="AT10" s="406"/>
      <c r="AU10" s="406"/>
      <c r="AV10" s="406"/>
      <c r="AW10" s="406"/>
      <c r="AX10" s="406"/>
      <c r="AY10" s="406"/>
      <c r="AZ10" s="406"/>
      <c r="BA10" s="406"/>
      <c r="BB10" s="406"/>
      <c r="BC10" s="406"/>
      <c r="BD10" s="406"/>
      <c r="BE10" s="406"/>
      <c r="BF10" s="406"/>
      <c r="BG10" s="406"/>
      <c r="BH10" s="406"/>
      <c r="BI10" s="406"/>
      <c r="BJ10" s="769" t="s">
        <v>1326</v>
      </c>
      <c r="BK10" s="406" t="s">
        <v>1327</v>
      </c>
      <c r="BL10" s="406"/>
      <c r="BM10" s="406"/>
      <c r="BN10" s="406"/>
      <c r="BO10" s="406"/>
      <c r="BP10" s="406"/>
      <c r="BQ10" s="406"/>
      <c r="BR10" s="406"/>
      <c r="BS10" s="406"/>
      <c r="BT10" s="406"/>
      <c r="BU10" s="406"/>
      <c r="BV10" s="406"/>
      <c r="BW10" s="406"/>
      <c r="BX10" s="406"/>
      <c r="BY10" s="406"/>
      <c r="BZ10" s="406"/>
      <c r="CA10" s="406"/>
      <c r="CB10" s="406"/>
      <c r="CC10" s="406"/>
      <c r="CD10" s="769" t="s">
        <v>1326</v>
      </c>
      <c r="CE10" s="646"/>
      <c r="CF10" s="647"/>
      <c r="CG10" s="647"/>
      <c r="CH10" s="648"/>
      <c r="CI10" s="774" t="s">
        <v>1328</v>
      </c>
      <c r="CJ10" s="646"/>
      <c r="CK10" s="647"/>
      <c r="CL10" s="647"/>
      <c r="CM10" s="648"/>
      <c r="CN10" s="774" t="s">
        <v>1328</v>
      </c>
      <c r="CO10" s="646"/>
      <c r="CP10" s="647"/>
      <c r="CQ10" s="647"/>
      <c r="CR10" s="648"/>
      <c r="CS10" s="774" t="s">
        <v>1328</v>
      </c>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row>
    <row r="11" spans="1:131" s="179" customFormat="1" ht="32.1" customHeight="1">
      <c r="A11" s="138" t="s">
        <v>1329</v>
      </c>
      <c r="B11" s="769"/>
      <c r="C11" s="405" t="s">
        <v>1330</v>
      </c>
      <c r="D11" s="406"/>
      <c r="E11" s="406"/>
      <c r="F11" s="406"/>
      <c r="G11" s="406"/>
      <c r="H11" s="406"/>
      <c r="I11" s="406"/>
      <c r="J11" s="406"/>
      <c r="K11" s="408"/>
      <c r="L11" s="409" t="s">
        <v>1331</v>
      </c>
      <c r="M11" s="406"/>
      <c r="N11" s="406"/>
      <c r="O11" s="406"/>
      <c r="P11" s="406"/>
      <c r="Q11" s="406"/>
      <c r="R11" s="406"/>
      <c r="S11" s="406"/>
      <c r="T11" s="406"/>
      <c r="U11" s="770" t="s">
        <v>1332</v>
      </c>
      <c r="V11" s="769"/>
      <c r="W11" s="406" t="s">
        <v>1330</v>
      </c>
      <c r="X11" s="406"/>
      <c r="Y11" s="406"/>
      <c r="Z11" s="406"/>
      <c r="AA11" s="406"/>
      <c r="AB11" s="406"/>
      <c r="AC11" s="406"/>
      <c r="AD11" s="406"/>
      <c r="AE11" s="408"/>
      <c r="AF11" s="409" t="s">
        <v>1331</v>
      </c>
      <c r="AG11" s="406"/>
      <c r="AH11" s="406"/>
      <c r="AI11" s="406"/>
      <c r="AJ11" s="406"/>
      <c r="AK11" s="406"/>
      <c r="AL11" s="406"/>
      <c r="AM11" s="406"/>
      <c r="AN11" s="406"/>
      <c r="AO11" s="770" t="s">
        <v>1332</v>
      </c>
      <c r="AP11" s="769"/>
      <c r="AQ11" s="405" t="s">
        <v>1330</v>
      </c>
      <c r="AR11" s="406"/>
      <c r="AS11" s="406"/>
      <c r="AT11" s="406"/>
      <c r="AU11" s="406"/>
      <c r="AV11" s="406"/>
      <c r="AW11" s="406"/>
      <c r="AX11" s="406"/>
      <c r="AY11" s="408"/>
      <c r="AZ11" s="409" t="s">
        <v>1331</v>
      </c>
      <c r="BA11" s="406"/>
      <c r="BB11" s="406"/>
      <c r="BC11" s="406"/>
      <c r="BD11" s="406"/>
      <c r="BE11" s="406"/>
      <c r="BF11" s="406"/>
      <c r="BG11" s="406"/>
      <c r="BH11" s="406"/>
      <c r="BI11" s="778" t="s">
        <v>1332</v>
      </c>
      <c r="BJ11" s="769"/>
      <c r="BK11" s="406" t="s">
        <v>1330</v>
      </c>
      <c r="BL11" s="406"/>
      <c r="BM11" s="406"/>
      <c r="BN11" s="406"/>
      <c r="BO11" s="406"/>
      <c r="BP11" s="406"/>
      <c r="BQ11" s="406"/>
      <c r="BR11" s="406"/>
      <c r="BS11" s="408"/>
      <c r="BT11" s="409" t="s">
        <v>1331</v>
      </c>
      <c r="BU11" s="406"/>
      <c r="BV11" s="406"/>
      <c r="BW11" s="406"/>
      <c r="BX11" s="406"/>
      <c r="BY11" s="406"/>
      <c r="BZ11" s="406"/>
      <c r="CA11" s="406"/>
      <c r="CB11" s="406"/>
      <c r="CC11" s="778" t="s">
        <v>1332</v>
      </c>
      <c r="CD11" s="769"/>
      <c r="CE11" s="645" t="s">
        <v>1330</v>
      </c>
      <c r="CF11" s="645"/>
      <c r="CG11" s="645"/>
      <c r="CH11" s="645"/>
      <c r="CI11" s="775"/>
      <c r="CJ11" s="645" t="s">
        <v>1331</v>
      </c>
      <c r="CK11" s="645"/>
      <c r="CL11" s="645"/>
      <c r="CM11" s="645"/>
      <c r="CN11" s="775"/>
      <c r="CO11" s="645" t="s">
        <v>1333</v>
      </c>
      <c r="CP11" s="645"/>
      <c r="CQ11" s="645"/>
      <c r="CR11" s="645"/>
      <c r="CS11" s="775"/>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row>
    <row r="12" spans="1:131" ht="12.75" customHeight="1">
      <c r="A12" s="103" t="s">
        <v>1334</v>
      </c>
      <c r="B12" s="769"/>
      <c r="C12" s="174" t="s">
        <v>1291</v>
      </c>
      <c r="D12" s="175"/>
      <c r="E12" s="174" t="s">
        <v>1298</v>
      </c>
      <c r="F12" s="175"/>
      <c r="G12" s="174" t="s">
        <v>1299</v>
      </c>
      <c r="H12" s="175"/>
      <c r="I12" s="174" t="s">
        <v>1300</v>
      </c>
      <c r="J12" s="175"/>
      <c r="K12" s="79"/>
      <c r="L12" s="176" t="s">
        <v>1291</v>
      </c>
      <c r="M12" s="175"/>
      <c r="N12" s="174" t="s">
        <v>1298</v>
      </c>
      <c r="O12" s="175"/>
      <c r="P12" s="174" t="s">
        <v>1299</v>
      </c>
      <c r="Q12" s="175"/>
      <c r="R12" s="174" t="s">
        <v>1300</v>
      </c>
      <c r="S12" s="175"/>
      <c r="T12" s="411"/>
      <c r="U12" s="771"/>
      <c r="V12" s="769"/>
      <c r="W12" s="177" t="s">
        <v>1291</v>
      </c>
      <c r="X12" s="175"/>
      <c r="Y12" s="174" t="s">
        <v>1298</v>
      </c>
      <c r="Z12" s="175"/>
      <c r="AA12" s="174" t="s">
        <v>1299</v>
      </c>
      <c r="AB12" s="175"/>
      <c r="AC12" s="174" t="s">
        <v>1300</v>
      </c>
      <c r="AD12" s="175"/>
      <c r="AE12" s="79"/>
      <c r="AF12" s="176" t="s">
        <v>1291</v>
      </c>
      <c r="AG12" s="175"/>
      <c r="AH12" s="174" t="s">
        <v>1298</v>
      </c>
      <c r="AI12" s="175"/>
      <c r="AJ12" s="174" t="s">
        <v>1299</v>
      </c>
      <c r="AK12" s="175"/>
      <c r="AL12" s="174" t="s">
        <v>1300</v>
      </c>
      <c r="AM12" s="175"/>
      <c r="AN12" s="411"/>
      <c r="AO12" s="771"/>
      <c r="AP12" s="769"/>
      <c r="AQ12" s="174" t="s">
        <v>1291</v>
      </c>
      <c r="AR12" s="175"/>
      <c r="AS12" s="174" t="s">
        <v>1298</v>
      </c>
      <c r="AT12" s="175"/>
      <c r="AU12" s="174" t="s">
        <v>1299</v>
      </c>
      <c r="AV12" s="175"/>
      <c r="AW12" s="174" t="s">
        <v>1300</v>
      </c>
      <c r="AX12" s="175"/>
      <c r="AY12" s="79"/>
      <c r="AZ12" s="176" t="s">
        <v>1291</v>
      </c>
      <c r="BA12" s="175"/>
      <c r="BB12" s="174" t="s">
        <v>1298</v>
      </c>
      <c r="BC12" s="175"/>
      <c r="BD12" s="174" t="s">
        <v>1299</v>
      </c>
      <c r="BE12" s="175"/>
      <c r="BF12" s="174" t="s">
        <v>1300</v>
      </c>
      <c r="BG12" s="175"/>
      <c r="BH12" s="411"/>
      <c r="BI12" s="779"/>
      <c r="BJ12" s="769"/>
      <c r="BK12" s="177" t="s">
        <v>1291</v>
      </c>
      <c r="BL12" s="175"/>
      <c r="BM12" s="174" t="s">
        <v>1298</v>
      </c>
      <c r="BN12" s="175"/>
      <c r="BO12" s="174" t="s">
        <v>1299</v>
      </c>
      <c r="BP12" s="175"/>
      <c r="BQ12" s="174" t="s">
        <v>1300</v>
      </c>
      <c r="BR12" s="175"/>
      <c r="BS12" s="79"/>
      <c r="BT12" s="176" t="s">
        <v>1291</v>
      </c>
      <c r="BU12" s="175"/>
      <c r="BV12" s="174" t="s">
        <v>1298</v>
      </c>
      <c r="BW12" s="175"/>
      <c r="BX12" s="174" t="s">
        <v>1299</v>
      </c>
      <c r="BY12" s="175"/>
      <c r="BZ12" s="174" t="s">
        <v>1300</v>
      </c>
      <c r="CA12" s="175"/>
      <c r="CB12" s="411"/>
      <c r="CC12" s="779"/>
      <c r="CD12" s="769"/>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131" s="247" customFormat="1" ht="46.5" customHeight="1">
      <c r="A13" s="410"/>
      <c r="B13" s="769"/>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2"/>
      <c r="V13" s="769"/>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2"/>
      <c r="AP13" s="769"/>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80"/>
      <c r="BJ13" s="769"/>
      <c r="BK13" s="615"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80"/>
      <c r="CD13" s="769"/>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c r="CT13" s="374"/>
      <c r="CU13" s="374"/>
      <c r="CV13" s="374"/>
      <c r="CW13" s="374"/>
      <c r="CX13" s="374"/>
      <c r="CY13" s="374"/>
      <c r="CZ13" s="374"/>
      <c r="DA13" s="374"/>
      <c r="DB13" s="374"/>
      <c r="DC13" s="374"/>
      <c r="DD13" s="374"/>
      <c r="DE13" s="374"/>
      <c r="DF13" s="374"/>
      <c r="DG13" s="374"/>
      <c r="DH13" s="374"/>
      <c r="DI13" s="374"/>
      <c r="DJ13" s="374"/>
      <c r="DK13" s="374"/>
      <c r="DL13" s="374"/>
      <c r="DM13" s="374"/>
      <c r="DN13" s="374"/>
      <c r="DO13" s="374"/>
      <c r="DP13" s="374"/>
      <c r="DQ13" s="374"/>
      <c r="DR13" s="374"/>
      <c r="DS13" s="374"/>
      <c r="DT13" s="374"/>
      <c r="DU13" s="374"/>
      <c r="DV13" s="374"/>
      <c r="DW13" s="374"/>
      <c r="DX13" s="374"/>
      <c r="DY13" s="374"/>
      <c r="DZ13" s="374"/>
      <c r="EA13" s="374"/>
    </row>
    <row r="14" spans="1:131" ht="15.75" customHeight="1">
      <c r="A14" s="16" t="s">
        <v>1293</v>
      </c>
      <c r="B14" s="140"/>
      <c r="C14" s="637">
        <f>INDEX('Schedule 1_Enrollment'!$D$12:$K$35,MATCH(C12,'Schedule 1_Enrollment'!$B$10:$B$31,0)+1,MATCH(C10,'Schedule 1_Enrollment'!$D$10:$K$10,0)+IF(C13="Dual Eligible",1,0))</f>
        <v>55</v>
      </c>
      <c r="D14" s="637">
        <f>INDEX('Schedule 1_Enrollment'!$D$12:$K$35,MATCH(C12,'Schedule 1_Enrollment'!$B$10:$B$31,0)+1,MATCH(C10,'Schedule 1_Enrollment'!$D$10:$K$10,0)+IF(D13="Dual Eligible",1,0))</f>
        <v>430</v>
      </c>
      <c r="E14" s="637">
        <f>INDEX('Schedule 1_Enrollment'!$D$12:$K$35,MATCH(E12,'Schedule 1_Enrollment'!$B$10:$B$31,0)+1,MATCH(C10,'Schedule 1_Enrollment'!$D$10:$K$10,0)+IF(E13="Dual Eligible",1,0))</f>
        <v>81</v>
      </c>
      <c r="F14" s="637">
        <f>INDEX('Schedule 1_Enrollment'!$D$12:$K$35,MATCH(E12,'Schedule 1_Enrollment'!$B$10:$B$31,0)+1,MATCH(C10,'Schedule 1_Enrollment'!$D$10:$K$10,0)+IF(F13="Dual Eligible",1,0))</f>
        <v>592</v>
      </c>
      <c r="G14" s="637">
        <f>INDEX('Schedule 1_Enrollment'!$D$12:$K$35,MATCH(G12,'Schedule 1_Enrollment'!$B$10:$B$31,0)+1,MATCH(C10,'Schedule 1_Enrollment'!$D$10:$K$10,0)+IF(G13="Dual Eligible",1,0))</f>
        <v>98</v>
      </c>
      <c r="H14" s="637">
        <f>INDEX('Schedule 1_Enrollment'!$D$12:$K$35,MATCH(G12,'Schedule 1_Enrollment'!$B$10:$B$31,0)+1,MATCH(C10,'Schedule 1_Enrollment'!$D$10:$K$10,0)+IF(H13="Dual Eligible",1,0))</f>
        <v>606</v>
      </c>
      <c r="I14" s="637">
        <f>INDEX('Schedule 1_Enrollment'!$D$12:$K$35,MATCH(I12,'Schedule 1_Enrollment'!$B$10:$B$31,0)+1,MATCH(C10,'Schedule 1_Enrollment'!$D$10:$K$10,0)+IF(I13="Dual Eligible",1,0))</f>
        <v>90</v>
      </c>
      <c r="J14" s="637">
        <f>INDEX('Schedule 1_Enrollment'!$D$12:$K$35,MATCH(I12,'Schedule 1_Enrollment'!$B$10:$B$31,0)+1,MATCH(C10,'Schedule 1_Enrollment'!$D$10:$K$10,0)+IF(J13="Dual Eligible",1,0))</f>
        <v>588</v>
      </c>
      <c r="K14" s="640">
        <f>SUM(C14:J14)</f>
        <v>2540</v>
      </c>
      <c r="L14" s="639">
        <f>INDEX('Schedule 1_Enrollment'!$D$12:$K$35,MATCH(L12,'Schedule 1_Enrollment'!$B$10:$B$31,0)+1,MATCH(C10,'Schedule 1_Enrollment'!$D$10:$K$10,0)+IF(L13="Dual Eligible",1,0))</f>
        <v>55</v>
      </c>
      <c r="M14" s="637">
        <f>INDEX('Schedule 1_Enrollment'!$D$12:$K$35,MATCH(L12,'Schedule 1_Enrollment'!$B$10:$B$31,0)+1,MATCH(C10,'Schedule 1_Enrollment'!$D$10:$K$10,0)+IF(M13="Dual Eligible",1,0))</f>
        <v>430</v>
      </c>
      <c r="N14" s="637">
        <f>INDEX('Schedule 1_Enrollment'!$D$12:$K$35,MATCH(N12,'Schedule 1_Enrollment'!$B$10:$B$31,0)+1,MATCH(C10,'Schedule 1_Enrollment'!$D$10:$K$10,0)+IF(N13="Dual Eligible",1,0))</f>
        <v>81</v>
      </c>
      <c r="O14" s="637">
        <f>INDEX('Schedule 1_Enrollment'!$D$12:$K$35,MATCH(N12,'Schedule 1_Enrollment'!$B$10:$B$31,0)+1,MATCH(C10,'Schedule 1_Enrollment'!$D$10:$K$10,0)+IF(O13="Dual Eligible",1,0))</f>
        <v>592</v>
      </c>
      <c r="P14" s="637">
        <f>INDEX('Schedule 1_Enrollment'!$D$12:$K$35,MATCH(P12,'Schedule 1_Enrollment'!$B$10:$B$31,0)+1,MATCH(C10,'Schedule 1_Enrollment'!$D$10:$K$10,0)+IF(P13="Dual Eligible",1,0))</f>
        <v>98</v>
      </c>
      <c r="Q14" s="637">
        <f>INDEX('Schedule 1_Enrollment'!$D$12:$K$35,MATCH(P12,'Schedule 1_Enrollment'!$B$10:$B$31,0)+1,MATCH(C10,'Schedule 1_Enrollment'!$D$10:$K$10,0)+IF(Q13="Dual Eligible",1,0))</f>
        <v>606</v>
      </c>
      <c r="R14" s="637">
        <f>INDEX('Schedule 1_Enrollment'!$D$12:$K$35,MATCH(R12,'Schedule 1_Enrollment'!$B$10:$B$31,0)+1,MATCH(C10,'Schedule 1_Enrollment'!$D$10:$K$10,0)+IF(R13="Dual Eligible",1,0))</f>
        <v>90</v>
      </c>
      <c r="S14" s="637">
        <f>INDEX('Schedule 1_Enrollment'!$D$12:$K$35,MATCH(R12,'Schedule 1_Enrollment'!$B$10:$B$31,0)+1,MATCH(C10,'Schedule 1_Enrollment'!$D$10:$K$10,0)+IF(S13="Dual Eligible",1,0))</f>
        <v>588</v>
      </c>
      <c r="T14" s="640">
        <f>SUM(L14:S14)</f>
        <v>2540</v>
      </c>
      <c r="U14" s="637">
        <f>T14</f>
        <v>2540</v>
      </c>
      <c r="V14" s="140"/>
      <c r="W14" s="637">
        <f>INDEX('Schedule 1_Enrollment'!$D$12:$K$35,MATCH(W12,'Schedule 1_Enrollment'!$B$10:$B$31,0)+1,MATCH(W10,'Schedule 1_Enrollment'!$D$10:$K$10,0)+IF(W13="Dual Eligible",1,0))</f>
        <v>0</v>
      </c>
      <c r="X14" s="637">
        <f>INDEX('Schedule 1_Enrollment'!$D$12:$K$35,MATCH(W12,'Schedule 1_Enrollment'!$B$10:$B$31,0)+1,MATCH(W10,'Schedule 1_Enrollment'!$D$10:$K$10,0)+IF(X13="Dual Eligible",1,0))</f>
        <v>124</v>
      </c>
      <c r="Y14" s="637">
        <f>INDEX('Schedule 1_Enrollment'!$D$12:$K$35,MATCH(Y12,'Schedule 1_Enrollment'!$B$10:$B$31,0)+1,MATCH(W10,'Schedule 1_Enrollment'!$D$10:$K$10,0)+IF(Y13="Dual Eligible",1,0))</f>
        <v>2</v>
      </c>
      <c r="Z14" s="637">
        <f>INDEX('Schedule 1_Enrollment'!$D$12:$K$35,MATCH(Y12,'Schedule 1_Enrollment'!$B$10:$B$31,0)+1,MATCH(W10,'Schedule 1_Enrollment'!$D$10:$K$10,0)+IF(Z13="Dual Eligible",1,0))</f>
        <v>92</v>
      </c>
      <c r="AA14" s="637">
        <f>INDEX('Schedule 1_Enrollment'!$D$12:$K$35,MATCH(AA12,'Schedule 1_Enrollment'!$B$10:$B$31,0)+1,MATCH(W10,'Schedule 1_Enrollment'!$D$10:$K$10,0)+IF(AA13="Dual Eligible",1,0))</f>
        <v>8</v>
      </c>
      <c r="AB14" s="637">
        <f>INDEX('Schedule 1_Enrollment'!$D$12:$K$35,MATCH(AA12,'Schedule 1_Enrollment'!$B$10:$B$31,0)+1,MATCH(W10,'Schedule 1_Enrollment'!$D$10:$K$10,0)+IF(AB13="Dual Eligible",1,0))</f>
        <v>91</v>
      </c>
      <c r="AC14" s="637">
        <f>INDEX('Schedule 1_Enrollment'!$D$12:$K$35,MATCH(AC12,'Schedule 1_Enrollment'!$B$10:$B$31,0)+1,MATCH(W10,'Schedule 1_Enrollment'!$D$10:$K$10,0)+IF(AC13="Dual Eligible",1,0))</f>
        <v>9</v>
      </c>
      <c r="AD14" s="637">
        <f>INDEX('Schedule 1_Enrollment'!$D$12:$K$35,MATCH(AC12,'Schedule 1_Enrollment'!$B$10:$B$31,0)+1,MATCH(W10,'Schedule 1_Enrollment'!$D$10:$K$10,0)+IF(AD13="Dual Eligible",1,0))</f>
        <v>94</v>
      </c>
      <c r="AE14" s="640">
        <f>SUM(W14:AD14)</f>
        <v>420</v>
      </c>
      <c r="AF14" s="639">
        <f>INDEX('Schedule 1_Enrollment'!$D$12:$K$35,MATCH(AF12,'Schedule 1_Enrollment'!$B$10:$B$31,0)+1,MATCH(W10,'Schedule 1_Enrollment'!$D$10:$K$10,0)+IF(AF13="Dual Eligible",1,0))</f>
        <v>0</v>
      </c>
      <c r="AG14" s="637">
        <f>INDEX('Schedule 1_Enrollment'!$D$12:$K$35,MATCH(AF12,'Schedule 1_Enrollment'!$B$10:$B$31,0)+1,MATCH(W10,'Schedule 1_Enrollment'!$D$10:$K$10,0)+IF(AG13="Dual Eligible",1,0))</f>
        <v>124</v>
      </c>
      <c r="AH14" s="637">
        <f>INDEX('Schedule 1_Enrollment'!$D$12:$K$35,MATCH(AH12,'Schedule 1_Enrollment'!$B$10:$B$31,0)+1,MATCH(W10,'Schedule 1_Enrollment'!$D$10:$K$10,0)+IF(AH13="Dual Eligible",1,0))</f>
        <v>2</v>
      </c>
      <c r="AI14" s="637">
        <f>INDEX('Schedule 1_Enrollment'!$D$12:$K$35,MATCH(AH12,'Schedule 1_Enrollment'!$B$10:$B$31,0)+1,MATCH(W10,'Schedule 1_Enrollment'!$D$10:$K$10,0)+IF(AI13="Dual Eligible",1,0))</f>
        <v>92</v>
      </c>
      <c r="AJ14" s="637">
        <f>INDEX('Schedule 1_Enrollment'!$D$12:$K$35,MATCH(AJ12,'Schedule 1_Enrollment'!$B$10:$B$31,0)+1,MATCH(W10,'Schedule 1_Enrollment'!$D$10:$K$10,0)+IF(AJ13="Dual Eligible",1,0))</f>
        <v>8</v>
      </c>
      <c r="AK14" s="637">
        <f>INDEX('Schedule 1_Enrollment'!$D$12:$K$35,MATCH(AJ12,'Schedule 1_Enrollment'!$B$10:$B$31,0)+1,MATCH(W10,'Schedule 1_Enrollment'!$D$10:$K$10,0)+IF(AK13="Dual Eligible",1,0))</f>
        <v>91</v>
      </c>
      <c r="AL14" s="637">
        <f>INDEX('Schedule 1_Enrollment'!$D$12:$K$35,MATCH(AL12,'Schedule 1_Enrollment'!$B$10:$B$31,0)+1,MATCH(W10,'Schedule 1_Enrollment'!$D$10:$K$10,0)+IF(AL13="Dual Eligible",1,0))</f>
        <v>9</v>
      </c>
      <c r="AM14" s="637">
        <f>INDEX('Schedule 1_Enrollment'!$D$12:$K$35,MATCH(AL12,'Schedule 1_Enrollment'!$B$10:$B$31,0)+1,MATCH(W10,'Schedule 1_Enrollment'!$D$10:$K$10,0)+IF(AM13="Dual Eligible",1,0))</f>
        <v>94</v>
      </c>
      <c r="AN14" s="640">
        <f>SUM(AF14:AM14)</f>
        <v>420</v>
      </c>
      <c r="AO14" s="637">
        <f>AN14</f>
        <v>420</v>
      </c>
      <c r="AP14" s="140"/>
      <c r="AQ14" s="637">
        <f>INDEX('Schedule 1_Enrollment'!$D$12:$K$35,MATCH(AQ12,'Schedule 1_Enrollment'!$B$10:$B$31,0)+1,MATCH(AQ10,'Schedule 1_Enrollment'!$D$10:$K$10,0)+IF(AQ13="Dual Eligible",1,0))</f>
        <v>298</v>
      </c>
      <c r="AR14" s="637">
        <f>INDEX('Schedule 1_Enrollment'!$D$12:$K$35,MATCH(AQ12,'Schedule 1_Enrollment'!$B$10:$B$31,0)+1,MATCH(AQ10,'Schedule 1_Enrollment'!$D$10:$K$10,0)+IF(AR13="Dual Eligible",1,0))</f>
        <v>1083</v>
      </c>
      <c r="AS14" s="637">
        <f>INDEX('Schedule 1_Enrollment'!$D$12:$K$35,MATCH(AS12,'Schedule 1_Enrollment'!$B$10:$B$31,0)+1,MATCH(AQ10,'Schedule 1_Enrollment'!$D$10:$K$10,0)+IF(AS13="Dual Eligible",1,0))</f>
        <v>301</v>
      </c>
      <c r="AT14" s="637">
        <f>INDEX('Schedule 1_Enrollment'!$D$12:$K$35,MATCH(AS12,'Schedule 1_Enrollment'!$B$10:$B$31,0)+1,MATCH(AQ10,'Schedule 1_Enrollment'!$D$10:$K$10,0)+IF(AT13="Dual Eligible",1,0))</f>
        <v>1059</v>
      </c>
      <c r="AU14" s="637">
        <f>INDEX('Schedule 1_Enrollment'!$D$12:$K$35,MATCH(AU12,'Schedule 1_Enrollment'!$B$10:$B$31,0)+1,MATCH(AQ10,'Schedule 1_Enrollment'!$D$10:$K$10,0)+IF(AU13="Dual Eligible",1,0))</f>
        <v>330</v>
      </c>
      <c r="AV14" s="637">
        <f>INDEX('Schedule 1_Enrollment'!$D$12:$K$35,MATCH(AU12,'Schedule 1_Enrollment'!$B$10:$B$31,0)+1,MATCH(AQ10,'Schedule 1_Enrollment'!$D$10:$K$10,0)+IF(AV13="Dual Eligible",1,0))</f>
        <v>1209</v>
      </c>
      <c r="AW14" s="637">
        <f>INDEX('Schedule 1_Enrollment'!$D$12:$K$35,MATCH(AW12,'Schedule 1_Enrollment'!$B$10:$B$31,0)+1,MATCH(AQ10,'Schedule 1_Enrollment'!$D$10:$K$10,0)+IF(AW13="Dual Eligible",1,0))</f>
        <v>370</v>
      </c>
      <c r="AX14" s="637">
        <f>INDEX('Schedule 1_Enrollment'!$D$12:$K$35,MATCH(AW12,'Schedule 1_Enrollment'!$B$10:$B$31,0)+1,MATCH(AQ10,'Schedule 1_Enrollment'!$D$10:$K$10,0)+IF(AX13="Dual Eligible",1,0))</f>
        <v>1387</v>
      </c>
      <c r="AY14" s="640">
        <f>SUM(AQ14:AX14)</f>
        <v>6037</v>
      </c>
      <c r="AZ14" s="639">
        <f>INDEX('Schedule 1_Enrollment'!$D$12:$K$35,MATCH(AZ12,'Schedule 1_Enrollment'!$B$10:$B$31,0)+1,MATCH(AQ10,'Schedule 1_Enrollment'!$D$10:$K$10,0)+IF(AZ13="Dual Eligible",1,0))</f>
        <v>298</v>
      </c>
      <c r="BA14" s="637">
        <f>INDEX('Schedule 1_Enrollment'!$D$12:$K$35,MATCH(AZ12,'Schedule 1_Enrollment'!$B$10:$B$31,0)+1,MATCH(AQ10,'Schedule 1_Enrollment'!$D$10:$K$10,0)+IF(BA13="Dual Eligible",1,0))</f>
        <v>1083</v>
      </c>
      <c r="BB14" s="637">
        <f>INDEX('Schedule 1_Enrollment'!$D$12:$K$35,MATCH(BB12,'Schedule 1_Enrollment'!$B$10:$B$31,0)+1,MATCH(AQ10,'Schedule 1_Enrollment'!$D$10:$K$10,0)+IF(BB13="Dual Eligible",1,0))</f>
        <v>301</v>
      </c>
      <c r="BC14" s="637">
        <f>INDEX('Schedule 1_Enrollment'!$D$12:$K$35,MATCH(BB12,'Schedule 1_Enrollment'!$B$10:$B$31,0)+1,MATCH(AQ10,'Schedule 1_Enrollment'!$D$10:$K$10,0)+IF(BC13="Dual Eligible",1,0))</f>
        <v>1059</v>
      </c>
      <c r="BD14" s="637">
        <f>INDEX('Schedule 1_Enrollment'!$D$12:$K$35,MATCH(BD12,'Schedule 1_Enrollment'!$B$10:$B$31,0)+1,MATCH(AQ10,'Schedule 1_Enrollment'!$D$10:$K$10,0)+IF(BD13="Dual Eligible",1,0))</f>
        <v>330</v>
      </c>
      <c r="BE14" s="637">
        <f>INDEX('Schedule 1_Enrollment'!$D$12:$K$35,MATCH(BD12,'Schedule 1_Enrollment'!$B$10:$B$31,0)+1,MATCH(AQ10,'Schedule 1_Enrollment'!$D$10:$K$10,0)+IF(BE13="Dual Eligible",1,0))</f>
        <v>1209</v>
      </c>
      <c r="BF14" s="637">
        <f>INDEX('Schedule 1_Enrollment'!$D$12:$K$35,MATCH(BF12,'Schedule 1_Enrollment'!$B$10:$B$31,0)+1,MATCH(AQ10,'Schedule 1_Enrollment'!$D$10:$K$10,0)+IF(BF13="Dual Eligible",1,0))</f>
        <v>370</v>
      </c>
      <c r="BG14" s="637">
        <f>INDEX('Schedule 1_Enrollment'!$D$12:$K$35,MATCH(BF12,'Schedule 1_Enrollment'!$B$10:$B$31,0)+1,MATCH(AQ10,'Schedule 1_Enrollment'!$D$10:$K$10,0)+IF(BG13="Dual Eligible",1,0))</f>
        <v>1387</v>
      </c>
      <c r="BH14" s="640">
        <f>SUM(AZ14:BG14)</f>
        <v>6037</v>
      </c>
      <c r="BI14" s="637">
        <f>BH14</f>
        <v>6037</v>
      </c>
      <c r="BJ14" s="140"/>
      <c r="BK14" s="637">
        <f>INDEX('Schedule 1_Enrollment'!$D$12:$K$35,MATCH(BK12,'Schedule 1_Enrollment'!$B$10:$B$31,0)+1,MATCH(IF(BK10="Institutional (All: Tier 1, Tier 2 and Tier 3)","Institutional (All Tiers)",BK10),'Schedule 1_Enrollment'!$D$10:$K$10,0)+IF(BK13="Dual Eligible",1,0))</f>
        <v>3</v>
      </c>
      <c r="BL14" s="637">
        <f>INDEX('Schedule 1_Enrollment'!$D$12:$K$35,MATCH(BK12,'Schedule 1_Enrollment'!$B$10:$B$31,0)+1,MATCH(IF(BK10="Institutional (All: Tier 1, Tier 2 and Tier 3)","Institutional (All Tiers)",BK10),'Schedule 1_Enrollment'!$D$10:$K$10,0)+IF(BL13="Dual Eligible",1,0))</f>
        <v>52</v>
      </c>
      <c r="BM14" s="637">
        <f>INDEX('Schedule 1_Enrollment'!$D$12:$K$35,MATCH(BM12,'Schedule 1_Enrollment'!$B$10:$B$31,0)+1,MATCH(IF(BK10="Institutional (All: Tier 1, Tier 2 and Tier 3)","Institutional (All Tiers)",BK10),'Schedule 1_Enrollment'!$D$10:$K$10,0)+IF(BM13="Dual Eligible",1,0))</f>
        <v>3</v>
      </c>
      <c r="BN14" s="637">
        <f>INDEX('Schedule 1_Enrollment'!$D$12:$K$35,MATCH(BM12,'Schedule 1_Enrollment'!$B$10:$B$31,0)+1,MATCH(IF(BK10="Institutional (All: Tier 1, Tier 2 and Tier 3)","Institutional (All Tiers)",BK10),'Schedule 1_Enrollment'!$D$10:$K$10,0)+IF(BN13="Dual Eligible",1,0))</f>
        <v>43</v>
      </c>
      <c r="BO14" s="637">
        <f>INDEX('Schedule 1_Enrollment'!$D$12:$K$35,MATCH(BO12,'Schedule 1_Enrollment'!$B$10:$B$31,0)+1,MATCH(IF(BK10="Institutional (All: Tier 1, Tier 2 and Tier 3)","Institutional (All Tiers)",BK10),'Schedule 1_Enrollment'!$D$10:$K$10,0)+IF(BO13="Dual Eligible",1,0))</f>
        <v>2</v>
      </c>
      <c r="BP14" s="637">
        <f>INDEX('Schedule 1_Enrollment'!$D$12:$K$35,MATCH(BO12,'Schedule 1_Enrollment'!$B$10:$B$31,0)+1,MATCH(IF(BK10="Institutional (All: Tier 1, Tier 2 and Tier 3)","Institutional (All Tiers)",BK10),'Schedule 1_Enrollment'!$D$10:$K$10,0)+IF(BP13="Dual Eligible",1,0))</f>
        <v>49</v>
      </c>
      <c r="BQ14" s="637">
        <f>INDEX('Schedule 1_Enrollment'!$D$12:$K$35,MATCH(BQ12,'Schedule 1_Enrollment'!$B$10:$B$31,0)+1,MATCH(IF(BK10="Institutional (All: Tier 1, Tier 2 and Tier 3)","Institutional (All Tiers)",BK10),'Schedule 1_Enrollment'!$D$10:$K$10,0)+IF(BQ13="Dual Eligible",1,0))</f>
        <v>0</v>
      </c>
      <c r="BR14" s="637">
        <f>INDEX('Schedule 1_Enrollment'!$D$12:$K$35,MATCH(BQ12,'Schedule 1_Enrollment'!$B$10:$B$31,0)+1,MATCH(IF(BK10="Institutional (All: Tier 1, Tier 2 and Tier 3)","Institutional (All Tiers)",BK10),'Schedule 1_Enrollment'!$D$10:$K$10,0)+IF(BR13="Dual Eligible",1,0))</f>
        <v>43</v>
      </c>
      <c r="BS14" s="640">
        <f>SUM(BK14:BR14)</f>
        <v>195</v>
      </c>
      <c r="BT14" s="639">
        <f>INDEX('Schedule 1_Enrollment'!$D$12:$K$35,MATCH(BT12,'Schedule 1_Enrollment'!$B$10:$B$31,0)+1,MATCH(IF(BK10="Institutional (All: Tier 1, Tier 2 and Tier 3)","Institutional (All Tiers)",BK10),'Schedule 1_Enrollment'!$D$10:$K$10,0)+IF(BT13="Dual Eligible",1,0))</f>
        <v>3</v>
      </c>
      <c r="BU14" s="637">
        <f>INDEX('Schedule 1_Enrollment'!$D$12:$K$35,MATCH(BT12,'Schedule 1_Enrollment'!$B$10:$B$31,0)+1,MATCH(IF(BK10="Institutional (All: Tier 1, Tier 2 and Tier 3)","Institutional (All Tiers)",BK10),'Schedule 1_Enrollment'!$D$10:$K$10,0)+IF(BU13="Dual Eligible",1,0))</f>
        <v>52</v>
      </c>
      <c r="BV14" s="637">
        <f>INDEX('Schedule 1_Enrollment'!$D$12:$K$35,MATCH(BV12,'Schedule 1_Enrollment'!$B$10:$B$31,0)+1,MATCH(IF(BK10="Institutional (All: Tier 1, Tier 2 and Tier 3)","Institutional (All Tiers)",BK10),'Schedule 1_Enrollment'!$D$10:$K$10,0)+IF(BV13="Dual Eligible",1,0))</f>
        <v>3</v>
      </c>
      <c r="BW14" s="637">
        <f>INDEX('Schedule 1_Enrollment'!$D$12:$K$35,MATCH(BV12,'Schedule 1_Enrollment'!$B$10:$B$31,0)+1,MATCH(IF(BK10="Institutional (All: Tier 1, Tier 2 and Tier 3)","Institutional (All Tiers)",BK10),'Schedule 1_Enrollment'!$D$10:$K$10,0)+IF(BW13="Dual Eligible",1,0))</f>
        <v>43</v>
      </c>
      <c r="BX14" s="637">
        <f>INDEX('Schedule 1_Enrollment'!$D$12:$K$35,MATCH(BX12,'Schedule 1_Enrollment'!$B$10:$B$31,0)+1,MATCH(IF(BK10="Institutional (All: Tier 1, Tier 2 and Tier 3)","Institutional (All Tiers)",BK10),'Schedule 1_Enrollment'!$D$10:$K$10,0)+IF(BX13="Dual Eligible",1,0))</f>
        <v>2</v>
      </c>
      <c r="BY14" s="637">
        <f>INDEX('Schedule 1_Enrollment'!$D$12:$K$35,MATCH(BX12,'Schedule 1_Enrollment'!$B$10:$B$31,0)+1,MATCH(IF(BK10="Institutional (All: Tier 1, Tier 2 and Tier 3)","Institutional (All Tiers)",BK10),'Schedule 1_Enrollment'!$D$10:$K$10,0)+IF(BY13="Dual Eligible",1,0))</f>
        <v>49</v>
      </c>
      <c r="BZ14" s="637">
        <f>INDEX('Schedule 1_Enrollment'!$D$12:$K$35,MATCH(BZ12,'Schedule 1_Enrollment'!$B$10:$B$31,0)+1,MATCH(IF(BK10="Institutional (All: Tier 1, Tier 2 and Tier 3)","Institutional (All Tiers)",BK10),'Schedule 1_Enrollment'!$D$10:$K$10,0)+IF(BZ13="Dual Eligible",1,0))</f>
        <v>0</v>
      </c>
      <c r="CA14" s="637">
        <f>INDEX('Schedule 1_Enrollment'!$D$12:$K$35,MATCH(BZ12,'Schedule 1_Enrollment'!$B$10:$B$31,0)+1,MATCH(IF(BK10="Institutional (All: Tier 1, Tier 2 and Tier 3)","Institutional (All Tiers)",BK10),'Schedule 1_Enrollment'!$D$10:$K$10,0)+IF(CA13="Dual Eligible",1,0))</f>
        <v>43</v>
      </c>
      <c r="CB14" s="640">
        <f>SUM(BT14:CA14)</f>
        <v>195</v>
      </c>
      <c r="CC14" s="637">
        <f>CB14</f>
        <v>195</v>
      </c>
      <c r="CD14" s="140"/>
      <c r="CE14" s="637">
        <f>+C14+D14+W14+X14+AQ14+AR14+BK14+BL14</f>
        <v>2045</v>
      </c>
      <c r="CF14" s="637">
        <f>+E14+F14+Y14+Z14+AS14+AT14+BM14+BN14</f>
        <v>2173</v>
      </c>
      <c r="CG14" s="637">
        <f>+G14+H14+AA14+AB14+AU14+AV14+BO14+BP14</f>
        <v>2393</v>
      </c>
      <c r="CH14" s="637">
        <f>+I14+J14+AC14+AD14+AW14+AX14+BQ14+BR14</f>
        <v>2581</v>
      </c>
      <c r="CI14" s="638">
        <f>SUM(K14,AE14,AY14,BS14)</f>
        <v>9192</v>
      </c>
      <c r="CJ14" s="637">
        <f>L14+M14+AF14+AG14+AZ14+BA14+BT14+BU14</f>
        <v>2045</v>
      </c>
      <c r="CK14" s="637">
        <f>N14+O14+AH14+AI14+BB14+BC14+BV14+BW14</f>
        <v>2173</v>
      </c>
      <c r="CL14" s="637">
        <f>P14+Q14+AJ14+AK14+BD14+BE14+BX14+BY14</f>
        <v>2393</v>
      </c>
      <c r="CM14" s="637">
        <f>+R14+S14+AL14+AM14+BF14+BG14+BZ14+CA14</f>
        <v>2581</v>
      </c>
      <c r="CN14" s="638">
        <f>SUM(T14,AN14,BH14,CB14)</f>
        <v>9192</v>
      </c>
      <c r="CO14" s="637">
        <f>+C14+D14+W14+X14+AQ14+AR14+BK14+BL14</f>
        <v>2045</v>
      </c>
      <c r="CP14" s="637">
        <f>+E14+F14+Y14+Z14+AS14+AT14+BM14+BN14</f>
        <v>2173</v>
      </c>
      <c r="CQ14" s="637">
        <f>+G14+H14+AA14+AB14+AU14+AV14+BO14+BP14</f>
        <v>2393</v>
      </c>
      <c r="CR14" s="637">
        <f>+I14+J14+AC14+AD14+AW14+AX14+BQ14+BR14</f>
        <v>2581</v>
      </c>
      <c r="CS14" s="638">
        <f t="shared" ref="CS14" si="0">SUM(CC14,BI14,AO14,U14)</f>
        <v>9192</v>
      </c>
    </row>
    <row r="15" spans="1:131"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6"/>
      <c r="V15" s="193"/>
      <c r="W15" s="104"/>
      <c r="X15" s="104"/>
      <c r="Y15" s="104"/>
      <c r="Z15" s="104"/>
      <c r="AA15" s="104"/>
      <c r="AB15" s="104"/>
      <c r="AC15" s="104"/>
      <c r="AD15" s="104"/>
      <c r="AE15" s="375"/>
      <c r="AF15" s="376"/>
      <c r="AG15" s="104"/>
      <c r="AH15" s="104"/>
      <c r="AI15" s="104"/>
      <c r="AJ15" s="104"/>
      <c r="AK15" s="104"/>
      <c r="AL15" s="104"/>
      <c r="AM15" s="104"/>
      <c r="AN15" s="104"/>
      <c r="AO15" s="376"/>
      <c r="AP15" s="193"/>
      <c r="AQ15" s="104"/>
      <c r="AR15" s="104"/>
      <c r="AS15" s="104"/>
      <c r="AT15" s="104"/>
      <c r="AU15" s="104"/>
      <c r="AV15" s="104"/>
      <c r="AW15" s="104"/>
      <c r="AX15" s="104"/>
      <c r="AY15" s="375"/>
      <c r="AZ15" s="376"/>
      <c r="BA15" s="104"/>
      <c r="BB15" s="104"/>
      <c r="BC15" s="104"/>
      <c r="BD15" s="104"/>
      <c r="BE15" s="104"/>
      <c r="BF15" s="104"/>
      <c r="BG15" s="104"/>
      <c r="BH15" s="104"/>
      <c r="BI15" s="376"/>
      <c r="BJ15" s="193"/>
      <c r="BK15" s="104"/>
      <c r="BL15" s="104"/>
      <c r="BM15" s="104"/>
      <c r="BN15" s="104"/>
      <c r="BO15" s="104"/>
      <c r="BP15" s="104"/>
      <c r="BQ15" s="104"/>
      <c r="BR15" s="104"/>
      <c r="BS15" s="375"/>
      <c r="BT15" s="376"/>
      <c r="BU15" s="104"/>
      <c r="BV15" s="104"/>
      <c r="BW15" s="104"/>
      <c r="BX15" s="104"/>
      <c r="BY15" s="104"/>
      <c r="BZ15" s="104"/>
      <c r="CA15" s="104"/>
      <c r="CB15" s="104"/>
      <c r="CC15" s="376"/>
      <c r="CD15" s="193"/>
      <c r="CE15" s="199"/>
      <c r="CF15" s="199"/>
      <c r="CG15" s="199"/>
      <c r="CH15" s="199"/>
      <c r="CI15" s="193"/>
      <c r="CJ15" s="199"/>
      <c r="CK15" s="199"/>
      <c r="CL15" s="199"/>
      <c r="CM15" s="199"/>
      <c r="CN15" s="193"/>
      <c r="CO15" s="199"/>
      <c r="CP15" s="199"/>
      <c r="CQ15" s="199"/>
      <c r="CR15" s="199"/>
      <c r="CS15" s="193"/>
    </row>
    <row r="16" spans="1:131" ht="15.75" customHeight="1">
      <c r="A16" s="135" t="s">
        <v>171</v>
      </c>
      <c r="B16" s="300">
        <v>1</v>
      </c>
      <c r="C16" s="233">
        <v>1150310.16000003</v>
      </c>
      <c r="D16" s="233">
        <v>2182936.6300002402</v>
      </c>
      <c r="E16" s="233">
        <v>1180549.3800000299</v>
      </c>
      <c r="F16" s="233">
        <v>2261262.1300002602</v>
      </c>
      <c r="G16" s="233">
        <v>1198554.91000004</v>
      </c>
      <c r="H16" s="233">
        <v>2366909.6300002802</v>
      </c>
      <c r="I16" s="233">
        <v>1254802.5100000401</v>
      </c>
      <c r="J16" s="233">
        <v>2384815.89000028</v>
      </c>
      <c r="K16" s="412">
        <f t="shared" ref="K16:K23" si="1">SUM(C16:J16)</f>
        <v>13980141.2400012</v>
      </c>
      <c r="L16" s="413"/>
      <c r="M16" s="233"/>
      <c r="N16" s="233"/>
      <c r="O16" s="233"/>
      <c r="P16" s="233"/>
      <c r="Q16" s="233"/>
      <c r="R16" s="233"/>
      <c r="S16" s="233"/>
      <c r="T16" s="414">
        <f t="shared" ref="T16:T23" si="2">SUM(L16:S16)</f>
        <v>0</v>
      </c>
      <c r="U16" s="415">
        <f t="shared" ref="U16:U23" si="3">SUM(K16,T16)</f>
        <v>13980141.2400012</v>
      </c>
      <c r="V16" s="300">
        <v>1</v>
      </c>
      <c r="W16" s="233">
        <v>175913.24</v>
      </c>
      <c r="X16" s="233">
        <v>994432.38000001898</v>
      </c>
      <c r="Y16" s="233">
        <v>182877.91</v>
      </c>
      <c r="Z16" s="233">
        <v>947873.12000001804</v>
      </c>
      <c r="AA16" s="233">
        <v>170453.61</v>
      </c>
      <c r="AB16" s="233">
        <v>967860.44000001904</v>
      </c>
      <c r="AC16" s="233">
        <v>182047.53</v>
      </c>
      <c r="AD16" s="233">
        <v>988270.23000001896</v>
      </c>
      <c r="AE16" s="412">
        <f t="shared" ref="AE16:AE23" si="4">SUM(W16:AD16)</f>
        <v>4609728.4600000745</v>
      </c>
      <c r="AF16" s="413"/>
      <c r="AG16" s="233"/>
      <c r="AH16" s="233"/>
      <c r="AI16" s="233"/>
      <c r="AJ16" s="233"/>
      <c r="AK16" s="233"/>
      <c r="AL16" s="233"/>
      <c r="AM16" s="233"/>
      <c r="AN16" s="414">
        <f t="shared" ref="AN16:AN23" si="5">SUM(AF16:AM16)</f>
        <v>0</v>
      </c>
      <c r="AO16" s="415">
        <f t="shared" ref="AO16:AO23" si="6">SUM(AE16,AN16)</f>
        <v>4609728.4600000745</v>
      </c>
      <c r="AP16" s="300">
        <v>1</v>
      </c>
      <c r="AQ16" s="233">
        <v>19127721.649998199</v>
      </c>
      <c r="AR16" s="233">
        <v>43146207.640006401</v>
      </c>
      <c r="AS16" s="233">
        <v>20472758.959998</v>
      </c>
      <c r="AT16" s="233">
        <v>45613689.0500094</v>
      </c>
      <c r="AU16" s="233">
        <v>21616021.060000602</v>
      </c>
      <c r="AV16" s="233">
        <v>48014921.9600171</v>
      </c>
      <c r="AW16" s="233">
        <v>23461859.680001199</v>
      </c>
      <c r="AX16" s="233">
        <v>50143961.830019899</v>
      </c>
      <c r="AY16" s="412">
        <f t="shared" ref="AY16:AY23" si="7">SUM(AQ16:AX16)</f>
        <v>271597141.83005077</v>
      </c>
      <c r="AZ16" s="413"/>
      <c r="BA16" s="233"/>
      <c r="BB16" s="233"/>
      <c r="BC16" s="233"/>
      <c r="BD16" s="233"/>
      <c r="BE16" s="233"/>
      <c r="BF16" s="233"/>
      <c r="BG16" s="233"/>
      <c r="BH16" s="414">
        <f t="shared" ref="BH16:BH23" si="8">SUM(AZ16:BG16)</f>
        <v>0</v>
      </c>
      <c r="BI16" s="415">
        <f t="shared" ref="BI16:BI23" si="9">SUM(AY16,BH16)</f>
        <v>271597141.83005077</v>
      </c>
      <c r="BJ16" s="300">
        <v>1</v>
      </c>
      <c r="BK16" s="233">
        <v>369626.36000000004</v>
      </c>
      <c r="BL16" s="233">
        <v>4124721.59</v>
      </c>
      <c r="BM16" s="233">
        <v>360243.63000000006</v>
      </c>
      <c r="BN16" s="233">
        <v>4012743.61</v>
      </c>
      <c r="BO16" s="233">
        <v>320501.02</v>
      </c>
      <c r="BP16" s="233">
        <v>3837085.7300000014</v>
      </c>
      <c r="BQ16" s="233">
        <v>360618.00000000006</v>
      </c>
      <c r="BR16" s="233">
        <v>4077910.0500000007</v>
      </c>
      <c r="BS16" s="412">
        <f t="shared" ref="BS16:BS23" si="10">SUM(BK16:BR16)</f>
        <v>17463449.990000002</v>
      </c>
      <c r="BT16" s="413">
        <v>0</v>
      </c>
      <c r="BU16" s="233">
        <v>0</v>
      </c>
      <c r="BV16" s="233">
        <v>0</v>
      </c>
      <c r="BW16" s="233">
        <v>0</v>
      </c>
      <c r="BX16" s="233">
        <v>0</v>
      </c>
      <c r="BY16" s="233">
        <v>0</v>
      </c>
      <c r="BZ16" s="233">
        <v>0</v>
      </c>
      <c r="CA16" s="233">
        <v>0</v>
      </c>
      <c r="CB16" s="414">
        <f t="shared" ref="CB16:CB23" si="11">SUM(BT16:CA16)</f>
        <v>0</v>
      </c>
      <c r="CC16" s="415">
        <f t="shared" ref="CC16:CC23" si="12">SUM(BS16,CB16)</f>
        <v>17463449.990000002</v>
      </c>
      <c r="CD16" s="300">
        <v>1</v>
      </c>
      <c r="CE16" s="414">
        <f>+C16+D16+W16+X16+AQ16+AR16+BK16+BL16</f>
        <v>71271869.650004894</v>
      </c>
      <c r="CF16" s="414">
        <f>+E16+F16+Y16+Z16+AS16+AT16+BM16+BN16</f>
        <v>75031997.790007696</v>
      </c>
      <c r="CG16" s="414">
        <f>+G16+H16+AA16+AB16+AU16+AV16+BO16+BP16</f>
        <v>78492308.360018045</v>
      </c>
      <c r="CH16" s="414">
        <f>+I16+J16+AC16+AD16+AW16+AX16+BQ16+BR16</f>
        <v>82854285.720021442</v>
      </c>
      <c r="CI16" s="416">
        <f>SUM(K16,AE16,AY16,BS16)</f>
        <v>307650461.52005208</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71271869.650004894</v>
      </c>
      <c r="CP16" s="414">
        <f>+E16+F16+N16+O16+Y16+Z16+AH16+AI16+AS16+AT16+BB16+BC16+BM16+BN16+BV16+BW16</f>
        <v>75031997.790007696</v>
      </c>
      <c r="CQ16" s="414">
        <f>+G16+H16+P16+Q16+AA16+AB16+AJ16+AK16+AU16+AV16+BD16+BE16+BO16+BP16+BX16+BY16</f>
        <v>78492308.360018045</v>
      </c>
      <c r="CR16" s="414">
        <f>+I16+J16+R16+S16+AC16+AD16+AL16+AM16+AW16+AX16+BF16+BG16+BQ16+BR16+BZ16+CA16</f>
        <v>82854285.720021442</v>
      </c>
      <c r="CS16" s="416">
        <f t="shared" ref="CS16" si="13">SUM(CC16,BI16,AO16,U16)</f>
        <v>307650461.52005208</v>
      </c>
      <c r="CT16" s="319"/>
      <c r="CU16" s="319"/>
      <c r="CV16" s="319"/>
      <c r="CW16" s="319"/>
      <c r="CX16" s="319"/>
    </row>
    <row r="17" spans="1:131" ht="15.75" customHeight="1">
      <c r="A17" s="88" t="s">
        <v>1337</v>
      </c>
      <c r="B17" s="300"/>
      <c r="C17" s="233"/>
      <c r="D17" s="233"/>
      <c r="E17" s="233"/>
      <c r="F17" s="233"/>
      <c r="G17" s="233"/>
      <c r="H17" s="233"/>
      <c r="I17" s="233"/>
      <c r="J17" s="233"/>
      <c r="K17" s="412">
        <f t="shared" si="1"/>
        <v>0</v>
      </c>
      <c r="L17" s="417"/>
      <c r="M17" s="231">
        <v>4931804.2241999796</v>
      </c>
      <c r="N17" s="231">
        <v>0</v>
      </c>
      <c r="O17" s="231">
        <v>4438478.5745999897</v>
      </c>
      <c r="P17" s="231">
        <v>0</v>
      </c>
      <c r="Q17" s="231">
        <v>4861920.63979996</v>
      </c>
      <c r="R17" s="231">
        <v>0</v>
      </c>
      <c r="S17" s="231">
        <v>4864063.2627999904</v>
      </c>
      <c r="T17" s="414">
        <f t="shared" si="2"/>
        <v>19096266.701399919</v>
      </c>
      <c r="U17" s="415">
        <f t="shared" si="3"/>
        <v>19096266.701399919</v>
      </c>
      <c r="V17" s="300"/>
      <c r="W17" s="233"/>
      <c r="X17" s="233"/>
      <c r="Y17" s="233"/>
      <c r="Z17" s="233"/>
      <c r="AA17" s="233"/>
      <c r="AB17" s="233"/>
      <c r="AC17" s="233"/>
      <c r="AD17" s="233"/>
      <c r="AE17" s="412">
        <f t="shared" si="4"/>
        <v>0</v>
      </c>
      <c r="AF17" s="417"/>
      <c r="AG17" s="231">
        <v>1514470.5771999999</v>
      </c>
      <c r="AH17" s="231">
        <v>0</v>
      </c>
      <c r="AI17" s="231">
        <v>1190185.3236</v>
      </c>
      <c r="AJ17" s="231">
        <v>0</v>
      </c>
      <c r="AK17" s="231">
        <v>1280707.9922</v>
      </c>
      <c r="AL17" s="231">
        <v>0</v>
      </c>
      <c r="AM17" s="231">
        <v>1265416.0722000001</v>
      </c>
      <c r="AN17" s="414">
        <f t="shared" si="5"/>
        <v>5250779.9652000004</v>
      </c>
      <c r="AO17" s="415">
        <f t="shared" si="6"/>
        <v>5250779.9652000004</v>
      </c>
      <c r="AP17" s="300"/>
      <c r="AQ17" s="233">
        <v>0</v>
      </c>
      <c r="AR17" s="233">
        <v>0</v>
      </c>
      <c r="AS17" s="233">
        <v>0</v>
      </c>
      <c r="AT17" s="233">
        <v>0</v>
      </c>
      <c r="AU17" s="233">
        <v>0</v>
      </c>
      <c r="AV17" s="233">
        <v>0</v>
      </c>
      <c r="AW17" s="233">
        <v>0</v>
      </c>
      <c r="AX17" s="233">
        <v>0</v>
      </c>
      <c r="AY17" s="412">
        <f t="shared" si="7"/>
        <v>0</v>
      </c>
      <c r="AZ17" s="417">
        <v>0</v>
      </c>
      <c r="BA17" s="231">
        <v>37745374.220399603</v>
      </c>
      <c r="BB17" s="231">
        <v>0</v>
      </c>
      <c r="BC17" s="231">
        <v>30553702.363799199</v>
      </c>
      <c r="BD17" s="231">
        <v>0</v>
      </c>
      <c r="BE17" s="231">
        <v>34858092.203199901</v>
      </c>
      <c r="BF17" s="231">
        <v>0</v>
      </c>
      <c r="BG17" s="231">
        <v>35076057.893799797</v>
      </c>
      <c r="BH17" s="414">
        <f t="shared" si="8"/>
        <v>138233226.68119848</v>
      </c>
      <c r="BI17" s="415">
        <f t="shared" si="9"/>
        <v>138233226.68119848</v>
      </c>
      <c r="BJ17" s="300"/>
      <c r="BK17" s="233"/>
      <c r="BL17" s="233"/>
      <c r="BM17" s="233"/>
      <c r="BN17" s="233"/>
      <c r="BO17" s="233"/>
      <c r="BP17" s="233"/>
      <c r="BQ17" s="233"/>
      <c r="BR17" s="233"/>
      <c r="BS17" s="412">
        <f t="shared" si="10"/>
        <v>0</v>
      </c>
      <c r="BT17" s="417">
        <v>0</v>
      </c>
      <c r="BU17" s="231">
        <v>1323844.76</v>
      </c>
      <c r="BV17" s="231">
        <v>0</v>
      </c>
      <c r="BW17" s="231">
        <v>1114136.1966000001</v>
      </c>
      <c r="BX17" s="231">
        <v>0</v>
      </c>
      <c r="BY17" s="231">
        <v>1230390.3724</v>
      </c>
      <c r="BZ17" s="231">
        <v>0</v>
      </c>
      <c r="CA17" s="231">
        <v>1467236.5274</v>
      </c>
      <c r="CB17" s="414">
        <f t="shared" si="11"/>
        <v>5135607.8563999999</v>
      </c>
      <c r="CC17" s="415">
        <f t="shared" si="12"/>
        <v>5135607.8563999999</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45515493.781799577</v>
      </c>
      <c r="CK17" s="414">
        <f t="shared" ref="CK17:CK23" si="20">N17+O17+AH17+AI17+BB17+BC17+BV17+BW17</f>
        <v>37296502.458599187</v>
      </c>
      <c r="CL17" s="414">
        <f t="shared" ref="CL17:CL23" si="21">P17+Q17+AJ17+AK17+BD17+BE17+BX17+BY17</f>
        <v>42231111.207599863</v>
      </c>
      <c r="CM17" s="414">
        <f t="shared" ref="CM17:CM23" si="22">+R17+S17+AL17+AM17+BF17+BG17+BZ17+CA17</f>
        <v>42672773.756199792</v>
      </c>
      <c r="CN17" s="416">
        <f t="shared" ref="CN17:CN23" si="23">SUM(T17,AN17,BH17,CB17)</f>
        <v>167715881.20419842</v>
      </c>
      <c r="CO17" s="414">
        <f t="shared" ref="CO17:CO23" si="24">+C17+D17+L17+M17+W17+X17+AF17+AG17+AQ17+AR17+AZ17+BA17+BK17+BL17+BT17+BU17</f>
        <v>45515493.781799577</v>
      </c>
      <c r="CP17" s="414">
        <f t="shared" ref="CP17:CP23" si="25">+E17+F17+N17+O17+Y17+Z17+AH17+AI17+AS17+AT17+BB17+BC17+BM17+BN17+BV17+BW17</f>
        <v>37296502.458599187</v>
      </c>
      <c r="CQ17" s="414">
        <f t="shared" ref="CQ17:CQ23" si="26">+G17+H17+P17+Q17+AA17+AB17+AJ17+AK17+AU17+AV17+BD17+BE17+BO17+BP17+BX17+BY17</f>
        <v>42231111.207599863</v>
      </c>
      <c r="CR17" s="414">
        <f t="shared" ref="CR17:CR23" si="27">+I17+J17+R17+S17+AC17+AD17+AL17+AM17+AW17+AX17+BF17+BG17+BQ17+BR17+BZ17+CA17</f>
        <v>42672773.756199792</v>
      </c>
      <c r="CS17" s="416">
        <f t="shared" ref="CS17:CS23" si="28">SUM(CC17,BI17,AO17,U17)</f>
        <v>167715881.20419842</v>
      </c>
      <c r="CT17" s="319"/>
      <c r="CV17" s="319"/>
      <c r="CX17" s="319"/>
    </row>
    <row r="18" spans="1:131" ht="15.75" customHeight="1">
      <c r="A18" s="88" t="s">
        <v>1338</v>
      </c>
      <c r="B18" s="300"/>
      <c r="C18" s="231"/>
      <c r="D18" s="231"/>
      <c r="E18" s="231"/>
      <c r="F18" s="231"/>
      <c r="G18" s="231"/>
      <c r="H18" s="231"/>
      <c r="I18" s="231"/>
      <c r="J18" s="231"/>
      <c r="K18" s="412">
        <f t="shared" si="1"/>
        <v>0</v>
      </c>
      <c r="L18" s="417"/>
      <c r="M18" s="231">
        <v>159897.04499999899</v>
      </c>
      <c r="N18" s="231">
        <v>0</v>
      </c>
      <c r="O18" s="231">
        <v>111957.08160000099</v>
      </c>
      <c r="P18" s="231">
        <v>0</v>
      </c>
      <c r="Q18" s="231">
        <v>128686.06380000099</v>
      </c>
      <c r="R18" s="231">
        <v>0</v>
      </c>
      <c r="S18" s="231">
        <v>121690.235800002</v>
      </c>
      <c r="T18" s="414">
        <f t="shared" si="2"/>
        <v>522230.42620000296</v>
      </c>
      <c r="U18" s="415">
        <f t="shared" si="3"/>
        <v>522230.42620000296</v>
      </c>
      <c r="V18" s="300"/>
      <c r="W18" s="231"/>
      <c r="X18" s="231"/>
      <c r="Y18" s="231"/>
      <c r="Z18" s="231"/>
      <c r="AA18" s="231"/>
      <c r="AB18" s="231"/>
      <c r="AC18" s="231"/>
      <c r="AD18" s="231"/>
      <c r="AE18" s="412">
        <f t="shared" si="4"/>
        <v>0</v>
      </c>
      <c r="AF18" s="417"/>
      <c r="AG18" s="231">
        <v>55857.520599999902</v>
      </c>
      <c r="AH18" s="231">
        <v>0</v>
      </c>
      <c r="AI18" s="231">
        <v>39988.066999999901</v>
      </c>
      <c r="AJ18" s="231">
        <v>0</v>
      </c>
      <c r="AK18" s="231">
        <v>44447.164999999899</v>
      </c>
      <c r="AL18" s="231">
        <v>0</v>
      </c>
      <c r="AM18" s="231">
        <v>42800.441599999802</v>
      </c>
      <c r="AN18" s="414">
        <f t="shared" si="5"/>
        <v>183093.1941999995</v>
      </c>
      <c r="AO18" s="415">
        <f t="shared" si="6"/>
        <v>183093.1941999995</v>
      </c>
      <c r="AP18" s="300"/>
      <c r="AQ18" s="231"/>
      <c r="AR18" s="231"/>
      <c r="AS18" s="231"/>
      <c r="AT18" s="231"/>
      <c r="AU18" s="231"/>
      <c r="AV18" s="231"/>
      <c r="AW18" s="231"/>
      <c r="AX18" s="231"/>
      <c r="AY18" s="412">
        <f t="shared" si="7"/>
        <v>0</v>
      </c>
      <c r="AZ18" s="417">
        <v>0</v>
      </c>
      <c r="BA18" s="231">
        <v>1115264.7744</v>
      </c>
      <c r="BB18" s="231">
        <v>0</v>
      </c>
      <c r="BC18" s="231">
        <v>867085.89940000395</v>
      </c>
      <c r="BD18" s="231">
        <v>0</v>
      </c>
      <c r="BE18" s="231">
        <v>980626.53360000195</v>
      </c>
      <c r="BF18" s="231">
        <v>0</v>
      </c>
      <c r="BG18" s="231">
        <v>958951.85400000296</v>
      </c>
      <c r="BH18" s="414">
        <f t="shared" si="8"/>
        <v>3921929.0614000089</v>
      </c>
      <c r="BI18" s="415">
        <f t="shared" si="9"/>
        <v>3921929.0614000089</v>
      </c>
      <c r="BJ18" s="300"/>
      <c r="BK18" s="231"/>
      <c r="BL18" s="231"/>
      <c r="BM18" s="231"/>
      <c r="BN18" s="231"/>
      <c r="BO18" s="231"/>
      <c r="BP18" s="231"/>
      <c r="BQ18" s="231"/>
      <c r="BR18" s="231"/>
      <c r="BS18" s="412">
        <f t="shared" si="10"/>
        <v>0</v>
      </c>
      <c r="BT18" s="417">
        <v>0</v>
      </c>
      <c r="BU18" s="231">
        <v>46004.963200000006</v>
      </c>
      <c r="BV18" s="231">
        <v>0</v>
      </c>
      <c r="BW18" s="231">
        <v>39529.662199999999</v>
      </c>
      <c r="BX18" s="231">
        <v>0</v>
      </c>
      <c r="BY18" s="231">
        <v>40838.8246</v>
      </c>
      <c r="BZ18" s="231">
        <v>0</v>
      </c>
      <c r="CA18" s="231">
        <v>37838.7408</v>
      </c>
      <c r="CB18" s="414">
        <f t="shared" si="11"/>
        <v>164212.19080000001</v>
      </c>
      <c r="CC18" s="415">
        <f t="shared" si="12"/>
        <v>164212.19080000001</v>
      </c>
      <c r="CD18" s="300"/>
      <c r="CE18" s="414">
        <f t="shared" si="14"/>
        <v>0</v>
      </c>
      <c r="CF18" s="414">
        <f t="shared" si="15"/>
        <v>0</v>
      </c>
      <c r="CG18" s="414">
        <f t="shared" si="16"/>
        <v>0</v>
      </c>
      <c r="CH18" s="414">
        <f t="shared" si="17"/>
        <v>0</v>
      </c>
      <c r="CI18" s="416">
        <f t="shared" si="18"/>
        <v>0</v>
      </c>
      <c r="CJ18" s="414">
        <f t="shared" si="19"/>
        <v>1377024.303199999</v>
      </c>
      <c r="CK18" s="414">
        <f t="shared" si="20"/>
        <v>1058560.7102000047</v>
      </c>
      <c r="CL18" s="414">
        <f t="shared" si="21"/>
        <v>1194598.5870000029</v>
      </c>
      <c r="CM18" s="414">
        <f t="shared" si="22"/>
        <v>1161281.2722000049</v>
      </c>
      <c r="CN18" s="416">
        <f t="shared" si="23"/>
        <v>4791464.8726000115</v>
      </c>
      <c r="CO18" s="414">
        <f t="shared" si="24"/>
        <v>1377024.303199999</v>
      </c>
      <c r="CP18" s="414">
        <f t="shared" si="25"/>
        <v>1058560.7102000047</v>
      </c>
      <c r="CQ18" s="414">
        <f t="shared" si="26"/>
        <v>1194598.5870000029</v>
      </c>
      <c r="CR18" s="414">
        <f t="shared" si="27"/>
        <v>1161281.2722000049</v>
      </c>
      <c r="CS18" s="416">
        <f t="shared" si="28"/>
        <v>4791464.8726000115</v>
      </c>
      <c r="CV18" s="319"/>
      <c r="CX18" s="319"/>
    </row>
    <row r="19" spans="1:131" ht="15.75" customHeight="1">
      <c r="A19" s="88" t="s">
        <v>1339</v>
      </c>
      <c r="B19" s="300"/>
      <c r="C19" s="231"/>
      <c r="D19" s="231"/>
      <c r="E19" s="231"/>
      <c r="F19" s="231"/>
      <c r="G19" s="231"/>
      <c r="H19" s="231"/>
      <c r="I19" s="231"/>
      <c r="J19" s="231"/>
      <c r="K19" s="412">
        <f t="shared" si="1"/>
        <v>0</v>
      </c>
      <c r="L19" s="417"/>
      <c r="M19" s="231">
        <v>456049</v>
      </c>
      <c r="N19" s="231">
        <v>0</v>
      </c>
      <c r="O19" s="231">
        <v>666321</v>
      </c>
      <c r="P19" s="231">
        <v>0</v>
      </c>
      <c r="Q19" s="231">
        <v>880074</v>
      </c>
      <c r="R19" s="231">
        <v>0</v>
      </c>
      <c r="S19" s="231">
        <v>981571</v>
      </c>
      <c r="T19" s="414">
        <f t="shared" si="2"/>
        <v>2984015</v>
      </c>
      <c r="U19" s="415">
        <f t="shared" si="3"/>
        <v>2984015</v>
      </c>
      <c r="V19" s="300"/>
      <c r="W19" s="231"/>
      <c r="X19" s="231"/>
      <c r="Y19" s="231"/>
      <c r="Z19" s="231"/>
      <c r="AA19" s="231"/>
      <c r="AB19" s="231"/>
      <c r="AC19" s="231"/>
      <c r="AD19" s="231"/>
      <c r="AE19" s="412">
        <f t="shared" si="4"/>
        <v>0</v>
      </c>
      <c r="AF19" s="417"/>
      <c r="AG19" s="231">
        <v>201287</v>
      </c>
      <c r="AH19" s="231">
        <v>0</v>
      </c>
      <c r="AI19" s="231">
        <v>172768</v>
      </c>
      <c r="AJ19" s="231">
        <v>0</v>
      </c>
      <c r="AK19" s="231">
        <v>188799</v>
      </c>
      <c r="AL19" s="231">
        <v>0</v>
      </c>
      <c r="AM19" s="231">
        <v>201657</v>
      </c>
      <c r="AN19" s="414">
        <f t="shared" si="5"/>
        <v>764511</v>
      </c>
      <c r="AO19" s="415">
        <f t="shared" si="6"/>
        <v>764511</v>
      </c>
      <c r="AP19" s="300"/>
      <c r="AQ19" s="231"/>
      <c r="AR19" s="231"/>
      <c r="AS19" s="231"/>
      <c r="AT19" s="231"/>
      <c r="AU19" s="231"/>
      <c r="AV19" s="231"/>
      <c r="AW19" s="231"/>
      <c r="AX19" s="231"/>
      <c r="AY19" s="412">
        <f t="shared" si="7"/>
        <v>0</v>
      </c>
      <c r="AZ19" s="417">
        <v>0</v>
      </c>
      <c r="BA19" s="231">
        <v>6080924</v>
      </c>
      <c r="BB19" s="231">
        <v>0</v>
      </c>
      <c r="BC19" s="231">
        <v>5862861</v>
      </c>
      <c r="BD19" s="231">
        <v>0</v>
      </c>
      <c r="BE19" s="231">
        <v>6359554</v>
      </c>
      <c r="BF19" s="231">
        <v>0</v>
      </c>
      <c r="BG19" s="231">
        <v>6554065</v>
      </c>
      <c r="BH19" s="414">
        <f t="shared" si="8"/>
        <v>24857404</v>
      </c>
      <c r="BI19" s="415">
        <f t="shared" si="9"/>
        <v>24857404</v>
      </c>
      <c r="BJ19" s="300"/>
      <c r="BK19" s="231"/>
      <c r="BL19" s="231"/>
      <c r="BM19" s="231"/>
      <c r="BN19" s="231"/>
      <c r="BO19" s="231"/>
      <c r="BP19" s="231"/>
      <c r="BQ19" s="231"/>
      <c r="BR19" s="231"/>
      <c r="BS19" s="412">
        <f t="shared" si="10"/>
        <v>0</v>
      </c>
      <c r="BT19" s="417">
        <v>0</v>
      </c>
      <c r="BU19" s="231">
        <v>200367</v>
      </c>
      <c r="BV19" s="231">
        <v>0</v>
      </c>
      <c r="BW19" s="231">
        <v>154227</v>
      </c>
      <c r="BX19" s="231">
        <v>0</v>
      </c>
      <c r="BY19" s="231">
        <v>169513</v>
      </c>
      <c r="BZ19" s="231">
        <v>0</v>
      </c>
      <c r="CA19" s="231">
        <v>160326</v>
      </c>
      <c r="CB19" s="414">
        <f t="shared" si="11"/>
        <v>684433</v>
      </c>
      <c r="CC19" s="415">
        <f t="shared" si="12"/>
        <v>684433</v>
      </c>
      <c r="CD19" s="300"/>
      <c r="CE19" s="414">
        <f t="shared" si="14"/>
        <v>0</v>
      </c>
      <c r="CF19" s="414">
        <f t="shared" si="15"/>
        <v>0</v>
      </c>
      <c r="CG19" s="414">
        <f t="shared" si="16"/>
        <v>0</v>
      </c>
      <c r="CH19" s="414">
        <f t="shared" si="17"/>
        <v>0</v>
      </c>
      <c r="CI19" s="416">
        <f t="shared" si="18"/>
        <v>0</v>
      </c>
      <c r="CJ19" s="414">
        <f t="shared" si="19"/>
        <v>6938627</v>
      </c>
      <c r="CK19" s="414">
        <f t="shared" si="20"/>
        <v>6856177</v>
      </c>
      <c r="CL19" s="414">
        <f t="shared" si="21"/>
        <v>7597940</v>
      </c>
      <c r="CM19" s="414">
        <f t="shared" si="22"/>
        <v>7897619</v>
      </c>
      <c r="CN19" s="416">
        <f t="shared" si="23"/>
        <v>29290363</v>
      </c>
      <c r="CO19" s="414">
        <f t="shared" si="24"/>
        <v>6938627</v>
      </c>
      <c r="CP19" s="414">
        <f t="shared" si="25"/>
        <v>6856177</v>
      </c>
      <c r="CQ19" s="414">
        <f t="shared" si="26"/>
        <v>7597940</v>
      </c>
      <c r="CR19" s="414">
        <f t="shared" si="27"/>
        <v>7897619</v>
      </c>
      <c r="CS19" s="416">
        <f t="shared" si="28"/>
        <v>29290363</v>
      </c>
    </row>
    <row r="20" spans="1:131" ht="15.75" customHeight="1">
      <c r="A20" s="135" t="s">
        <v>173</v>
      </c>
      <c r="B20" s="300">
        <v>2</v>
      </c>
      <c r="C20" s="232">
        <f t="shared" ref="C20:J20" si="29">SUM(C17:C19)</f>
        <v>0</v>
      </c>
      <c r="D20" s="232">
        <f t="shared" si="29"/>
        <v>0</v>
      </c>
      <c r="E20" s="232">
        <f t="shared" si="29"/>
        <v>0</v>
      </c>
      <c r="F20" s="232">
        <f t="shared" si="29"/>
        <v>0</v>
      </c>
      <c r="G20" s="232">
        <f t="shared" si="29"/>
        <v>0</v>
      </c>
      <c r="H20" s="232">
        <f t="shared" si="29"/>
        <v>0</v>
      </c>
      <c r="I20" s="232">
        <f t="shared" si="29"/>
        <v>0</v>
      </c>
      <c r="J20" s="232">
        <f t="shared" si="29"/>
        <v>0</v>
      </c>
      <c r="K20" s="412">
        <f t="shared" si="1"/>
        <v>0</v>
      </c>
      <c r="L20" s="418">
        <f t="shared" ref="L20:S20" si="30">SUM(L17:L19)</f>
        <v>0</v>
      </c>
      <c r="M20" s="232">
        <f t="shared" si="30"/>
        <v>5547750.2691999786</v>
      </c>
      <c r="N20" s="232">
        <f t="shared" si="30"/>
        <v>0</v>
      </c>
      <c r="O20" s="232">
        <f t="shared" si="30"/>
        <v>5216756.6561999908</v>
      </c>
      <c r="P20" s="232">
        <f t="shared" si="30"/>
        <v>0</v>
      </c>
      <c r="Q20" s="232">
        <f t="shared" si="30"/>
        <v>5870680.7035999605</v>
      </c>
      <c r="R20" s="232">
        <f t="shared" si="30"/>
        <v>0</v>
      </c>
      <c r="S20" s="232">
        <f t="shared" si="30"/>
        <v>5967324.4985999921</v>
      </c>
      <c r="T20" s="414">
        <f t="shared" si="2"/>
        <v>22602512.127599921</v>
      </c>
      <c r="U20" s="415">
        <f t="shared" si="3"/>
        <v>22602512.127599921</v>
      </c>
      <c r="V20" s="300">
        <v>2</v>
      </c>
      <c r="W20" s="232">
        <f t="shared" ref="W20:AD20" si="31">SUM(W17:W19)</f>
        <v>0</v>
      </c>
      <c r="X20" s="232">
        <f t="shared" si="31"/>
        <v>0</v>
      </c>
      <c r="Y20" s="232">
        <f t="shared" si="31"/>
        <v>0</v>
      </c>
      <c r="Z20" s="232">
        <f t="shared" si="31"/>
        <v>0</v>
      </c>
      <c r="AA20" s="232">
        <f t="shared" si="31"/>
        <v>0</v>
      </c>
      <c r="AB20" s="232">
        <f t="shared" si="31"/>
        <v>0</v>
      </c>
      <c r="AC20" s="232">
        <f t="shared" si="31"/>
        <v>0</v>
      </c>
      <c r="AD20" s="232">
        <f t="shared" si="31"/>
        <v>0</v>
      </c>
      <c r="AE20" s="412">
        <f t="shared" si="4"/>
        <v>0</v>
      </c>
      <c r="AF20" s="418">
        <f t="shared" ref="AF20:AM20" si="32">SUM(AF17:AF19)</f>
        <v>0</v>
      </c>
      <c r="AG20" s="232">
        <f t="shared" si="32"/>
        <v>1771615.0977999999</v>
      </c>
      <c r="AH20" s="232">
        <f t="shared" si="32"/>
        <v>0</v>
      </c>
      <c r="AI20" s="232">
        <f t="shared" si="32"/>
        <v>1402941.3905999998</v>
      </c>
      <c r="AJ20" s="232">
        <f t="shared" si="32"/>
        <v>0</v>
      </c>
      <c r="AK20" s="232">
        <f t="shared" si="32"/>
        <v>1513954.1571999998</v>
      </c>
      <c r="AL20" s="232">
        <f t="shared" si="32"/>
        <v>0</v>
      </c>
      <c r="AM20" s="232">
        <f t="shared" si="32"/>
        <v>1509873.5137999998</v>
      </c>
      <c r="AN20" s="414">
        <f t="shared" si="5"/>
        <v>6198384.1593999993</v>
      </c>
      <c r="AO20" s="415">
        <f t="shared" si="6"/>
        <v>6198384.1593999993</v>
      </c>
      <c r="AP20" s="300">
        <v>2</v>
      </c>
      <c r="AQ20" s="232">
        <f t="shared" ref="AQ20:AX20" si="33">SUM(AQ17:AQ19)</f>
        <v>0</v>
      </c>
      <c r="AR20" s="232">
        <f t="shared" si="33"/>
        <v>0</v>
      </c>
      <c r="AS20" s="232">
        <f t="shared" si="33"/>
        <v>0</v>
      </c>
      <c r="AT20" s="232">
        <f t="shared" si="33"/>
        <v>0</v>
      </c>
      <c r="AU20" s="232">
        <f t="shared" si="33"/>
        <v>0</v>
      </c>
      <c r="AV20" s="232">
        <f t="shared" si="33"/>
        <v>0</v>
      </c>
      <c r="AW20" s="232">
        <f t="shared" si="33"/>
        <v>0</v>
      </c>
      <c r="AX20" s="232">
        <f t="shared" si="33"/>
        <v>0</v>
      </c>
      <c r="AY20" s="412">
        <f t="shared" si="7"/>
        <v>0</v>
      </c>
      <c r="AZ20" s="418">
        <f t="shared" ref="AZ20:BG20" si="34">SUM(AZ17:AZ19)</f>
        <v>0</v>
      </c>
      <c r="BA20" s="232">
        <f t="shared" si="34"/>
        <v>44941562.994799607</v>
      </c>
      <c r="BB20" s="232">
        <f t="shared" si="34"/>
        <v>0</v>
      </c>
      <c r="BC20" s="232">
        <f t="shared" si="34"/>
        <v>37283649.263199203</v>
      </c>
      <c r="BD20" s="232">
        <f t="shared" si="34"/>
        <v>0</v>
      </c>
      <c r="BE20" s="232">
        <f t="shared" si="34"/>
        <v>42198272.736799903</v>
      </c>
      <c r="BF20" s="232">
        <f t="shared" si="34"/>
        <v>0</v>
      </c>
      <c r="BG20" s="232">
        <f t="shared" si="34"/>
        <v>42589074.747799799</v>
      </c>
      <c r="BH20" s="414">
        <f t="shared" si="8"/>
        <v>167012559.74259853</v>
      </c>
      <c r="BI20" s="415">
        <f t="shared" si="9"/>
        <v>167012559.74259853</v>
      </c>
      <c r="BJ20" s="300">
        <v>2</v>
      </c>
      <c r="BK20" s="232">
        <f t="shared" ref="BK20:BR20" si="35">SUM(BK17:BK19)</f>
        <v>0</v>
      </c>
      <c r="BL20" s="232">
        <f t="shared" si="35"/>
        <v>0</v>
      </c>
      <c r="BM20" s="232">
        <f t="shared" si="35"/>
        <v>0</v>
      </c>
      <c r="BN20" s="232">
        <f t="shared" si="35"/>
        <v>0</v>
      </c>
      <c r="BO20" s="232">
        <f t="shared" si="35"/>
        <v>0</v>
      </c>
      <c r="BP20" s="232">
        <f t="shared" si="35"/>
        <v>0</v>
      </c>
      <c r="BQ20" s="232">
        <f t="shared" si="35"/>
        <v>0</v>
      </c>
      <c r="BR20" s="232">
        <f t="shared" si="35"/>
        <v>0</v>
      </c>
      <c r="BS20" s="412">
        <f t="shared" si="10"/>
        <v>0</v>
      </c>
      <c r="BT20" s="418">
        <f t="shared" ref="BT20:CA20" si="36">SUM(BT17:BT19)</f>
        <v>0</v>
      </c>
      <c r="BU20" s="232">
        <f t="shared" si="36"/>
        <v>1570216.7232000001</v>
      </c>
      <c r="BV20" s="232">
        <f t="shared" si="36"/>
        <v>0</v>
      </c>
      <c r="BW20" s="232">
        <f t="shared" si="36"/>
        <v>1307892.8588</v>
      </c>
      <c r="BX20" s="232">
        <f t="shared" si="36"/>
        <v>0</v>
      </c>
      <c r="BY20" s="232">
        <f t="shared" si="36"/>
        <v>1440742.1969999999</v>
      </c>
      <c r="BZ20" s="232">
        <f t="shared" si="36"/>
        <v>0</v>
      </c>
      <c r="CA20" s="232">
        <f t="shared" si="36"/>
        <v>1665401.2682</v>
      </c>
      <c r="CB20" s="414">
        <f t="shared" si="11"/>
        <v>5984253.0471999999</v>
      </c>
      <c r="CC20" s="415">
        <f t="shared" si="12"/>
        <v>5984253.0471999999</v>
      </c>
      <c r="CD20" s="300">
        <v>2</v>
      </c>
      <c r="CE20" s="414">
        <f t="shared" si="14"/>
        <v>0</v>
      </c>
      <c r="CF20" s="414">
        <f t="shared" si="15"/>
        <v>0</v>
      </c>
      <c r="CG20" s="414">
        <f t="shared" si="16"/>
        <v>0</v>
      </c>
      <c r="CH20" s="414">
        <f t="shared" si="17"/>
        <v>0</v>
      </c>
      <c r="CI20" s="416">
        <f t="shared" si="18"/>
        <v>0</v>
      </c>
      <c r="CJ20" s="414">
        <f t="shared" si="19"/>
        <v>53831145.084999584</v>
      </c>
      <c r="CK20" s="414">
        <f t="shared" si="20"/>
        <v>45211240.168799192</v>
      </c>
      <c r="CL20" s="414">
        <f t="shared" si="21"/>
        <v>51023649.794599861</v>
      </c>
      <c r="CM20" s="414">
        <f t="shared" si="22"/>
        <v>51731674.028399795</v>
      </c>
      <c r="CN20" s="416">
        <f t="shared" si="23"/>
        <v>201797709.07679844</v>
      </c>
      <c r="CO20" s="414">
        <f t="shared" si="24"/>
        <v>53831145.084999584</v>
      </c>
      <c r="CP20" s="414">
        <f t="shared" si="25"/>
        <v>45211240.168799192</v>
      </c>
      <c r="CQ20" s="414">
        <f t="shared" si="26"/>
        <v>51023649.794599861</v>
      </c>
      <c r="CR20" s="414">
        <f t="shared" si="27"/>
        <v>51731674.028399795</v>
      </c>
      <c r="CS20" s="416">
        <f t="shared" si="28"/>
        <v>201797709.07679844</v>
      </c>
      <c r="CT20" s="319"/>
      <c r="CU20" s="319"/>
      <c r="CV20" s="319"/>
      <c r="CW20" s="319"/>
      <c r="CX20" s="319"/>
    </row>
    <row r="21" spans="1:131" ht="15.75" customHeight="1">
      <c r="A21" s="88" t="s">
        <v>175</v>
      </c>
      <c r="B21" s="300">
        <v>3</v>
      </c>
      <c r="C21" s="231"/>
      <c r="D21" s="231"/>
      <c r="E21" s="231"/>
      <c r="F21" s="231"/>
      <c r="G21" s="231"/>
      <c r="H21" s="231"/>
      <c r="I21" s="231"/>
      <c r="J21" s="231"/>
      <c r="K21" s="412">
        <f t="shared" si="1"/>
        <v>0</v>
      </c>
      <c r="L21" s="417"/>
      <c r="M21" s="231"/>
      <c r="N21" s="231"/>
      <c r="O21" s="231"/>
      <c r="P21" s="231"/>
      <c r="Q21" s="231"/>
      <c r="R21" s="231"/>
      <c r="S21" s="231"/>
      <c r="T21" s="414">
        <f t="shared" si="2"/>
        <v>0</v>
      </c>
      <c r="U21" s="415">
        <f t="shared" si="3"/>
        <v>0</v>
      </c>
      <c r="V21" s="300">
        <v>3</v>
      </c>
      <c r="W21" s="231"/>
      <c r="X21" s="231"/>
      <c r="Y21" s="231"/>
      <c r="Z21" s="231"/>
      <c r="AA21" s="231"/>
      <c r="AB21" s="231"/>
      <c r="AC21" s="231"/>
      <c r="AD21" s="231"/>
      <c r="AE21" s="412">
        <f t="shared" si="4"/>
        <v>0</v>
      </c>
      <c r="AF21" s="417"/>
      <c r="AG21" s="231"/>
      <c r="AH21" s="231"/>
      <c r="AI21" s="231"/>
      <c r="AJ21" s="231"/>
      <c r="AK21" s="231"/>
      <c r="AL21" s="231"/>
      <c r="AM21" s="231"/>
      <c r="AN21" s="414">
        <f t="shared" si="5"/>
        <v>0</v>
      </c>
      <c r="AO21" s="415">
        <f t="shared" si="6"/>
        <v>0</v>
      </c>
      <c r="AP21" s="300">
        <v>3</v>
      </c>
      <c r="AQ21" s="231"/>
      <c r="AR21" s="231"/>
      <c r="AS21" s="231"/>
      <c r="AT21" s="231"/>
      <c r="AU21" s="231"/>
      <c r="AV21" s="231"/>
      <c r="AW21" s="231"/>
      <c r="AX21" s="231"/>
      <c r="AY21" s="412">
        <f t="shared" si="7"/>
        <v>0</v>
      </c>
      <c r="AZ21" s="417"/>
      <c r="BA21" s="231"/>
      <c r="BB21" s="231"/>
      <c r="BC21" s="231"/>
      <c r="BD21" s="231"/>
      <c r="BE21" s="231"/>
      <c r="BF21" s="231"/>
      <c r="BG21" s="231"/>
      <c r="BH21" s="414">
        <f t="shared" si="8"/>
        <v>0</v>
      </c>
      <c r="BI21" s="415">
        <f t="shared" si="9"/>
        <v>0</v>
      </c>
      <c r="BJ21" s="300">
        <v>3</v>
      </c>
      <c r="BK21" s="231"/>
      <c r="BL21" s="231"/>
      <c r="BM21" s="231"/>
      <c r="BN21" s="231"/>
      <c r="BO21" s="231"/>
      <c r="BP21" s="231"/>
      <c r="BQ21" s="231"/>
      <c r="BR21" s="231"/>
      <c r="BS21" s="412">
        <f t="shared" si="10"/>
        <v>0</v>
      </c>
      <c r="BT21" s="417"/>
      <c r="BU21" s="231"/>
      <c r="BV21" s="231"/>
      <c r="BW21" s="231"/>
      <c r="BX21" s="231"/>
      <c r="BY21" s="231"/>
      <c r="BZ21" s="231"/>
      <c r="CA21" s="231"/>
      <c r="CB21" s="414">
        <f t="shared" si="11"/>
        <v>0</v>
      </c>
      <c r="CC21" s="415">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28"/>
        <v>0</v>
      </c>
      <c r="CT21" s="319"/>
      <c r="CV21" s="319"/>
      <c r="CX21" s="319"/>
    </row>
    <row r="22" spans="1:131" ht="15.75" customHeight="1">
      <c r="A22" s="88" t="s">
        <v>177</v>
      </c>
      <c r="B22" s="300">
        <v>4</v>
      </c>
      <c r="C22" s="231">
        <v>0</v>
      </c>
      <c r="D22" s="231">
        <v>0</v>
      </c>
      <c r="E22" s="231">
        <v>0</v>
      </c>
      <c r="F22" s="231">
        <v>0</v>
      </c>
      <c r="G22" s="231">
        <v>0</v>
      </c>
      <c r="H22" s="231">
        <v>0</v>
      </c>
      <c r="I22" s="231">
        <v>0</v>
      </c>
      <c r="J22" s="231">
        <v>0</v>
      </c>
      <c r="K22" s="412">
        <f t="shared" si="1"/>
        <v>0</v>
      </c>
      <c r="L22" s="417">
        <v>0</v>
      </c>
      <c r="M22" s="231">
        <v>97132.067364918752</v>
      </c>
      <c r="N22" s="231">
        <v>0</v>
      </c>
      <c r="O22" s="231">
        <v>72535.133643407302</v>
      </c>
      <c r="P22" s="231">
        <v>0</v>
      </c>
      <c r="Q22" s="231">
        <v>82910.815938962391</v>
      </c>
      <c r="R22" s="231">
        <v>0</v>
      </c>
      <c r="S22" s="231">
        <v>80809.4019909778</v>
      </c>
      <c r="T22" s="414">
        <f t="shared" si="2"/>
        <v>333387.41893826623</v>
      </c>
      <c r="U22" s="415">
        <f t="shared" si="3"/>
        <v>333387.41893826623</v>
      </c>
      <c r="V22" s="300">
        <v>4</v>
      </c>
      <c r="W22" s="231">
        <v>0</v>
      </c>
      <c r="X22" s="231">
        <v>0</v>
      </c>
      <c r="Y22" s="231">
        <v>0</v>
      </c>
      <c r="Z22" s="231">
        <v>0</v>
      </c>
      <c r="AA22" s="231">
        <v>0</v>
      </c>
      <c r="AB22" s="231">
        <v>0</v>
      </c>
      <c r="AC22" s="231">
        <v>0</v>
      </c>
      <c r="AD22" s="231">
        <v>0</v>
      </c>
      <c r="AE22" s="412">
        <f t="shared" si="4"/>
        <v>0</v>
      </c>
      <c r="AF22" s="417">
        <v>0</v>
      </c>
      <c r="AG22" s="231">
        <v>34179.479110822977</v>
      </c>
      <c r="AH22" s="231">
        <v>0</v>
      </c>
      <c r="AI22" s="231">
        <v>25977.849928991291</v>
      </c>
      <c r="AJ22" s="231">
        <v>0</v>
      </c>
      <c r="AK22" s="231">
        <v>28116.609900492513</v>
      </c>
      <c r="AL22" s="231">
        <v>0</v>
      </c>
      <c r="AM22" s="231">
        <v>28379.133491354682</v>
      </c>
      <c r="AN22" s="414">
        <f t="shared" si="5"/>
        <v>116653.07243166145</v>
      </c>
      <c r="AO22" s="415">
        <f t="shared" si="6"/>
        <v>116653.07243166145</v>
      </c>
      <c r="AP22" s="300">
        <v>4</v>
      </c>
      <c r="AQ22" s="231">
        <v>0</v>
      </c>
      <c r="AR22" s="231">
        <v>0</v>
      </c>
      <c r="AS22" s="231">
        <v>0</v>
      </c>
      <c r="AT22" s="231">
        <v>0</v>
      </c>
      <c r="AU22" s="231">
        <v>0</v>
      </c>
      <c r="AV22" s="231">
        <v>0</v>
      </c>
      <c r="AW22" s="231">
        <v>0</v>
      </c>
      <c r="AX22" s="231">
        <v>0</v>
      </c>
      <c r="AY22" s="412">
        <f t="shared" si="7"/>
        <v>0</v>
      </c>
      <c r="AZ22" s="417">
        <v>0</v>
      </c>
      <c r="BA22" s="231">
        <v>652578.55710084015</v>
      </c>
      <c r="BB22" s="231">
        <v>0</v>
      </c>
      <c r="BC22" s="231">
        <v>560004.03862928203</v>
      </c>
      <c r="BD22" s="231">
        <v>0</v>
      </c>
      <c r="BE22" s="231">
        <v>620373.0220514572</v>
      </c>
      <c r="BF22" s="231">
        <v>0</v>
      </c>
      <c r="BG22" s="231">
        <v>636533.79602731299</v>
      </c>
      <c r="BH22" s="414">
        <f t="shared" si="8"/>
        <v>2469489.4138088925</v>
      </c>
      <c r="BI22" s="415">
        <f t="shared" si="9"/>
        <v>2469489.4138088925</v>
      </c>
      <c r="BJ22" s="300">
        <v>4</v>
      </c>
      <c r="BK22" s="231">
        <v>0</v>
      </c>
      <c r="BL22" s="231">
        <v>0</v>
      </c>
      <c r="BM22" s="231">
        <v>0</v>
      </c>
      <c r="BN22" s="231">
        <v>0</v>
      </c>
      <c r="BO22" s="231">
        <v>0</v>
      </c>
      <c r="BP22" s="231">
        <v>0</v>
      </c>
      <c r="BQ22" s="231">
        <v>0</v>
      </c>
      <c r="BR22" s="231">
        <v>0</v>
      </c>
      <c r="BS22" s="412">
        <f t="shared" si="10"/>
        <v>0</v>
      </c>
      <c r="BT22" s="417">
        <v>0</v>
      </c>
      <c r="BU22" s="231">
        <v>30040.5541024216</v>
      </c>
      <c r="BV22" s="231">
        <v>0</v>
      </c>
      <c r="BW22" s="231">
        <v>24872.049385902392</v>
      </c>
      <c r="BX22" s="231">
        <v>0</v>
      </c>
      <c r="BY22" s="231">
        <v>24877.420859094964</v>
      </c>
      <c r="BZ22" s="231">
        <v>0</v>
      </c>
      <c r="CA22" s="231">
        <v>24427.86937900482</v>
      </c>
      <c r="CB22" s="414">
        <f t="shared" si="11"/>
        <v>104217.89372642376</v>
      </c>
      <c r="CC22" s="415">
        <f t="shared" si="12"/>
        <v>104217.89372642376</v>
      </c>
      <c r="CD22" s="300">
        <v>4</v>
      </c>
      <c r="CE22" s="414">
        <f t="shared" si="14"/>
        <v>0</v>
      </c>
      <c r="CF22" s="414">
        <f t="shared" si="15"/>
        <v>0</v>
      </c>
      <c r="CG22" s="414">
        <f t="shared" si="16"/>
        <v>0</v>
      </c>
      <c r="CH22" s="414">
        <f t="shared" si="17"/>
        <v>0</v>
      </c>
      <c r="CI22" s="416">
        <f t="shared" si="18"/>
        <v>0</v>
      </c>
      <c r="CJ22" s="414">
        <f t="shared" si="19"/>
        <v>813930.65767900355</v>
      </c>
      <c r="CK22" s="414">
        <f t="shared" si="20"/>
        <v>683389.07158758293</v>
      </c>
      <c r="CL22" s="414">
        <f t="shared" si="21"/>
        <v>756277.86875000701</v>
      </c>
      <c r="CM22" s="414">
        <f t="shared" si="22"/>
        <v>770150.20088865026</v>
      </c>
      <c r="CN22" s="416">
        <f t="shared" si="23"/>
        <v>3023747.7989052441</v>
      </c>
      <c r="CO22" s="414">
        <f t="shared" si="24"/>
        <v>813930.65767900355</v>
      </c>
      <c r="CP22" s="414">
        <f t="shared" si="25"/>
        <v>683389.07158758293</v>
      </c>
      <c r="CQ22" s="414">
        <f t="shared" si="26"/>
        <v>756277.86875000701</v>
      </c>
      <c r="CR22" s="414">
        <f t="shared" si="27"/>
        <v>770150.20088865026</v>
      </c>
      <c r="CS22" s="416">
        <f t="shared" si="28"/>
        <v>3023747.7989052441</v>
      </c>
      <c r="CT22" s="319"/>
      <c r="CV22" s="319"/>
      <c r="CX22" s="319"/>
    </row>
    <row r="23" spans="1:131" ht="15.75" customHeight="1">
      <c r="A23" s="135" t="s">
        <v>179</v>
      </c>
      <c r="B23" s="300">
        <v>5</v>
      </c>
      <c r="C23" s="137">
        <f t="shared" ref="C23:J23" si="37">C16+C20+C21+C22</f>
        <v>1150310.16000003</v>
      </c>
      <c r="D23" s="137">
        <f t="shared" si="37"/>
        <v>2182936.6300002402</v>
      </c>
      <c r="E23" s="137">
        <f t="shared" si="37"/>
        <v>1180549.3800000299</v>
      </c>
      <c r="F23" s="137">
        <f t="shared" si="37"/>
        <v>2261262.1300002602</v>
      </c>
      <c r="G23" s="137">
        <f t="shared" si="37"/>
        <v>1198554.91000004</v>
      </c>
      <c r="H23" s="137">
        <f t="shared" si="37"/>
        <v>2366909.6300002802</v>
      </c>
      <c r="I23" s="137">
        <f t="shared" si="37"/>
        <v>1254802.5100000401</v>
      </c>
      <c r="J23" s="137">
        <f t="shared" si="37"/>
        <v>2384815.89000028</v>
      </c>
      <c r="K23" s="412">
        <f t="shared" si="1"/>
        <v>13980141.2400012</v>
      </c>
      <c r="L23" s="217">
        <f t="shared" ref="L23:S23" si="38">L16+L20+L21+L22</f>
        <v>0</v>
      </c>
      <c r="M23" s="137">
        <f t="shared" si="38"/>
        <v>5644882.3365648976</v>
      </c>
      <c r="N23" s="137">
        <f t="shared" si="38"/>
        <v>0</v>
      </c>
      <c r="O23" s="137">
        <f t="shared" si="38"/>
        <v>5289291.7898433981</v>
      </c>
      <c r="P23" s="137">
        <f t="shared" si="38"/>
        <v>0</v>
      </c>
      <c r="Q23" s="137">
        <f t="shared" si="38"/>
        <v>5953591.5195389232</v>
      </c>
      <c r="R23" s="137">
        <f t="shared" si="38"/>
        <v>0</v>
      </c>
      <c r="S23" s="137">
        <f t="shared" si="38"/>
        <v>6048133.9005909702</v>
      </c>
      <c r="T23" s="414">
        <f t="shared" si="2"/>
        <v>22935899.546538189</v>
      </c>
      <c r="U23" s="217">
        <f t="shared" si="3"/>
        <v>36916040.786539391</v>
      </c>
      <c r="V23" s="300">
        <v>5</v>
      </c>
      <c r="W23" s="137">
        <f t="shared" ref="W23:AD23" si="39">W16+W20+W21+W22</f>
        <v>175913.24</v>
      </c>
      <c r="X23" s="137">
        <f t="shared" si="39"/>
        <v>994432.38000001898</v>
      </c>
      <c r="Y23" s="137">
        <f t="shared" si="39"/>
        <v>182877.91</v>
      </c>
      <c r="Z23" s="137">
        <f t="shared" si="39"/>
        <v>947873.12000001804</v>
      </c>
      <c r="AA23" s="137">
        <f t="shared" si="39"/>
        <v>170453.61</v>
      </c>
      <c r="AB23" s="137">
        <f t="shared" si="39"/>
        <v>967860.44000001904</v>
      </c>
      <c r="AC23" s="137">
        <f t="shared" si="39"/>
        <v>182047.53</v>
      </c>
      <c r="AD23" s="137">
        <f t="shared" si="39"/>
        <v>988270.23000001896</v>
      </c>
      <c r="AE23" s="412">
        <f t="shared" si="4"/>
        <v>4609728.4600000745</v>
      </c>
      <c r="AF23" s="217">
        <f t="shared" ref="AF23:AM23" si="40">AF16+AF20+AF21+AF22</f>
        <v>0</v>
      </c>
      <c r="AG23" s="137">
        <f t="shared" si="40"/>
        <v>1805794.5769108229</v>
      </c>
      <c r="AH23" s="137">
        <f t="shared" si="40"/>
        <v>0</v>
      </c>
      <c r="AI23" s="137">
        <f t="shared" si="40"/>
        <v>1428919.2405289912</v>
      </c>
      <c r="AJ23" s="137">
        <f t="shared" si="40"/>
        <v>0</v>
      </c>
      <c r="AK23" s="137">
        <f t="shared" si="40"/>
        <v>1542070.7671004923</v>
      </c>
      <c r="AL23" s="137">
        <f t="shared" si="40"/>
        <v>0</v>
      </c>
      <c r="AM23" s="137">
        <f t="shared" si="40"/>
        <v>1538252.6472913546</v>
      </c>
      <c r="AN23" s="414">
        <f t="shared" si="5"/>
        <v>6315037.2318316614</v>
      </c>
      <c r="AO23" s="217">
        <f t="shared" si="6"/>
        <v>10924765.691831736</v>
      </c>
      <c r="AP23" s="300">
        <v>5</v>
      </c>
      <c r="AQ23" s="137">
        <f t="shared" ref="AQ23:AX23" si="41">AQ16+AQ20+AQ21+AQ22</f>
        <v>19127721.649998199</v>
      </c>
      <c r="AR23" s="137">
        <f t="shared" si="41"/>
        <v>43146207.640006401</v>
      </c>
      <c r="AS23" s="137">
        <f t="shared" si="41"/>
        <v>20472758.959998</v>
      </c>
      <c r="AT23" s="137">
        <f t="shared" si="41"/>
        <v>45613689.0500094</v>
      </c>
      <c r="AU23" s="137">
        <f t="shared" si="41"/>
        <v>21616021.060000602</v>
      </c>
      <c r="AV23" s="137">
        <f t="shared" si="41"/>
        <v>48014921.9600171</v>
      </c>
      <c r="AW23" s="137">
        <f t="shared" si="41"/>
        <v>23461859.680001199</v>
      </c>
      <c r="AX23" s="137">
        <f t="shared" si="41"/>
        <v>50143961.830019899</v>
      </c>
      <c r="AY23" s="412">
        <f t="shared" si="7"/>
        <v>271597141.83005077</v>
      </c>
      <c r="AZ23" s="217">
        <f t="shared" ref="AZ23:BG23" si="42">AZ16+AZ20+AZ21+AZ22</f>
        <v>0</v>
      </c>
      <c r="BA23" s="137">
        <f t="shared" si="42"/>
        <v>45594141.551900446</v>
      </c>
      <c r="BB23" s="137">
        <f t="shared" si="42"/>
        <v>0</v>
      </c>
      <c r="BC23" s="137">
        <f t="shared" si="42"/>
        <v>37843653.301828481</v>
      </c>
      <c r="BD23" s="137">
        <f t="shared" si="42"/>
        <v>0</v>
      </c>
      <c r="BE23" s="137">
        <f t="shared" si="42"/>
        <v>42818645.758851357</v>
      </c>
      <c r="BF23" s="137">
        <f t="shared" si="42"/>
        <v>0</v>
      </c>
      <c r="BG23" s="137">
        <f t="shared" si="42"/>
        <v>43225608.543827109</v>
      </c>
      <c r="BH23" s="414">
        <f t="shared" si="8"/>
        <v>169482049.15640739</v>
      </c>
      <c r="BI23" s="217">
        <f t="shared" si="9"/>
        <v>441079190.98645818</v>
      </c>
      <c r="BJ23" s="300">
        <v>5</v>
      </c>
      <c r="BK23" s="137">
        <f t="shared" ref="BK23:BR23" si="43">BK16+BK20+BK21+BK22</f>
        <v>369626.36000000004</v>
      </c>
      <c r="BL23" s="137">
        <f t="shared" si="43"/>
        <v>4124721.59</v>
      </c>
      <c r="BM23" s="137">
        <f t="shared" si="43"/>
        <v>360243.63000000006</v>
      </c>
      <c r="BN23" s="137">
        <f t="shared" si="43"/>
        <v>4012743.61</v>
      </c>
      <c r="BO23" s="137">
        <f t="shared" si="43"/>
        <v>320501.02</v>
      </c>
      <c r="BP23" s="137">
        <f t="shared" si="43"/>
        <v>3837085.7300000014</v>
      </c>
      <c r="BQ23" s="137">
        <f t="shared" si="43"/>
        <v>360618.00000000006</v>
      </c>
      <c r="BR23" s="137">
        <f t="shared" si="43"/>
        <v>4077910.0500000007</v>
      </c>
      <c r="BS23" s="412">
        <f t="shared" si="10"/>
        <v>17463449.990000002</v>
      </c>
      <c r="BT23" s="217">
        <f t="shared" ref="BT23:CA23" si="44">BT16+BT20+BT21+BT22</f>
        <v>0</v>
      </c>
      <c r="BU23" s="137">
        <f t="shared" si="44"/>
        <v>1600257.2773024216</v>
      </c>
      <c r="BV23" s="137">
        <f t="shared" si="44"/>
        <v>0</v>
      </c>
      <c r="BW23" s="137">
        <f t="shared" si="44"/>
        <v>1332764.9081859025</v>
      </c>
      <c r="BX23" s="137">
        <f t="shared" si="44"/>
        <v>0</v>
      </c>
      <c r="BY23" s="137">
        <f t="shared" si="44"/>
        <v>1465619.6178590949</v>
      </c>
      <c r="BZ23" s="137">
        <f t="shared" si="44"/>
        <v>0</v>
      </c>
      <c r="CA23" s="137">
        <f t="shared" si="44"/>
        <v>1689829.137579005</v>
      </c>
      <c r="CB23" s="414">
        <f t="shared" si="11"/>
        <v>6088470.9409264242</v>
      </c>
      <c r="CC23" s="217">
        <f t="shared" si="12"/>
        <v>23551920.930926427</v>
      </c>
      <c r="CD23" s="300">
        <v>5</v>
      </c>
      <c r="CE23" s="414">
        <f t="shared" si="14"/>
        <v>71271869.650004894</v>
      </c>
      <c r="CF23" s="414">
        <f t="shared" si="15"/>
        <v>75031997.790007696</v>
      </c>
      <c r="CG23" s="414">
        <f t="shared" si="16"/>
        <v>78492308.360018045</v>
      </c>
      <c r="CH23" s="414">
        <f t="shared" si="17"/>
        <v>82854285.720021442</v>
      </c>
      <c r="CI23" s="416">
        <f t="shared" si="18"/>
        <v>307650461.52005208</v>
      </c>
      <c r="CJ23" s="414">
        <f t="shared" si="19"/>
        <v>54645075.74267859</v>
      </c>
      <c r="CK23" s="414">
        <f t="shared" si="20"/>
        <v>45894629.240386769</v>
      </c>
      <c r="CL23" s="414">
        <f t="shared" si="21"/>
        <v>51779927.663349867</v>
      </c>
      <c r="CM23" s="414">
        <f t="shared" si="22"/>
        <v>52501824.229288436</v>
      </c>
      <c r="CN23" s="416">
        <f t="shared" si="23"/>
        <v>204821456.87570366</v>
      </c>
      <c r="CO23" s="414">
        <f t="shared" si="24"/>
        <v>125916945.39268348</v>
      </c>
      <c r="CP23" s="414">
        <f t="shared" si="25"/>
        <v>120926627.03039448</v>
      </c>
      <c r="CQ23" s="414">
        <f t="shared" si="26"/>
        <v>130272236.02336791</v>
      </c>
      <c r="CR23" s="414">
        <f t="shared" si="27"/>
        <v>135356109.94930989</v>
      </c>
      <c r="CS23" s="416">
        <f t="shared" si="28"/>
        <v>512471918.39575571</v>
      </c>
      <c r="CT23" s="319"/>
      <c r="CV23" s="319"/>
      <c r="CX23" s="319"/>
    </row>
    <row r="24" spans="1:131" ht="15.75" customHeight="1">
      <c r="A24" s="135" t="s">
        <v>1340</v>
      </c>
      <c r="B24" s="193"/>
      <c r="C24" s="178"/>
      <c r="D24" s="178"/>
      <c r="E24" s="178"/>
      <c r="F24" s="178"/>
      <c r="G24" s="178"/>
      <c r="H24" s="178"/>
      <c r="I24" s="178"/>
      <c r="J24" s="178"/>
      <c r="K24" s="381"/>
      <c r="L24" s="382"/>
      <c r="M24" s="178"/>
      <c r="N24" s="178"/>
      <c r="O24" s="178"/>
      <c r="P24" s="178"/>
      <c r="Q24" s="178"/>
      <c r="R24" s="178"/>
      <c r="S24" s="178"/>
      <c r="T24" s="178"/>
      <c r="U24" s="382"/>
      <c r="V24" s="193"/>
      <c r="W24" s="178"/>
      <c r="X24" s="178"/>
      <c r="Y24" s="178"/>
      <c r="Z24" s="178"/>
      <c r="AA24" s="178"/>
      <c r="AB24" s="178"/>
      <c r="AC24" s="178"/>
      <c r="AD24" s="178"/>
      <c r="AE24" s="381"/>
      <c r="AF24" s="382"/>
      <c r="AG24" s="178"/>
      <c r="AH24" s="178"/>
      <c r="AI24" s="178"/>
      <c r="AJ24" s="178"/>
      <c r="AK24" s="178"/>
      <c r="AL24" s="178"/>
      <c r="AM24" s="178"/>
      <c r="AN24" s="178"/>
      <c r="AO24" s="382"/>
      <c r="AP24" s="193"/>
      <c r="AQ24" s="178"/>
      <c r="AR24" s="178"/>
      <c r="AS24" s="178"/>
      <c r="AT24" s="178"/>
      <c r="AU24" s="178"/>
      <c r="AV24" s="178"/>
      <c r="AW24" s="178"/>
      <c r="AX24" s="178"/>
      <c r="AY24" s="381"/>
      <c r="AZ24" s="382"/>
      <c r="BA24" s="178"/>
      <c r="BB24" s="178"/>
      <c r="BC24" s="178"/>
      <c r="BD24" s="178"/>
      <c r="BE24" s="178"/>
      <c r="BF24" s="178"/>
      <c r="BG24" s="178"/>
      <c r="BH24" s="178"/>
      <c r="BI24" s="382"/>
      <c r="BJ24" s="193"/>
      <c r="BK24" s="178"/>
      <c r="BL24" s="178"/>
      <c r="BM24" s="178"/>
      <c r="BN24" s="178"/>
      <c r="BO24" s="178"/>
      <c r="BP24" s="178"/>
      <c r="BQ24" s="178"/>
      <c r="BR24" s="178"/>
      <c r="BS24" s="381"/>
      <c r="BT24" s="382"/>
      <c r="BU24" s="178"/>
      <c r="BV24" s="178"/>
      <c r="BW24" s="178"/>
      <c r="BX24" s="178"/>
      <c r="BY24" s="178"/>
      <c r="BZ24" s="178"/>
      <c r="CA24" s="178"/>
      <c r="CB24" s="178"/>
      <c r="CC24" s="382"/>
      <c r="CD24" s="193"/>
      <c r="CE24" s="178"/>
      <c r="CF24" s="178"/>
      <c r="CG24" s="178"/>
      <c r="CH24" s="178"/>
      <c r="CI24" s="419"/>
      <c r="CJ24" s="178"/>
      <c r="CK24" s="178"/>
      <c r="CL24" s="178"/>
      <c r="CM24" s="178"/>
      <c r="CN24" s="419"/>
      <c r="CO24" s="178"/>
      <c r="CP24" s="178"/>
      <c r="CQ24" s="178"/>
      <c r="CR24" s="178"/>
      <c r="CS24" s="419"/>
    </row>
    <row r="25" spans="1:131" ht="15.75" customHeight="1">
      <c r="A25" s="88" t="s">
        <v>181</v>
      </c>
      <c r="B25" s="300">
        <v>6</v>
      </c>
      <c r="C25" s="231"/>
      <c r="D25" s="231"/>
      <c r="E25" s="231"/>
      <c r="F25" s="231"/>
      <c r="G25" s="231"/>
      <c r="H25" s="231"/>
      <c r="I25" s="231"/>
      <c r="J25" s="231"/>
      <c r="K25" s="412">
        <f t="shared" ref="K25:K30" si="45">SUM(C25:J25)</f>
        <v>0</v>
      </c>
      <c r="L25" s="417"/>
      <c r="M25" s="231"/>
      <c r="N25" s="231"/>
      <c r="O25" s="231"/>
      <c r="P25" s="231"/>
      <c r="Q25" s="231"/>
      <c r="R25" s="231"/>
      <c r="S25" s="231"/>
      <c r="T25" s="414">
        <f t="shared" ref="T25:T30" si="46">SUM(L25:S25)</f>
        <v>0</v>
      </c>
      <c r="U25" s="415">
        <f t="shared" ref="U25:U30" si="47">SUM(K25,T25)</f>
        <v>0</v>
      </c>
      <c r="V25" s="300">
        <v>6</v>
      </c>
      <c r="W25" s="231"/>
      <c r="X25" s="231"/>
      <c r="Y25" s="231"/>
      <c r="Z25" s="231"/>
      <c r="AA25" s="231"/>
      <c r="AB25" s="231"/>
      <c r="AC25" s="231"/>
      <c r="AD25" s="231"/>
      <c r="AE25" s="412">
        <f t="shared" ref="AE25:AE30" si="48">SUM(W25:AD25)</f>
        <v>0</v>
      </c>
      <c r="AF25" s="417"/>
      <c r="AG25" s="231"/>
      <c r="AH25" s="231"/>
      <c r="AI25" s="231"/>
      <c r="AJ25" s="231"/>
      <c r="AK25" s="231"/>
      <c r="AL25" s="231"/>
      <c r="AM25" s="231"/>
      <c r="AN25" s="414">
        <f t="shared" ref="AN25:AN30" si="49">SUM(AF25:AM25)</f>
        <v>0</v>
      </c>
      <c r="AO25" s="415">
        <f t="shared" ref="AO25:AO30" si="50">SUM(AE25,AN25)</f>
        <v>0</v>
      </c>
      <c r="AP25" s="300">
        <v>6</v>
      </c>
      <c r="AQ25" s="231"/>
      <c r="AR25" s="231"/>
      <c r="AS25" s="231"/>
      <c r="AT25" s="231"/>
      <c r="AU25" s="231"/>
      <c r="AV25" s="231"/>
      <c r="AW25" s="231"/>
      <c r="AX25" s="231"/>
      <c r="AY25" s="412">
        <f t="shared" ref="AY25:AY30" si="51">SUM(AQ25:AX25)</f>
        <v>0</v>
      </c>
      <c r="AZ25" s="417"/>
      <c r="BA25" s="231"/>
      <c r="BB25" s="231"/>
      <c r="BC25" s="231"/>
      <c r="BD25" s="231"/>
      <c r="BE25" s="231"/>
      <c r="BF25" s="231"/>
      <c r="BG25" s="231"/>
      <c r="BH25" s="414">
        <f t="shared" ref="BH25:BH30" si="52">SUM(AZ25:BG25)</f>
        <v>0</v>
      </c>
      <c r="BI25" s="415">
        <f t="shared" ref="BI25:BI30" si="53">SUM(AY25,BH25)</f>
        <v>0</v>
      </c>
      <c r="BJ25" s="300">
        <v>6</v>
      </c>
      <c r="BK25" s="231">
        <v>30706.415863648988</v>
      </c>
      <c r="BL25" s="231">
        <v>315644.05935581261</v>
      </c>
      <c r="BM25" s="231">
        <v>31147.654334505278</v>
      </c>
      <c r="BN25" s="231">
        <v>314336.02174335666</v>
      </c>
      <c r="BO25" s="231">
        <v>29324.262819034178</v>
      </c>
      <c r="BP25" s="231">
        <v>312270.33929976058</v>
      </c>
      <c r="BQ25" s="231">
        <v>131436.43277080153</v>
      </c>
      <c r="BR25" s="231">
        <v>1328669.9846579239</v>
      </c>
      <c r="BS25" s="412">
        <f t="shared" ref="BS25:BS30" si="54">SUM(BK25:BR25)</f>
        <v>2493535.1708448436</v>
      </c>
      <c r="BT25" s="417"/>
      <c r="BU25" s="231"/>
      <c r="BV25" s="231"/>
      <c r="BW25" s="231"/>
      <c r="BX25" s="231"/>
      <c r="BY25" s="231"/>
      <c r="BZ25" s="231"/>
      <c r="CA25" s="231"/>
      <c r="CB25" s="414">
        <f t="shared" ref="CB25:CB30" si="55">SUM(BT25:CA25)</f>
        <v>0</v>
      </c>
      <c r="CC25" s="415">
        <f t="shared" ref="CC25:CC30" si="56">SUM(BS25,CB25)</f>
        <v>2493535.1708448436</v>
      </c>
      <c r="CD25" s="300">
        <v>6</v>
      </c>
      <c r="CE25" s="414">
        <f t="shared" ref="CE25:CE30" si="57">+C25+D25+W25+X25+AQ25+AR25+BK25+BL25</f>
        <v>346350.4752194616</v>
      </c>
      <c r="CF25" s="414">
        <f t="shared" ref="CF25:CF30" si="58">+E25+F25+Y25+Z25+AS25+AT25+BM25+BN25</f>
        <v>345483.67607786192</v>
      </c>
      <c r="CG25" s="414">
        <f t="shared" ref="CG25:CG30" si="59">+G25+H25+AA25+AB25+AU25+AV25+BO25+BP25</f>
        <v>341594.60211879475</v>
      </c>
      <c r="CH25" s="414">
        <f t="shared" ref="CH25:CH30" si="60">+I25+J25+AC25+AD25+AW25+AX25+BQ25+BR25</f>
        <v>1460106.4174287254</v>
      </c>
      <c r="CI25" s="416">
        <f t="shared" ref="CI25:CI30" si="61">SUM(K25,AE25,AY25,BS25)</f>
        <v>2493535.1708448436</v>
      </c>
      <c r="CJ25" s="414">
        <f t="shared" ref="CJ25:CJ30" si="62">L25+M25+AF25+AG25+AZ25+BA25+BT25+BU25</f>
        <v>0</v>
      </c>
      <c r="CK25" s="414">
        <f t="shared" ref="CK25:CK30" si="63">N25+O25+AH25+AI25+BB25+BC25+BV25+BW25</f>
        <v>0</v>
      </c>
      <c r="CL25" s="414">
        <f t="shared" ref="CL25:CL30" si="64">P25+Q25+AJ25+AK25+BD25+BE25+BX25+BY25</f>
        <v>0</v>
      </c>
      <c r="CM25" s="414">
        <f t="shared" ref="CM25:CM30" si="65">+R25+S25+AL25+AM25+BF25+BG25+BZ25+CA25</f>
        <v>0</v>
      </c>
      <c r="CN25" s="416">
        <f t="shared" ref="CN25:CN30" si="66">SUM(T25,AN25,BH25,CB25)</f>
        <v>0</v>
      </c>
      <c r="CO25" s="414">
        <f t="shared" ref="CO25:CO30" si="67">+C25+D25+L25+M25+W25+X25+AF25+AG25+AQ25+AR25+AZ25+BA25+BK25+BL25+BT25+BU25</f>
        <v>346350.4752194616</v>
      </c>
      <c r="CP25" s="414">
        <f t="shared" ref="CP25:CP30" si="68">+E25+F25+N25+O25+Y25+Z25+AH25+AI25+AS25+AT25+BB25+BC25+BM25+BN25+BV25+BW25</f>
        <v>345483.67607786192</v>
      </c>
      <c r="CQ25" s="414">
        <f t="shared" ref="CQ25:CQ30" si="69">+G25+H25+P25+Q25+AA25+AB25+AJ25+AK25+AU25+AV25+BD25+BE25+BO25+BP25+BX25+BY25</f>
        <v>341594.60211879475</v>
      </c>
      <c r="CR25" s="414">
        <f t="shared" ref="CR25:CR30" si="70">+I25+J25+R25+S25+AC25+AD25+AL25+AM25+AW25+AX25+BF25+BG25+BQ25+BR25+BZ25+CA25</f>
        <v>1460106.4174287254</v>
      </c>
      <c r="CS25" s="416">
        <f t="shared" ref="CS25:CS30" si="71">SUM(CC25,BI25,AO25,U25)</f>
        <v>2493535.1708448436</v>
      </c>
      <c r="CT25" s="319"/>
      <c r="CU25" s="319"/>
      <c r="CV25" s="319"/>
      <c r="CW25" s="319"/>
      <c r="CX25" s="319"/>
    </row>
    <row r="26" spans="1:131" ht="15.75" customHeight="1">
      <c r="A26" s="88" t="s">
        <v>183</v>
      </c>
      <c r="B26" s="300">
        <v>7</v>
      </c>
      <c r="C26" s="231"/>
      <c r="D26" s="231"/>
      <c r="E26" s="231"/>
      <c r="F26" s="231"/>
      <c r="G26" s="231"/>
      <c r="H26" s="231"/>
      <c r="I26" s="231"/>
      <c r="J26" s="231"/>
      <c r="K26" s="412">
        <f t="shared" si="45"/>
        <v>0</v>
      </c>
      <c r="L26" s="417"/>
      <c r="M26" s="231"/>
      <c r="N26" s="231"/>
      <c r="O26" s="231"/>
      <c r="P26" s="231"/>
      <c r="Q26" s="231"/>
      <c r="R26" s="231"/>
      <c r="S26" s="231"/>
      <c r="T26" s="414">
        <f t="shared" si="46"/>
        <v>0</v>
      </c>
      <c r="U26" s="415">
        <f t="shared" si="47"/>
        <v>0</v>
      </c>
      <c r="V26" s="300">
        <v>7</v>
      </c>
      <c r="W26" s="231"/>
      <c r="X26" s="231"/>
      <c r="Y26" s="231"/>
      <c r="Z26" s="231"/>
      <c r="AA26" s="231"/>
      <c r="AB26" s="231"/>
      <c r="AC26" s="231"/>
      <c r="AD26" s="231"/>
      <c r="AE26" s="412">
        <f t="shared" si="48"/>
        <v>0</v>
      </c>
      <c r="AF26" s="417"/>
      <c r="AG26" s="231"/>
      <c r="AH26" s="231"/>
      <c r="AI26" s="231"/>
      <c r="AJ26" s="231"/>
      <c r="AK26" s="231"/>
      <c r="AL26" s="231"/>
      <c r="AM26" s="231"/>
      <c r="AN26" s="414">
        <f t="shared" si="49"/>
        <v>0</v>
      </c>
      <c r="AO26" s="415">
        <f t="shared" si="50"/>
        <v>0</v>
      </c>
      <c r="AP26" s="300">
        <v>7</v>
      </c>
      <c r="AQ26" s="231"/>
      <c r="AR26" s="231"/>
      <c r="AS26" s="231"/>
      <c r="AT26" s="231"/>
      <c r="AU26" s="231"/>
      <c r="AV26" s="231"/>
      <c r="AW26" s="231"/>
      <c r="AX26" s="231"/>
      <c r="AY26" s="412">
        <f t="shared" si="51"/>
        <v>0</v>
      </c>
      <c r="AZ26" s="417"/>
      <c r="BA26" s="231"/>
      <c r="BB26" s="231"/>
      <c r="BC26" s="231"/>
      <c r="BD26" s="231"/>
      <c r="BE26" s="231"/>
      <c r="BF26" s="231"/>
      <c r="BG26" s="231"/>
      <c r="BH26" s="414">
        <f t="shared" si="52"/>
        <v>0</v>
      </c>
      <c r="BI26" s="415">
        <f t="shared" si="53"/>
        <v>0</v>
      </c>
      <c r="BJ26" s="300">
        <v>7</v>
      </c>
      <c r="BK26" s="231"/>
      <c r="BL26" s="231"/>
      <c r="BM26" s="231"/>
      <c r="BN26" s="231"/>
      <c r="BO26" s="231"/>
      <c r="BP26" s="231"/>
      <c r="BQ26" s="231"/>
      <c r="BR26" s="231"/>
      <c r="BS26" s="412">
        <f t="shared" si="54"/>
        <v>0</v>
      </c>
      <c r="BT26" s="417"/>
      <c r="BU26" s="231"/>
      <c r="BV26" s="231"/>
      <c r="BW26" s="231"/>
      <c r="BX26" s="231"/>
      <c r="BY26" s="231"/>
      <c r="BZ26" s="231"/>
      <c r="CA26" s="231"/>
      <c r="CB26" s="414">
        <f t="shared" si="55"/>
        <v>0</v>
      </c>
      <c r="CC26" s="415">
        <f t="shared" si="56"/>
        <v>0</v>
      </c>
      <c r="CD26" s="300">
        <v>7</v>
      </c>
      <c r="CE26" s="414">
        <f t="shared" si="57"/>
        <v>0</v>
      </c>
      <c r="CF26" s="414">
        <f t="shared" si="58"/>
        <v>0</v>
      </c>
      <c r="CG26" s="414">
        <f t="shared" si="59"/>
        <v>0</v>
      </c>
      <c r="CH26" s="414">
        <f t="shared" si="60"/>
        <v>0</v>
      </c>
      <c r="CI26" s="416">
        <f t="shared" si="61"/>
        <v>0</v>
      </c>
      <c r="CJ26" s="414">
        <f t="shared" si="62"/>
        <v>0</v>
      </c>
      <c r="CK26" s="414">
        <f t="shared" si="63"/>
        <v>0</v>
      </c>
      <c r="CL26" s="414">
        <f t="shared" si="64"/>
        <v>0</v>
      </c>
      <c r="CM26" s="414">
        <f t="shared" si="65"/>
        <v>0</v>
      </c>
      <c r="CN26" s="416">
        <f t="shared" si="66"/>
        <v>0</v>
      </c>
      <c r="CO26" s="414">
        <f t="shared" si="67"/>
        <v>0</v>
      </c>
      <c r="CP26" s="414">
        <f t="shared" si="68"/>
        <v>0</v>
      </c>
      <c r="CQ26" s="414">
        <f t="shared" si="69"/>
        <v>0</v>
      </c>
      <c r="CR26" s="414">
        <f t="shared" si="70"/>
        <v>0</v>
      </c>
      <c r="CS26" s="416">
        <f t="shared" si="71"/>
        <v>0</v>
      </c>
      <c r="CT26" s="319"/>
      <c r="CV26" s="319"/>
      <c r="CX26" s="319"/>
    </row>
    <row r="27" spans="1:131" ht="15.75" customHeight="1">
      <c r="A27" s="88" t="s">
        <v>185</v>
      </c>
      <c r="B27" s="300">
        <v>8</v>
      </c>
      <c r="C27" s="231"/>
      <c r="D27" s="231"/>
      <c r="E27" s="231"/>
      <c r="F27" s="231"/>
      <c r="G27" s="231"/>
      <c r="H27" s="231"/>
      <c r="I27" s="231"/>
      <c r="J27" s="231"/>
      <c r="K27" s="412">
        <f t="shared" si="45"/>
        <v>0</v>
      </c>
      <c r="L27" s="417"/>
      <c r="M27" s="231"/>
      <c r="N27" s="231"/>
      <c r="O27" s="231"/>
      <c r="P27" s="231"/>
      <c r="Q27" s="231"/>
      <c r="R27" s="231"/>
      <c r="S27" s="231"/>
      <c r="T27" s="414">
        <f t="shared" si="46"/>
        <v>0</v>
      </c>
      <c r="U27" s="415">
        <f t="shared" si="47"/>
        <v>0</v>
      </c>
      <c r="V27" s="300">
        <v>8</v>
      </c>
      <c r="W27" s="231"/>
      <c r="X27" s="231"/>
      <c r="Y27" s="231"/>
      <c r="Z27" s="231"/>
      <c r="AA27" s="231"/>
      <c r="AB27" s="231"/>
      <c r="AC27" s="231"/>
      <c r="AD27" s="231"/>
      <c r="AE27" s="412">
        <f t="shared" si="48"/>
        <v>0</v>
      </c>
      <c r="AF27" s="417"/>
      <c r="AG27" s="231"/>
      <c r="AH27" s="231"/>
      <c r="AI27" s="231"/>
      <c r="AJ27" s="231"/>
      <c r="AK27" s="231"/>
      <c r="AL27" s="231"/>
      <c r="AM27" s="231"/>
      <c r="AN27" s="414">
        <f t="shared" si="49"/>
        <v>0</v>
      </c>
      <c r="AO27" s="415">
        <f t="shared" si="50"/>
        <v>0</v>
      </c>
      <c r="AP27" s="300">
        <v>8</v>
      </c>
      <c r="AQ27" s="231"/>
      <c r="AR27" s="231"/>
      <c r="AS27" s="231"/>
      <c r="AT27" s="231"/>
      <c r="AU27" s="231"/>
      <c r="AV27" s="231"/>
      <c r="AW27" s="231"/>
      <c r="AX27" s="231"/>
      <c r="AY27" s="412">
        <f t="shared" si="51"/>
        <v>0</v>
      </c>
      <c r="AZ27" s="417"/>
      <c r="BA27" s="231"/>
      <c r="BB27" s="231"/>
      <c r="BC27" s="231"/>
      <c r="BD27" s="231"/>
      <c r="BE27" s="231"/>
      <c r="BF27" s="231"/>
      <c r="BG27" s="231"/>
      <c r="BH27" s="414">
        <f t="shared" si="52"/>
        <v>0</v>
      </c>
      <c r="BI27" s="415">
        <f t="shared" si="53"/>
        <v>0</v>
      </c>
      <c r="BJ27" s="300">
        <v>8</v>
      </c>
      <c r="BK27" s="231"/>
      <c r="BL27" s="231"/>
      <c r="BM27" s="231"/>
      <c r="BN27" s="231"/>
      <c r="BO27" s="231"/>
      <c r="BP27" s="231"/>
      <c r="BQ27" s="231"/>
      <c r="BR27" s="231"/>
      <c r="BS27" s="412">
        <f t="shared" si="54"/>
        <v>0</v>
      </c>
      <c r="BT27" s="417"/>
      <c r="BU27" s="231"/>
      <c r="BV27" s="231"/>
      <c r="BW27" s="231"/>
      <c r="BX27" s="231"/>
      <c r="BY27" s="231"/>
      <c r="BZ27" s="231"/>
      <c r="CA27" s="231"/>
      <c r="CB27" s="414">
        <f t="shared" si="55"/>
        <v>0</v>
      </c>
      <c r="CC27" s="415">
        <f t="shared" si="56"/>
        <v>0</v>
      </c>
      <c r="CD27" s="300">
        <v>8</v>
      </c>
      <c r="CE27" s="414">
        <f t="shared" si="57"/>
        <v>0</v>
      </c>
      <c r="CF27" s="414">
        <f t="shared" si="58"/>
        <v>0</v>
      </c>
      <c r="CG27" s="414">
        <f t="shared" si="59"/>
        <v>0</v>
      </c>
      <c r="CH27" s="414">
        <f t="shared" si="60"/>
        <v>0</v>
      </c>
      <c r="CI27" s="416">
        <f t="shared" si="61"/>
        <v>0</v>
      </c>
      <c r="CJ27" s="414">
        <f t="shared" si="62"/>
        <v>0</v>
      </c>
      <c r="CK27" s="414">
        <f t="shared" si="63"/>
        <v>0</v>
      </c>
      <c r="CL27" s="414">
        <f t="shared" si="64"/>
        <v>0</v>
      </c>
      <c r="CM27" s="414">
        <f t="shared" si="65"/>
        <v>0</v>
      </c>
      <c r="CN27" s="416">
        <f t="shared" si="66"/>
        <v>0</v>
      </c>
      <c r="CO27" s="414">
        <f t="shared" si="67"/>
        <v>0</v>
      </c>
      <c r="CP27" s="414">
        <f t="shared" si="68"/>
        <v>0</v>
      </c>
      <c r="CQ27" s="414">
        <f t="shared" si="69"/>
        <v>0</v>
      </c>
      <c r="CR27" s="414">
        <f t="shared" si="70"/>
        <v>0</v>
      </c>
      <c r="CS27" s="416">
        <f t="shared" si="71"/>
        <v>0</v>
      </c>
      <c r="CT27" s="319"/>
      <c r="CV27" s="319"/>
      <c r="CX27" s="319"/>
    </row>
    <row r="28" spans="1:131" ht="15.75" customHeight="1">
      <c r="A28" s="88" t="s">
        <v>187</v>
      </c>
      <c r="B28" s="300">
        <v>9</v>
      </c>
      <c r="C28" s="231"/>
      <c r="D28" s="231"/>
      <c r="E28" s="231"/>
      <c r="F28" s="231"/>
      <c r="G28" s="231"/>
      <c r="H28" s="231"/>
      <c r="I28" s="231"/>
      <c r="J28" s="231"/>
      <c r="K28" s="412">
        <f t="shared" si="45"/>
        <v>0</v>
      </c>
      <c r="L28" s="417"/>
      <c r="M28" s="231"/>
      <c r="N28" s="231"/>
      <c r="O28" s="231"/>
      <c r="P28" s="231"/>
      <c r="Q28" s="231"/>
      <c r="R28" s="231"/>
      <c r="S28" s="231"/>
      <c r="T28" s="414">
        <f t="shared" si="46"/>
        <v>0</v>
      </c>
      <c r="U28" s="415">
        <f t="shared" si="47"/>
        <v>0</v>
      </c>
      <c r="V28" s="300">
        <v>9</v>
      </c>
      <c r="W28" s="231"/>
      <c r="X28" s="231"/>
      <c r="Y28" s="231"/>
      <c r="Z28" s="231"/>
      <c r="AA28" s="231"/>
      <c r="AB28" s="231"/>
      <c r="AC28" s="231"/>
      <c r="AD28" s="231"/>
      <c r="AE28" s="412">
        <f t="shared" si="48"/>
        <v>0</v>
      </c>
      <c r="AF28" s="417"/>
      <c r="AG28" s="231"/>
      <c r="AH28" s="231"/>
      <c r="AI28" s="231"/>
      <c r="AJ28" s="231"/>
      <c r="AK28" s="231"/>
      <c r="AL28" s="231"/>
      <c r="AM28" s="231"/>
      <c r="AN28" s="414">
        <f t="shared" si="49"/>
        <v>0</v>
      </c>
      <c r="AO28" s="415">
        <f t="shared" si="50"/>
        <v>0</v>
      </c>
      <c r="AP28" s="300">
        <v>9</v>
      </c>
      <c r="AQ28" s="231"/>
      <c r="AR28" s="231"/>
      <c r="AS28" s="231"/>
      <c r="AT28" s="231"/>
      <c r="AU28" s="231"/>
      <c r="AV28" s="231"/>
      <c r="AW28" s="231"/>
      <c r="AX28" s="231"/>
      <c r="AY28" s="412">
        <f t="shared" si="51"/>
        <v>0</v>
      </c>
      <c r="AZ28" s="417"/>
      <c r="BA28" s="231"/>
      <c r="BB28" s="231"/>
      <c r="BC28" s="231"/>
      <c r="BD28" s="231"/>
      <c r="BE28" s="231"/>
      <c r="BF28" s="231"/>
      <c r="BG28" s="231"/>
      <c r="BH28" s="414">
        <f t="shared" si="52"/>
        <v>0</v>
      </c>
      <c r="BI28" s="415">
        <f t="shared" si="53"/>
        <v>0</v>
      </c>
      <c r="BJ28" s="300">
        <v>9</v>
      </c>
      <c r="BK28" s="231"/>
      <c r="BL28" s="231"/>
      <c r="BM28" s="231"/>
      <c r="BN28" s="231"/>
      <c r="BO28" s="231"/>
      <c r="BP28" s="231"/>
      <c r="BQ28" s="231"/>
      <c r="BR28" s="231"/>
      <c r="BS28" s="412">
        <f t="shared" si="54"/>
        <v>0</v>
      </c>
      <c r="BT28" s="417"/>
      <c r="BU28" s="231"/>
      <c r="BV28" s="231"/>
      <c r="BW28" s="231"/>
      <c r="BX28" s="231"/>
      <c r="BY28" s="231"/>
      <c r="BZ28" s="231"/>
      <c r="CA28" s="231"/>
      <c r="CB28" s="414">
        <f t="shared" si="55"/>
        <v>0</v>
      </c>
      <c r="CC28" s="415">
        <f t="shared" si="56"/>
        <v>0</v>
      </c>
      <c r="CD28" s="300">
        <v>9</v>
      </c>
      <c r="CE28" s="414">
        <f t="shared" si="57"/>
        <v>0</v>
      </c>
      <c r="CF28" s="414">
        <f t="shared" si="58"/>
        <v>0</v>
      </c>
      <c r="CG28" s="414">
        <f t="shared" si="59"/>
        <v>0</v>
      </c>
      <c r="CH28" s="414">
        <f t="shared" si="60"/>
        <v>0</v>
      </c>
      <c r="CI28" s="416">
        <f t="shared" si="61"/>
        <v>0</v>
      </c>
      <c r="CJ28" s="414">
        <f t="shared" si="62"/>
        <v>0</v>
      </c>
      <c r="CK28" s="414">
        <f t="shared" si="63"/>
        <v>0</v>
      </c>
      <c r="CL28" s="414">
        <f t="shared" si="64"/>
        <v>0</v>
      </c>
      <c r="CM28" s="414">
        <f t="shared" si="65"/>
        <v>0</v>
      </c>
      <c r="CN28" s="416">
        <f t="shared" si="66"/>
        <v>0</v>
      </c>
      <c r="CO28" s="414">
        <f t="shared" si="67"/>
        <v>0</v>
      </c>
      <c r="CP28" s="414">
        <f t="shared" si="68"/>
        <v>0</v>
      </c>
      <c r="CQ28" s="414">
        <f t="shared" si="69"/>
        <v>0</v>
      </c>
      <c r="CR28" s="414">
        <f t="shared" si="70"/>
        <v>0</v>
      </c>
      <c r="CS28" s="416">
        <f t="shared" si="71"/>
        <v>0</v>
      </c>
      <c r="CT28" s="319"/>
      <c r="CV28" s="319"/>
      <c r="CX28" s="319"/>
    </row>
    <row r="29" spans="1:131" ht="15.75" customHeight="1">
      <c r="A29" s="88" t="s">
        <v>189</v>
      </c>
      <c r="B29" s="300">
        <v>10</v>
      </c>
      <c r="C29" s="231">
        <v>0</v>
      </c>
      <c r="D29" s="231">
        <v>0</v>
      </c>
      <c r="E29" s="231">
        <v>0</v>
      </c>
      <c r="F29" s="231">
        <v>0</v>
      </c>
      <c r="G29" s="231">
        <v>0</v>
      </c>
      <c r="H29" s="231">
        <v>0</v>
      </c>
      <c r="I29" s="231">
        <v>0</v>
      </c>
      <c r="J29" s="231">
        <v>0</v>
      </c>
      <c r="K29" s="412">
        <f t="shared" si="45"/>
        <v>0</v>
      </c>
      <c r="L29" s="417">
        <v>0</v>
      </c>
      <c r="M29" s="231">
        <v>6.4959397260503924E-5</v>
      </c>
      <c r="N29" s="231">
        <v>0</v>
      </c>
      <c r="O29" s="231">
        <v>5.8791682231813442E-5</v>
      </c>
      <c r="P29" s="231">
        <v>0</v>
      </c>
      <c r="Q29" s="231">
        <v>6.4706416349051711E-5</v>
      </c>
      <c r="R29" s="231">
        <v>0</v>
      </c>
      <c r="S29" s="231">
        <v>6.4944976022483653E-5</v>
      </c>
      <c r="T29" s="414">
        <f t="shared" si="46"/>
        <v>2.5340247186385274E-4</v>
      </c>
      <c r="U29" s="415">
        <f t="shared" si="47"/>
        <v>2.5340247186385274E-4</v>
      </c>
      <c r="V29" s="300">
        <v>10</v>
      </c>
      <c r="W29" s="231">
        <v>0</v>
      </c>
      <c r="X29" s="231">
        <v>0</v>
      </c>
      <c r="Y29" s="231">
        <v>0</v>
      </c>
      <c r="Z29" s="231">
        <v>0</v>
      </c>
      <c r="AA29" s="231">
        <v>0</v>
      </c>
      <c r="AB29" s="231">
        <v>0</v>
      </c>
      <c r="AC29" s="231">
        <v>0</v>
      </c>
      <c r="AD29" s="231">
        <v>0</v>
      </c>
      <c r="AE29" s="412">
        <f t="shared" si="48"/>
        <v>0</v>
      </c>
      <c r="AF29" s="417">
        <v>0</v>
      </c>
      <c r="AG29" s="231">
        <v>1.9500973549956126E-5</v>
      </c>
      <c r="AH29" s="231">
        <v>0</v>
      </c>
      <c r="AI29" s="231">
        <v>1.5859985882349579E-5</v>
      </c>
      <c r="AJ29" s="231">
        <v>0</v>
      </c>
      <c r="AK29" s="231">
        <v>1.6964331816087884E-5</v>
      </c>
      <c r="AL29" s="231">
        <v>0</v>
      </c>
      <c r="AM29" s="231">
        <v>1.6880482767092312E-5</v>
      </c>
      <c r="AN29" s="414">
        <f t="shared" si="49"/>
        <v>6.92057740154859E-5</v>
      </c>
      <c r="AO29" s="415">
        <f t="shared" si="50"/>
        <v>6.92057740154859E-5</v>
      </c>
      <c r="AP29" s="300">
        <v>10</v>
      </c>
      <c r="AQ29" s="231">
        <v>0</v>
      </c>
      <c r="AR29" s="231">
        <v>0</v>
      </c>
      <c r="AS29" s="231">
        <v>0</v>
      </c>
      <c r="AT29" s="231">
        <v>0</v>
      </c>
      <c r="AU29" s="231">
        <v>0</v>
      </c>
      <c r="AV29" s="231">
        <v>0</v>
      </c>
      <c r="AW29" s="231">
        <v>0</v>
      </c>
      <c r="AX29" s="231">
        <v>0</v>
      </c>
      <c r="AY29" s="412">
        <f t="shared" si="51"/>
        <v>0</v>
      </c>
      <c r="AZ29" s="417">
        <v>0</v>
      </c>
      <c r="BA29" s="231">
        <v>4.8491733851238058E-4</v>
      </c>
      <c r="BB29" s="231">
        <v>0</v>
      </c>
      <c r="BC29" s="231">
        <v>4.0032579048936666E-4</v>
      </c>
      <c r="BD29" s="231">
        <v>0</v>
      </c>
      <c r="BE29" s="231">
        <v>4.5996141810594157E-4</v>
      </c>
      <c r="BF29" s="231">
        <v>0</v>
      </c>
      <c r="BG29" s="231">
        <v>4.6746321160468716E-4</v>
      </c>
      <c r="BH29" s="414">
        <f t="shared" si="52"/>
        <v>1.8126677587123759E-3</v>
      </c>
      <c r="BI29" s="415">
        <f t="shared" si="53"/>
        <v>1.8126677587123759E-3</v>
      </c>
      <c r="BJ29" s="300">
        <v>10</v>
      </c>
      <c r="BK29" s="231">
        <v>0</v>
      </c>
      <c r="BL29" s="231">
        <v>0</v>
      </c>
      <c r="BM29" s="231">
        <v>0</v>
      </c>
      <c r="BN29" s="231">
        <v>0</v>
      </c>
      <c r="BO29" s="231">
        <v>0</v>
      </c>
      <c r="BP29" s="231">
        <v>0</v>
      </c>
      <c r="BQ29" s="231">
        <v>0</v>
      </c>
      <c r="BR29" s="231">
        <v>0</v>
      </c>
      <c r="BS29" s="412">
        <f t="shared" si="54"/>
        <v>0</v>
      </c>
      <c r="BT29" s="417">
        <v>0</v>
      </c>
      <c r="BU29" s="231">
        <v>1.7929058782459512E-5</v>
      </c>
      <c r="BV29" s="231">
        <v>0</v>
      </c>
      <c r="BW29" s="231">
        <v>1.542510569462865E-5</v>
      </c>
      <c r="BX29" s="231">
        <v>0</v>
      </c>
      <c r="BY29" s="231">
        <v>1.7105100762224031E-5</v>
      </c>
      <c r="BZ29" s="231">
        <v>0</v>
      </c>
      <c r="CA29" s="231">
        <v>1.9798341633447984E-5</v>
      </c>
      <c r="CB29" s="414">
        <f t="shared" si="55"/>
        <v>7.0257606872760177E-5</v>
      </c>
      <c r="CC29" s="415">
        <f t="shared" si="56"/>
        <v>7.0257606872760177E-5</v>
      </c>
      <c r="CD29" s="300">
        <v>10</v>
      </c>
      <c r="CE29" s="414">
        <f t="shared" si="57"/>
        <v>0</v>
      </c>
      <c r="CF29" s="414">
        <f t="shared" si="58"/>
        <v>0</v>
      </c>
      <c r="CG29" s="414">
        <f t="shared" si="59"/>
        <v>0</v>
      </c>
      <c r="CH29" s="414">
        <f t="shared" si="60"/>
        <v>0</v>
      </c>
      <c r="CI29" s="416">
        <f t="shared" si="61"/>
        <v>0</v>
      </c>
      <c r="CJ29" s="414">
        <f t="shared" si="62"/>
        <v>5.8730676810530018E-4</v>
      </c>
      <c r="CK29" s="414">
        <f t="shared" si="63"/>
        <v>4.9040256429815836E-4</v>
      </c>
      <c r="CL29" s="414">
        <f t="shared" si="64"/>
        <v>5.587372670333051E-4</v>
      </c>
      <c r="CM29" s="414">
        <f t="shared" si="65"/>
        <v>5.690870120277111E-4</v>
      </c>
      <c r="CN29" s="416">
        <f t="shared" si="66"/>
        <v>2.2055336114644745E-3</v>
      </c>
      <c r="CO29" s="414">
        <f t="shared" si="67"/>
        <v>5.8730676810530018E-4</v>
      </c>
      <c r="CP29" s="414">
        <f t="shared" si="68"/>
        <v>4.9040256429815836E-4</v>
      </c>
      <c r="CQ29" s="414">
        <f t="shared" si="69"/>
        <v>5.587372670333051E-4</v>
      </c>
      <c r="CR29" s="414">
        <f t="shared" si="70"/>
        <v>5.690870120277111E-4</v>
      </c>
      <c r="CS29" s="416">
        <f t="shared" si="71"/>
        <v>2.2055336114644749E-3</v>
      </c>
      <c r="CT29" s="319"/>
      <c r="CV29" s="319"/>
      <c r="CX29" s="319"/>
    </row>
    <row r="30" spans="1:131" ht="15.75" customHeight="1">
      <c r="A30" s="135" t="s">
        <v>191</v>
      </c>
      <c r="B30" s="300">
        <v>11</v>
      </c>
      <c r="C30" s="137">
        <f t="shared" ref="C30:J30" si="72">SUM(C25:C29)</f>
        <v>0</v>
      </c>
      <c r="D30" s="137">
        <f t="shared" si="72"/>
        <v>0</v>
      </c>
      <c r="E30" s="137">
        <f t="shared" si="72"/>
        <v>0</v>
      </c>
      <c r="F30" s="137">
        <f t="shared" si="72"/>
        <v>0</v>
      </c>
      <c r="G30" s="137">
        <f t="shared" si="72"/>
        <v>0</v>
      </c>
      <c r="H30" s="137">
        <f t="shared" si="72"/>
        <v>0</v>
      </c>
      <c r="I30" s="137">
        <f t="shared" si="72"/>
        <v>0</v>
      </c>
      <c r="J30" s="137">
        <f t="shared" si="72"/>
        <v>0</v>
      </c>
      <c r="K30" s="412">
        <f t="shared" si="45"/>
        <v>0</v>
      </c>
      <c r="L30" s="217">
        <f t="shared" ref="L30:S30" si="73">SUM(L25:L29)</f>
        <v>0</v>
      </c>
      <c r="M30" s="137">
        <f t="shared" si="73"/>
        <v>6.4959397260503924E-5</v>
      </c>
      <c r="N30" s="137">
        <f t="shared" si="73"/>
        <v>0</v>
      </c>
      <c r="O30" s="137">
        <f t="shared" si="73"/>
        <v>5.8791682231813442E-5</v>
      </c>
      <c r="P30" s="137">
        <f t="shared" si="73"/>
        <v>0</v>
      </c>
      <c r="Q30" s="137">
        <f t="shared" si="73"/>
        <v>6.4706416349051711E-5</v>
      </c>
      <c r="R30" s="137">
        <f t="shared" si="73"/>
        <v>0</v>
      </c>
      <c r="S30" s="137">
        <f t="shared" si="73"/>
        <v>6.4944976022483653E-5</v>
      </c>
      <c r="T30" s="414">
        <f t="shared" si="46"/>
        <v>2.5340247186385274E-4</v>
      </c>
      <c r="U30" s="415">
        <f t="shared" si="47"/>
        <v>2.5340247186385274E-4</v>
      </c>
      <c r="V30" s="300">
        <v>11</v>
      </c>
      <c r="W30" s="137">
        <f t="shared" ref="W30:AD30" si="74">SUM(W25:W29)</f>
        <v>0</v>
      </c>
      <c r="X30" s="137">
        <f t="shared" si="74"/>
        <v>0</v>
      </c>
      <c r="Y30" s="137">
        <f t="shared" si="74"/>
        <v>0</v>
      </c>
      <c r="Z30" s="137">
        <f t="shared" si="74"/>
        <v>0</v>
      </c>
      <c r="AA30" s="137">
        <f t="shared" si="74"/>
        <v>0</v>
      </c>
      <c r="AB30" s="137">
        <f t="shared" si="74"/>
        <v>0</v>
      </c>
      <c r="AC30" s="137">
        <f t="shared" si="74"/>
        <v>0</v>
      </c>
      <c r="AD30" s="137">
        <f t="shared" si="74"/>
        <v>0</v>
      </c>
      <c r="AE30" s="412">
        <f t="shared" si="48"/>
        <v>0</v>
      </c>
      <c r="AF30" s="217">
        <f t="shared" ref="AF30:AM30" si="75">SUM(AF25:AF29)</f>
        <v>0</v>
      </c>
      <c r="AG30" s="137">
        <f t="shared" si="75"/>
        <v>1.9500973549956126E-5</v>
      </c>
      <c r="AH30" s="137">
        <f t="shared" si="75"/>
        <v>0</v>
      </c>
      <c r="AI30" s="137">
        <f t="shared" si="75"/>
        <v>1.5859985882349579E-5</v>
      </c>
      <c r="AJ30" s="137">
        <f t="shared" si="75"/>
        <v>0</v>
      </c>
      <c r="AK30" s="137">
        <f t="shared" si="75"/>
        <v>1.6964331816087884E-5</v>
      </c>
      <c r="AL30" s="137">
        <f t="shared" si="75"/>
        <v>0</v>
      </c>
      <c r="AM30" s="137">
        <f t="shared" si="75"/>
        <v>1.6880482767092312E-5</v>
      </c>
      <c r="AN30" s="414">
        <f t="shared" si="49"/>
        <v>6.92057740154859E-5</v>
      </c>
      <c r="AO30" s="415">
        <f t="shared" si="50"/>
        <v>6.92057740154859E-5</v>
      </c>
      <c r="AP30" s="300">
        <v>11</v>
      </c>
      <c r="AQ30" s="137">
        <f t="shared" ref="AQ30:AX30" si="76">SUM(AQ25:AQ29)</f>
        <v>0</v>
      </c>
      <c r="AR30" s="137">
        <f t="shared" si="76"/>
        <v>0</v>
      </c>
      <c r="AS30" s="137">
        <f t="shared" si="76"/>
        <v>0</v>
      </c>
      <c r="AT30" s="137">
        <f t="shared" si="76"/>
        <v>0</v>
      </c>
      <c r="AU30" s="137">
        <f t="shared" si="76"/>
        <v>0</v>
      </c>
      <c r="AV30" s="137">
        <f t="shared" si="76"/>
        <v>0</v>
      </c>
      <c r="AW30" s="137">
        <f t="shared" si="76"/>
        <v>0</v>
      </c>
      <c r="AX30" s="137">
        <f t="shared" si="76"/>
        <v>0</v>
      </c>
      <c r="AY30" s="412">
        <f t="shared" si="51"/>
        <v>0</v>
      </c>
      <c r="AZ30" s="217">
        <f t="shared" ref="AZ30:BG30" si="77">SUM(AZ25:AZ29)</f>
        <v>0</v>
      </c>
      <c r="BA30" s="137">
        <f t="shared" si="77"/>
        <v>4.8491733851238058E-4</v>
      </c>
      <c r="BB30" s="137">
        <f t="shared" si="77"/>
        <v>0</v>
      </c>
      <c r="BC30" s="137">
        <f t="shared" si="77"/>
        <v>4.0032579048936666E-4</v>
      </c>
      <c r="BD30" s="137">
        <f t="shared" si="77"/>
        <v>0</v>
      </c>
      <c r="BE30" s="137">
        <f t="shared" si="77"/>
        <v>4.5996141810594157E-4</v>
      </c>
      <c r="BF30" s="137">
        <f t="shared" si="77"/>
        <v>0</v>
      </c>
      <c r="BG30" s="137">
        <f t="shared" si="77"/>
        <v>4.6746321160468716E-4</v>
      </c>
      <c r="BH30" s="414">
        <f t="shared" si="52"/>
        <v>1.8126677587123759E-3</v>
      </c>
      <c r="BI30" s="415">
        <f t="shared" si="53"/>
        <v>1.8126677587123759E-3</v>
      </c>
      <c r="BJ30" s="300">
        <v>11</v>
      </c>
      <c r="BK30" s="137">
        <f t="shared" ref="BK30:BR30" si="78">SUM(BK25:BK29)</f>
        <v>30706.415863648988</v>
      </c>
      <c r="BL30" s="137">
        <f t="shared" si="78"/>
        <v>315644.05935581261</v>
      </c>
      <c r="BM30" s="137">
        <f t="shared" si="78"/>
        <v>31147.654334505278</v>
      </c>
      <c r="BN30" s="137">
        <f t="shared" si="78"/>
        <v>314336.02174335666</v>
      </c>
      <c r="BO30" s="137">
        <f t="shared" si="78"/>
        <v>29324.262819034178</v>
      </c>
      <c r="BP30" s="137">
        <f t="shared" si="78"/>
        <v>312270.33929976058</v>
      </c>
      <c r="BQ30" s="137">
        <f t="shared" si="78"/>
        <v>131436.43277080153</v>
      </c>
      <c r="BR30" s="137">
        <f t="shared" si="78"/>
        <v>1328669.9846579239</v>
      </c>
      <c r="BS30" s="412">
        <f t="shared" si="54"/>
        <v>2493535.1708448436</v>
      </c>
      <c r="BT30" s="217">
        <f t="shared" ref="BT30:CA30" si="79">SUM(BT25:BT29)</f>
        <v>0</v>
      </c>
      <c r="BU30" s="137">
        <f t="shared" si="79"/>
        <v>1.7929058782459512E-5</v>
      </c>
      <c r="BV30" s="137">
        <f t="shared" si="79"/>
        <v>0</v>
      </c>
      <c r="BW30" s="137">
        <f t="shared" si="79"/>
        <v>1.542510569462865E-5</v>
      </c>
      <c r="BX30" s="137">
        <f t="shared" si="79"/>
        <v>0</v>
      </c>
      <c r="BY30" s="137">
        <f t="shared" si="79"/>
        <v>1.7105100762224031E-5</v>
      </c>
      <c r="BZ30" s="137">
        <f t="shared" si="79"/>
        <v>0</v>
      </c>
      <c r="CA30" s="137">
        <f t="shared" si="79"/>
        <v>1.9798341633447984E-5</v>
      </c>
      <c r="CB30" s="414">
        <f t="shared" si="55"/>
        <v>7.0257606872760177E-5</v>
      </c>
      <c r="CC30" s="415">
        <f t="shared" si="56"/>
        <v>2493535.1709151012</v>
      </c>
      <c r="CD30" s="300">
        <v>11</v>
      </c>
      <c r="CE30" s="414">
        <f t="shared" si="57"/>
        <v>346350.4752194616</v>
      </c>
      <c r="CF30" s="414">
        <f t="shared" si="58"/>
        <v>345483.67607786192</v>
      </c>
      <c r="CG30" s="414">
        <f t="shared" si="59"/>
        <v>341594.60211879475</v>
      </c>
      <c r="CH30" s="414">
        <f t="shared" si="60"/>
        <v>1460106.4174287254</v>
      </c>
      <c r="CI30" s="416">
        <f t="shared" si="61"/>
        <v>2493535.1708448436</v>
      </c>
      <c r="CJ30" s="414">
        <f t="shared" si="62"/>
        <v>5.8730676810530018E-4</v>
      </c>
      <c r="CK30" s="414">
        <f t="shared" si="63"/>
        <v>4.9040256429815836E-4</v>
      </c>
      <c r="CL30" s="414">
        <f t="shared" si="64"/>
        <v>5.587372670333051E-4</v>
      </c>
      <c r="CM30" s="414">
        <f t="shared" si="65"/>
        <v>5.690870120277111E-4</v>
      </c>
      <c r="CN30" s="416">
        <f t="shared" si="66"/>
        <v>2.2055336114644745E-3</v>
      </c>
      <c r="CO30" s="414">
        <f t="shared" si="67"/>
        <v>346350.4758067684</v>
      </c>
      <c r="CP30" s="414">
        <f t="shared" si="68"/>
        <v>345483.67656826449</v>
      </c>
      <c r="CQ30" s="414">
        <f t="shared" si="69"/>
        <v>341594.60267753201</v>
      </c>
      <c r="CR30" s="414">
        <f t="shared" si="70"/>
        <v>1460106.4179978124</v>
      </c>
      <c r="CS30" s="416">
        <f t="shared" si="71"/>
        <v>2493535.1730503771</v>
      </c>
    </row>
    <row r="31" spans="1:131"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row>
    <row r="32" spans="1:131" s="14" customFormat="1" ht="15.75" customHeight="1">
      <c r="A32" s="16" t="s">
        <v>193</v>
      </c>
      <c r="B32" s="300">
        <v>12</v>
      </c>
      <c r="C32" s="216">
        <f t="shared" ref="C32:U32" si="80">C23+C30</f>
        <v>1150310.16000003</v>
      </c>
      <c r="D32" s="216">
        <f t="shared" si="80"/>
        <v>2182936.6300002402</v>
      </c>
      <c r="E32" s="216">
        <f t="shared" si="80"/>
        <v>1180549.3800000299</v>
      </c>
      <c r="F32" s="216">
        <f t="shared" si="80"/>
        <v>2261262.1300002602</v>
      </c>
      <c r="G32" s="216">
        <f t="shared" si="80"/>
        <v>1198554.91000004</v>
      </c>
      <c r="H32" s="216">
        <f t="shared" si="80"/>
        <v>2366909.6300002802</v>
      </c>
      <c r="I32" s="216">
        <f t="shared" si="80"/>
        <v>1254802.5100000401</v>
      </c>
      <c r="J32" s="216">
        <f t="shared" si="80"/>
        <v>2384815.89000028</v>
      </c>
      <c r="K32" s="221">
        <f t="shared" si="80"/>
        <v>13980141.2400012</v>
      </c>
      <c r="L32" s="218">
        <f t="shared" si="80"/>
        <v>0</v>
      </c>
      <c r="M32" s="216">
        <f t="shared" si="80"/>
        <v>5644882.3366298573</v>
      </c>
      <c r="N32" s="216">
        <f t="shared" si="80"/>
        <v>0</v>
      </c>
      <c r="O32" s="216">
        <f t="shared" si="80"/>
        <v>5289291.7899021897</v>
      </c>
      <c r="P32" s="216">
        <f t="shared" si="80"/>
        <v>0</v>
      </c>
      <c r="Q32" s="216">
        <f t="shared" si="80"/>
        <v>5953591.5196036296</v>
      </c>
      <c r="R32" s="216">
        <f t="shared" si="80"/>
        <v>0</v>
      </c>
      <c r="S32" s="216">
        <f t="shared" si="80"/>
        <v>6048133.900655915</v>
      </c>
      <c r="T32" s="219">
        <f t="shared" si="80"/>
        <v>22935899.546791591</v>
      </c>
      <c r="U32" s="218">
        <f t="shared" si="80"/>
        <v>36916040.786792792</v>
      </c>
      <c r="V32" s="300">
        <v>12</v>
      </c>
      <c r="W32" s="216">
        <f t="shared" ref="W32:AO32" si="81">W23+W30</f>
        <v>175913.24</v>
      </c>
      <c r="X32" s="216">
        <f t="shared" si="81"/>
        <v>994432.38000001898</v>
      </c>
      <c r="Y32" s="216">
        <f t="shared" si="81"/>
        <v>182877.91</v>
      </c>
      <c r="Z32" s="216">
        <f t="shared" si="81"/>
        <v>947873.12000001804</v>
      </c>
      <c r="AA32" s="216">
        <f t="shared" si="81"/>
        <v>170453.61</v>
      </c>
      <c r="AB32" s="216">
        <f t="shared" si="81"/>
        <v>967860.44000001904</v>
      </c>
      <c r="AC32" s="216">
        <f t="shared" si="81"/>
        <v>182047.53</v>
      </c>
      <c r="AD32" s="216">
        <f t="shared" si="81"/>
        <v>988270.23000001896</v>
      </c>
      <c r="AE32" s="221">
        <f t="shared" si="81"/>
        <v>4609728.4600000745</v>
      </c>
      <c r="AF32" s="218">
        <f t="shared" si="81"/>
        <v>0</v>
      </c>
      <c r="AG32" s="216">
        <f t="shared" si="81"/>
        <v>1805794.5769303238</v>
      </c>
      <c r="AH32" s="216">
        <f t="shared" si="81"/>
        <v>0</v>
      </c>
      <c r="AI32" s="216">
        <f t="shared" si="81"/>
        <v>1428919.2405448512</v>
      </c>
      <c r="AJ32" s="216">
        <f t="shared" si="81"/>
        <v>0</v>
      </c>
      <c r="AK32" s="216">
        <f t="shared" si="81"/>
        <v>1542070.7671174565</v>
      </c>
      <c r="AL32" s="216">
        <f t="shared" si="81"/>
        <v>0</v>
      </c>
      <c r="AM32" s="216">
        <f t="shared" si="81"/>
        <v>1538252.6473082351</v>
      </c>
      <c r="AN32" s="219">
        <f t="shared" si="81"/>
        <v>6315037.2319008671</v>
      </c>
      <c r="AO32" s="218">
        <f t="shared" si="81"/>
        <v>10924765.691900942</v>
      </c>
      <c r="AP32" s="300">
        <v>12</v>
      </c>
      <c r="AQ32" s="216">
        <f t="shared" ref="AQ32:BI32" si="82">AQ23+AQ30</f>
        <v>19127721.649998199</v>
      </c>
      <c r="AR32" s="216">
        <f t="shared" si="82"/>
        <v>43146207.640006401</v>
      </c>
      <c r="AS32" s="216">
        <f t="shared" si="82"/>
        <v>20472758.959998</v>
      </c>
      <c r="AT32" s="216">
        <f t="shared" si="82"/>
        <v>45613689.0500094</v>
      </c>
      <c r="AU32" s="216">
        <f t="shared" si="82"/>
        <v>21616021.060000602</v>
      </c>
      <c r="AV32" s="216">
        <f t="shared" si="82"/>
        <v>48014921.9600171</v>
      </c>
      <c r="AW32" s="216">
        <f t="shared" si="82"/>
        <v>23461859.680001199</v>
      </c>
      <c r="AX32" s="216">
        <f t="shared" si="82"/>
        <v>50143961.830019899</v>
      </c>
      <c r="AY32" s="221">
        <f t="shared" si="82"/>
        <v>271597141.83005077</v>
      </c>
      <c r="AZ32" s="218">
        <f t="shared" si="82"/>
        <v>0</v>
      </c>
      <c r="BA32" s="216">
        <f t="shared" si="82"/>
        <v>45594141.552385367</v>
      </c>
      <c r="BB32" s="216">
        <f t="shared" si="82"/>
        <v>0</v>
      </c>
      <c r="BC32" s="216">
        <f t="shared" si="82"/>
        <v>37843653.302228808</v>
      </c>
      <c r="BD32" s="216">
        <f t="shared" si="82"/>
        <v>0</v>
      </c>
      <c r="BE32" s="216">
        <f t="shared" si="82"/>
        <v>42818645.759311318</v>
      </c>
      <c r="BF32" s="216">
        <f t="shared" si="82"/>
        <v>0</v>
      </c>
      <c r="BG32" s="216">
        <f t="shared" si="82"/>
        <v>43225608.544294573</v>
      </c>
      <c r="BH32" s="219">
        <f t="shared" si="82"/>
        <v>169482049.15822005</v>
      </c>
      <c r="BI32" s="218">
        <f t="shared" si="82"/>
        <v>441079190.98827088</v>
      </c>
      <c r="BJ32" s="300">
        <v>12</v>
      </c>
      <c r="BK32" s="216">
        <f t="shared" ref="BK32:CC32" si="83">BK23+BK30</f>
        <v>400332.77586364903</v>
      </c>
      <c r="BL32" s="216">
        <f t="shared" si="83"/>
        <v>4440365.649355812</v>
      </c>
      <c r="BM32" s="216">
        <f t="shared" si="83"/>
        <v>391391.28433450533</v>
      </c>
      <c r="BN32" s="216">
        <f t="shared" si="83"/>
        <v>4327079.6317433566</v>
      </c>
      <c r="BO32" s="216">
        <f t="shared" si="83"/>
        <v>349825.28281903418</v>
      </c>
      <c r="BP32" s="216">
        <f t="shared" si="83"/>
        <v>4149356.0692997621</v>
      </c>
      <c r="BQ32" s="216">
        <f t="shared" si="83"/>
        <v>492054.43277080159</v>
      </c>
      <c r="BR32" s="216">
        <f t="shared" si="83"/>
        <v>5406580.0346579244</v>
      </c>
      <c r="BS32" s="221">
        <f t="shared" si="83"/>
        <v>19956985.160844848</v>
      </c>
      <c r="BT32" s="218">
        <f t="shared" si="83"/>
        <v>0</v>
      </c>
      <c r="BU32" s="216">
        <f t="shared" si="83"/>
        <v>1600257.2773203508</v>
      </c>
      <c r="BV32" s="216">
        <f t="shared" si="83"/>
        <v>0</v>
      </c>
      <c r="BW32" s="216">
        <f t="shared" si="83"/>
        <v>1332764.9082013275</v>
      </c>
      <c r="BX32" s="216">
        <f t="shared" si="83"/>
        <v>0</v>
      </c>
      <c r="BY32" s="216">
        <f t="shared" si="83"/>
        <v>1465619.6178762</v>
      </c>
      <c r="BZ32" s="216">
        <f t="shared" si="83"/>
        <v>0</v>
      </c>
      <c r="CA32" s="216">
        <f t="shared" si="83"/>
        <v>1689829.1375988033</v>
      </c>
      <c r="CB32" s="219">
        <f t="shared" si="83"/>
        <v>6088470.9409966823</v>
      </c>
      <c r="CC32" s="218">
        <f t="shared" si="83"/>
        <v>26045456.101841528</v>
      </c>
      <c r="CD32" s="300">
        <v>12</v>
      </c>
      <c r="CE32" s="219">
        <f t="shared" ref="CE32:CH32" si="84">CE23+CE30</f>
        <v>71618220.125224352</v>
      </c>
      <c r="CF32" s="219">
        <f t="shared" si="84"/>
        <v>75377481.466085553</v>
      </c>
      <c r="CG32" s="219">
        <f t="shared" si="84"/>
        <v>78833902.962136835</v>
      </c>
      <c r="CH32" s="219">
        <f t="shared" si="84"/>
        <v>84314392.137450173</v>
      </c>
      <c r="CI32" s="216">
        <f>SUM(BS32,AY32,AE32,K32)</f>
        <v>310143996.69089693</v>
      </c>
      <c r="CJ32" s="219">
        <f t="shared" ref="CJ32:CM32" si="85">CJ23+CJ30</f>
        <v>54645075.743265897</v>
      </c>
      <c r="CK32" s="219">
        <f t="shared" si="85"/>
        <v>45894629.240877174</v>
      </c>
      <c r="CL32" s="219">
        <f t="shared" si="85"/>
        <v>51779927.663908601</v>
      </c>
      <c r="CM32" s="219">
        <f t="shared" si="85"/>
        <v>52501824.229857527</v>
      </c>
      <c r="CN32" s="216">
        <f>SUM(BX32,BD32,AJ32,P32)</f>
        <v>0</v>
      </c>
      <c r="CO32" s="219">
        <f t="shared" ref="CO32:CR32" si="86">CO23+CO30</f>
        <v>126263295.86849025</v>
      </c>
      <c r="CP32" s="219">
        <f t="shared" si="86"/>
        <v>121272110.70696275</v>
      </c>
      <c r="CQ32" s="219">
        <f t="shared" si="86"/>
        <v>130613830.62604545</v>
      </c>
      <c r="CR32" s="219">
        <f t="shared" si="86"/>
        <v>136816216.36730769</v>
      </c>
      <c r="CS32" s="216">
        <f>SUM(CC32,BI32,AO32,U32)</f>
        <v>514965453.56880617</v>
      </c>
      <c r="CT32" s="317"/>
      <c r="CU32" s="317"/>
      <c r="CV32" s="317"/>
      <c r="CW32" s="317"/>
      <c r="CX32" s="317"/>
      <c r="CY32" s="318"/>
      <c r="CZ32" s="318"/>
      <c r="DA32" s="318"/>
      <c r="DB32" s="318"/>
      <c r="DC32" s="318"/>
      <c r="DD32" s="318"/>
      <c r="DE32" s="318"/>
      <c r="DF32" s="318"/>
      <c r="DG32" s="318"/>
      <c r="DH32" s="318"/>
      <c r="DI32" s="318"/>
      <c r="DJ32" s="318"/>
      <c r="DK32" s="318"/>
      <c r="DL32" s="318"/>
      <c r="DM32" s="318"/>
      <c r="DN32" s="318"/>
      <c r="DO32" s="318"/>
      <c r="DP32" s="318"/>
      <c r="DQ32" s="318"/>
      <c r="DR32" s="318"/>
      <c r="DS32" s="318"/>
      <c r="DT32" s="318"/>
      <c r="DU32" s="318"/>
      <c r="DV32" s="318"/>
      <c r="DW32" s="318"/>
      <c r="DX32" s="318"/>
      <c r="DY32" s="318"/>
      <c r="DZ32" s="318"/>
      <c r="EA32" s="318"/>
    </row>
    <row r="33" spans="1:102" ht="15.75" customHeight="1">
      <c r="B33" s="193"/>
      <c r="C33" s="178"/>
      <c r="D33" s="178"/>
      <c r="E33" s="178"/>
      <c r="F33" s="178"/>
      <c r="G33" s="178"/>
      <c r="H33" s="178"/>
      <c r="I33" s="178"/>
      <c r="J33" s="178"/>
      <c r="K33" s="381"/>
      <c r="L33" s="382"/>
      <c r="M33" s="178"/>
      <c r="N33" s="178"/>
      <c r="O33" s="178"/>
      <c r="P33" s="178"/>
      <c r="Q33" s="178"/>
      <c r="R33" s="178"/>
      <c r="S33" s="178"/>
      <c r="T33" s="178"/>
      <c r="U33" s="382"/>
      <c r="V33" s="193"/>
      <c r="W33" s="178"/>
      <c r="X33" s="178"/>
      <c r="Y33" s="178"/>
      <c r="Z33" s="178"/>
      <c r="AA33" s="178"/>
      <c r="AB33" s="178"/>
      <c r="AC33" s="178"/>
      <c r="AD33" s="178"/>
      <c r="AE33" s="381"/>
      <c r="AF33" s="382"/>
      <c r="AG33" s="178"/>
      <c r="AH33" s="178"/>
      <c r="AI33" s="178"/>
      <c r="AJ33" s="178"/>
      <c r="AK33" s="178"/>
      <c r="AL33" s="178"/>
      <c r="AM33" s="178"/>
      <c r="AN33" s="178"/>
      <c r="AO33" s="382"/>
      <c r="AP33" s="193"/>
      <c r="AQ33" s="178"/>
      <c r="AR33" s="178"/>
      <c r="AS33" s="178"/>
      <c r="AT33" s="178"/>
      <c r="AU33" s="178"/>
      <c r="AV33" s="178"/>
      <c r="AW33" s="178"/>
      <c r="AX33" s="178"/>
      <c r="AY33" s="381"/>
      <c r="AZ33" s="382"/>
      <c r="BA33" s="178"/>
      <c r="BB33" s="178"/>
      <c r="BC33" s="178"/>
      <c r="BD33" s="178"/>
      <c r="BE33" s="178"/>
      <c r="BF33" s="178"/>
      <c r="BG33" s="178"/>
      <c r="BH33" s="178"/>
      <c r="BI33" s="382"/>
      <c r="BJ33" s="193"/>
      <c r="BK33" s="178"/>
      <c r="BL33" s="178"/>
      <c r="BM33" s="178"/>
      <c r="BN33" s="178"/>
      <c r="BO33" s="178"/>
      <c r="BP33" s="178"/>
      <c r="BQ33" s="178"/>
      <c r="BR33" s="178"/>
      <c r="BS33" s="381"/>
      <c r="BT33" s="382"/>
      <c r="BU33" s="178"/>
      <c r="BV33" s="178"/>
      <c r="BW33" s="178"/>
      <c r="BX33" s="178"/>
      <c r="BY33" s="178"/>
      <c r="BZ33" s="178"/>
      <c r="CA33" s="178"/>
      <c r="CB33" s="178"/>
      <c r="CC33" s="382"/>
      <c r="CD33" s="193"/>
      <c r="CE33" s="178"/>
      <c r="CF33" s="178"/>
      <c r="CG33" s="178"/>
      <c r="CH33" s="178"/>
      <c r="CI33" s="419"/>
      <c r="CJ33" s="178"/>
      <c r="CK33" s="178"/>
      <c r="CL33" s="178"/>
      <c r="CM33" s="178"/>
      <c r="CN33" s="419"/>
      <c r="CO33" s="178"/>
      <c r="CP33" s="178"/>
      <c r="CQ33" s="178"/>
      <c r="CR33" s="178"/>
      <c r="CS33" s="419"/>
      <c r="CT33" s="319"/>
      <c r="CU33" s="319"/>
      <c r="CV33" s="319"/>
      <c r="CW33" s="319"/>
      <c r="CX33" s="319"/>
    </row>
    <row r="34" spans="1:102"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2"/>
      <c r="V34" s="193"/>
      <c r="W34" s="178"/>
      <c r="X34" s="178"/>
      <c r="Y34" s="178"/>
      <c r="Z34" s="178"/>
      <c r="AA34" s="178"/>
      <c r="AB34" s="178"/>
      <c r="AC34" s="178"/>
      <c r="AD34" s="178"/>
      <c r="AE34" s="381"/>
      <c r="AF34" s="382"/>
      <c r="AG34" s="178"/>
      <c r="AH34" s="178"/>
      <c r="AI34" s="178"/>
      <c r="AJ34" s="178"/>
      <c r="AK34" s="178"/>
      <c r="AL34" s="178"/>
      <c r="AM34" s="178"/>
      <c r="AN34" s="178"/>
      <c r="AO34" s="382"/>
      <c r="AP34" s="193"/>
      <c r="AQ34" s="178"/>
      <c r="AR34" s="178"/>
      <c r="AS34" s="178"/>
      <c r="AT34" s="178"/>
      <c r="AU34" s="178"/>
      <c r="AV34" s="178"/>
      <c r="AW34" s="178"/>
      <c r="AX34" s="178"/>
      <c r="AY34" s="381"/>
      <c r="AZ34" s="382"/>
      <c r="BA34" s="178"/>
      <c r="BB34" s="178"/>
      <c r="BC34" s="178"/>
      <c r="BD34" s="178"/>
      <c r="BE34" s="178"/>
      <c r="BF34" s="178"/>
      <c r="BG34" s="178"/>
      <c r="BH34" s="178"/>
      <c r="BI34" s="382"/>
      <c r="BJ34" s="193"/>
      <c r="BK34" s="178"/>
      <c r="BL34" s="178"/>
      <c r="BM34" s="178"/>
      <c r="BN34" s="178"/>
      <c r="BO34" s="178"/>
      <c r="BP34" s="178"/>
      <c r="BQ34" s="178"/>
      <c r="BR34" s="178"/>
      <c r="BS34" s="381"/>
      <c r="BT34" s="382"/>
      <c r="BU34" s="178"/>
      <c r="BV34" s="178"/>
      <c r="BW34" s="178"/>
      <c r="BX34" s="178"/>
      <c r="BY34" s="178"/>
      <c r="BZ34" s="178"/>
      <c r="CA34" s="178"/>
      <c r="CB34" s="178"/>
      <c r="CC34" s="382"/>
      <c r="CD34" s="193"/>
      <c r="CE34" s="178"/>
      <c r="CF34" s="178"/>
      <c r="CG34" s="178"/>
      <c r="CH34" s="178"/>
      <c r="CI34" s="419"/>
      <c r="CJ34" s="178"/>
      <c r="CK34" s="178"/>
      <c r="CL34" s="178"/>
      <c r="CM34" s="178"/>
      <c r="CN34" s="419"/>
      <c r="CO34" s="178"/>
      <c r="CP34" s="178"/>
      <c r="CQ34" s="178"/>
      <c r="CR34" s="178"/>
      <c r="CS34" s="419"/>
      <c r="CT34" s="319"/>
      <c r="CV34" s="319"/>
      <c r="CX34" s="319"/>
    </row>
    <row r="35" spans="1:102" ht="15.75" customHeight="1">
      <c r="A35" s="88" t="s">
        <v>197</v>
      </c>
      <c r="B35" s="300">
        <v>13</v>
      </c>
      <c r="C35" s="231">
        <v>56765.30702309707</v>
      </c>
      <c r="D35" s="231">
        <v>66012.264373978469</v>
      </c>
      <c r="E35" s="231">
        <v>262389.19329617888</v>
      </c>
      <c r="F35" s="231">
        <v>108078.9581753786</v>
      </c>
      <c r="G35" s="231">
        <v>316439.76909207983</v>
      </c>
      <c r="H35" s="231">
        <v>64338.632919816802</v>
      </c>
      <c r="I35" s="231">
        <v>186149.77392711997</v>
      </c>
      <c r="J35" s="231">
        <v>25288.181787465735</v>
      </c>
      <c r="K35" s="412">
        <f t="shared" ref="K35:K64" si="87">SUM(C35:J35)</f>
        <v>1085462.0805951154</v>
      </c>
      <c r="L35" s="417">
        <v>0</v>
      </c>
      <c r="M35" s="231">
        <v>766008.98791731067</v>
      </c>
      <c r="N35" s="231">
        <v>0</v>
      </c>
      <c r="O35" s="231">
        <v>2335178.1450479454</v>
      </c>
      <c r="P35" s="231">
        <v>0</v>
      </c>
      <c r="Q35" s="231">
        <v>2003231.3492746789</v>
      </c>
      <c r="R35" s="231">
        <v>0</v>
      </c>
      <c r="S35" s="231">
        <v>1544306.7779799018</v>
      </c>
      <c r="T35" s="414">
        <f t="shared" ref="T35:T64" si="88">SUM(L35:S35)</f>
        <v>6648725.2602198366</v>
      </c>
      <c r="U35" s="415">
        <f t="shared" ref="U35:U64" si="89">SUM(T35,K35)</f>
        <v>7734187.3408149518</v>
      </c>
      <c r="V35" s="300">
        <v>13</v>
      </c>
      <c r="W35" s="231">
        <v>0</v>
      </c>
      <c r="X35" s="231">
        <v>12276.793077429398</v>
      </c>
      <c r="Y35" s="231">
        <v>0</v>
      </c>
      <c r="Z35" s="231">
        <v>6556.5906567338061</v>
      </c>
      <c r="AA35" s="231">
        <v>6699.8325070817937</v>
      </c>
      <c r="AB35" s="231">
        <v>8262.4483786455166</v>
      </c>
      <c r="AC35" s="231">
        <v>56887.895828262801</v>
      </c>
      <c r="AD35" s="231">
        <v>3315.4650916501109</v>
      </c>
      <c r="AE35" s="412">
        <f t="shared" ref="AE35:AE64" si="90">SUM(W35:AD35)</f>
        <v>93999.025539803435</v>
      </c>
      <c r="AF35" s="417">
        <v>0</v>
      </c>
      <c r="AG35" s="231">
        <v>251780.63277002299</v>
      </c>
      <c r="AH35" s="231">
        <v>0</v>
      </c>
      <c r="AI35" s="231">
        <v>183327.07712916192</v>
      </c>
      <c r="AJ35" s="231">
        <v>0</v>
      </c>
      <c r="AK35" s="231">
        <v>280790.15646112652</v>
      </c>
      <c r="AL35" s="231">
        <v>0</v>
      </c>
      <c r="AM35" s="231">
        <v>249426.47503924867</v>
      </c>
      <c r="AN35" s="414">
        <f t="shared" ref="AN35:AN64" si="91">SUM(AF35:AM35)</f>
        <v>965324.3413995601</v>
      </c>
      <c r="AO35" s="415">
        <f t="shared" ref="AO35:AO64" si="92">SUM(AN35,AE35)</f>
        <v>1059323.3669393635</v>
      </c>
      <c r="AP35" s="300">
        <v>13</v>
      </c>
      <c r="AQ35" s="231">
        <v>1708172.1674484729</v>
      </c>
      <c r="AR35" s="231">
        <v>515492.44066876109</v>
      </c>
      <c r="AS35" s="231">
        <v>788545.64422647469</v>
      </c>
      <c r="AT35" s="231">
        <v>463852.87481226632</v>
      </c>
      <c r="AU35" s="231">
        <v>1265262.5925940732</v>
      </c>
      <c r="AV35" s="231">
        <v>388297.8081168005</v>
      </c>
      <c r="AW35" s="231">
        <v>1795771.5184512362</v>
      </c>
      <c r="AX35" s="231">
        <v>347484.18551863119</v>
      </c>
      <c r="AY35" s="412">
        <f t="shared" ref="AY35:AY64" si="93">SUM(AQ35:AX35)</f>
        <v>7272879.2318367157</v>
      </c>
      <c r="AZ35" s="417">
        <v>0</v>
      </c>
      <c r="BA35" s="231">
        <v>7614389.3850541199</v>
      </c>
      <c r="BB35" s="231">
        <v>0</v>
      </c>
      <c r="BC35" s="231">
        <v>6461077.2512409082</v>
      </c>
      <c r="BD35" s="231">
        <v>0</v>
      </c>
      <c r="BE35" s="231">
        <v>7276740.2609647149</v>
      </c>
      <c r="BF35" s="231">
        <v>0</v>
      </c>
      <c r="BG35" s="231">
        <v>7939364.8071750514</v>
      </c>
      <c r="BH35" s="414">
        <f t="shared" ref="BH35:BH64" si="94">SUM(AZ35:BG35)</f>
        <v>29291571.704434793</v>
      </c>
      <c r="BI35" s="415">
        <f t="shared" ref="BI35:BI64" si="95">SUM(BH35,AY35)</f>
        <v>36564450.936271511</v>
      </c>
      <c r="BJ35" s="300">
        <v>13</v>
      </c>
      <c r="BK35" s="231">
        <v>74704.195870343552</v>
      </c>
      <c r="BL35" s="231">
        <v>42822.766338834052</v>
      </c>
      <c r="BM35" s="231">
        <v>48601.866303696988</v>
      </c>
      <c r="BN35" s="231">
        <v>26673.39925922942</v>
      </c>
      <c r="BO35" s="231">
        <v>8304.9903477632306</v>
      </c>
      <c r="BP35" s="231">
        <v>19120.298576034671</v>
      </c>
      <c r="BQ35" s="231">
        <v>61169.122177629877</v>
      </c>
      <c r="BR35" s="231">
        <v>14281.243990183893</v>
      </c>
      <c r="BS35" s="412">
        <f t="shared" ref="BS35:BS64" si="96">SUM(BK35:BR35)</f>
        <v>295677.8828637157</v>
      </c>
      <c r="BT35" s="417">
        <v>0</v>
      </c>
      <c r="BU35" s="231">
        <v>555157.07558752061</v>
      </c>
      <c r="BV35" s="231">
        <v>0</v>
      </c>
      <c r="BW35" s="231">
        <v>583645.33649539005</v>
      </c>
      <c r="BX35" s="231">
        <v>0</v>
      </c>
      <c r="BY35" s="231">
        <v>575566.09267095756</v>
      </c>
      <c r="BZ35" s="231">
        <v>0</v>
      </c>
      <c r="CA35" s="231">
        <v>694296.07580989273</v>
      </c>
      <c r="CB35" s="414">
        <f t="shared" ref="CB35:CB64" si="97">SUM(BT35:CA35)</f>
        <v>2408664.5805637608</v>
      </c>
      <c r="CC35" s="415">
        <f t="shared" ref="CC35:CC64" si="98">SUM(CB35,BS35)</f>
        <v>2704342.4634274766</v>
      </c>
      <c r="CD35" s="300">
        <v>13</v>
      </c>
      <c r="CE35" s="414">
        <f t="shared" ref="CE35:CE64" si="99">+C35+D35+W35+X35+AQ35+AR35+BK35+BL35</f>
        <v>2476245.9348009168</v>
      </c>
      <c r="CF35" s="414">
        <f t="shared" ref="CF35:CF64" si="100">+E35+F35+Y35+Z35+AS35+AT35+BM35+BN35</f>
        <v>1704698.5267299586</v>
      </c>
      <c r="CG35" s="414">
        <f t="shared" ref="CG35:CG64" si="101">+G35+H35+AA35+AB35+AU35+AV35+BO35+BP35</f>
        <v>2076726.3725322958</v>
      </c>
      <c r="CH35" s="414">
        <f t="shared" ref="CH35:CH64" si="102">+I35+J35+AC35+AD35+AW35+AX35+BQ35+BR35</f>
        <v>2490347.3867721795</v>
      </c>
      <c r="CI35" s="416">
        <f t="shared" ref="CI35:CI64" si="103">SUM(K35,AE35,AY35,BS35)</f>
        <v>8748018.2208353505</v>
      </c>
      <c r="CJ35" s="414">
        <f t="shared" ref="CJ35:CJ64" si="104">L35+M35+AF35+AG35+AZ35+BA35+BT35+BU35</f>
        <v>9187336.0813289732</v>
      </c>
      <c r="CK35" s="414">
        <f t="shared" ref="CK35:CK64" si="105">N35+O35+AH35+AI35+BB35+BC35+BV35+BW35</f>
        <v>9563227.8099134061</v>
      </c>
      <c r="CL35" s="414">
        <f t="shared" ref="CL35:CL64" si="106">P35+Q35+AJ35+AK35+BD35+BE35+BX35+BY35</f>
        <v>10136327.85937148</v>
      </c>
      <c r="CM35" s="414">
        <f t="shared" ref="CM35:CM64" si="107">+R35+S35+AL35+AM35+BF35+BG35+BZ35+CA35</f>
        <v>10427394.136004094</v>
      </c>
      <c r="CN35" s="416">
        <f t="shared" ref="CN35:CN64" si="108">SUM(T35,AN35,BH35,CB35)</f>
        <v>39314285.886617951</v>
      </c>
      <c r="CO35" s="414">
        <f t="shared" ref="CO35:CO64" si="109">+C35+D35+L35+M35+W35+X35+AF35+AG35+AQ35+AR35+AZ35+BA35+BK35+BL35+BT35+BU35</f>
        <v>11663582.01612989</v>
      </c>
      <c r="CP35" s="414">
        <f t="shared" ref="CP35:CP64" si="110">+E35+F35+N35+O35+Y35+Z35+AH35+AI35+AS35+AT35+BB35+BC35+BM35+BN35+BV35+BW35</f>
        <v>11267926.336643364</v>
      </c>
      <c r="CQ35" s="414">
        <f t="shared" ref="CQ35:CQ64" si="111">+G35+H35+P35+Q35+AA35+AB35+AJ35+AK35+AU35+AV35+BD35+BE35+BO35+BP35+BX35+BY35</f>
        <v>12213054.231903773</v>
      </c>
      <c r="CR35" s="414">
        <f t="shared" ref="CR35:CR64" si="112">+I35+J35+R35+S35+AC35+AD35+AL35+AM35+AW35+AX35+BF35+BG35+BQ35+BR35+BZ35+CA35</f>
        <v>12917741.522776274</v>
      </c>
      <c r="CS35" s="416">
        <f t="shared" ref="CS35:CS64" si="113">SUM(CC35,BI35,AO35,U35)</f>
        <v>48062304.107453302</v>
      </c>
      <c r="CT35" s="319"/>
      <c r="CV35" s="319"/>
      <c r="CX35" s="319"/>
    </row>
    <row r="36" spans="1:102" ht="15.75" customHeight="1">
      <c r="A36" s="88" t="s">
        <v>199</v>
      </c>
      <c r="B36" s="300">
        <v>14</v>
      </c>
      <c r="C36" s="231">
        <v>0</v>
      </c>
      <c r="D36" s="231">
        <v>5456.3524788575105</v>
      </c>
      <c r="E36" s="231">
        <v>30081.355429805335</v>
      </c>
      <c r="F36" s="231">
        <v>4900.5672645926279</v>
      </c>
      <c r="G36" s="231">
        <v>9689.317881942543</v>
      </c>
      <c r="H36" s="231">
        <v>0</v>
      </c>
      <c r="I36" s="231">
        <v>0</v>
      </c>
      <c r="J36" s="231">
        <v>0</v>
      </c>
      <c r="K36" s="412">
        <f t="shared" si="87"/>
        <v>50127.59305519802</v>
      </c>
      <c r="L36" s="417">
        <v>0</v>
      </c>
      <c r="M36" s="231">
        <v>79611.406663543297</v>
      </c>
      <c r="N36" s="231">
        <v>0</v>
      </c>
      <c r="O36" s="231">
        <v>83586.336994213809</v>
      </c>
      <c r="P36" s="231">
        <v>0</v>
      </c>
      <c r="Q36" s="231">
        <v>55999.813242074648</v>
      </c>
      <c r="R36" s="231">
        <v>0</v>
      </c>
      <c r="S36" s="231">
        <v>41163.619316029472</v>
      </c>
      <c r="T36" s="414">
        <f t="shared" si="88"/>
        <v>260361.17621586125</v>
      </c>
      <c r="U36" s="415">
        <f t="shared" si="89"/>
        <v>310488.76927105925</v>
      </c>
      <c r="V36" s="300">
        <v>14</v>
      </c>
      <c r="W36" s="231">
        <v>0</v>
      </c>
      <c r="X36" s="231">
        <v>2996.193553272929</v>
      </c>
      <c r="Y36" s="231">
        <v>0</v>
      </c>
      <c r="Z36" s="231">
        <v>1633.522421530876</v>
      </c>
      <c r="AA36" s="231">
        <v>0</v>
      </c>
      <c r="AB36" s="231">
        <v>0</v>
      </c>
      <c r="AC36" s="231">
        <v>11425.2308502051</v>
      </c>
      <c r="AD36" s="231">
        <v>0</v>
      </c>
      <c r="AE36" s="412">
        <f t="shared" si="90"/>
        <v>16054.946825008905</v>
      </c>
      <c r="AF36" s="417">
        <v>0</v>
      </c>
      <c r="AG36" s="231">
        <v>110196.71457052628</v>
      </c>
      <c r="AH36" s="231">
        <v>0</v>
      </c>
      <c r="AI36" s="231">
        <v>58346.203964886838</v>
      </c>
      <c r="AJ36" s="231">
        <v>0</v>
      </c>
      <c r="AK36" s="231">
        <v>0</v>
      </c>
      <c r="AL36" s="231">
        <v>0</v>
      </c>
      <c r="AM36" s="231">
        <v>72261.684206782316</v>
      </c>
      <c r="AN36" s="414">
        <f t="shared" si="91"/>
        <v>240804.60274219542</v>
      </c>
      <c r="AO36" s="415">
        <f t="shared" si="92"/>
        <v>256859.54956720432</v>
      </c>
      <c r="AP36" s="300">
        <v>14</v>
      </c>
      <c r="AQ36" s="231">
        <v>0</v>
      </c>
      <c r="AR36" s="231">
        <v>12544.810391273571</v>
      </c>
      <c r="AS36" s="231">
        <v>0</v>
      </c>
      <c r="AT36" s="231">
        <v>12384.291998159402</v>
      </c>
      <c r="AU36" s="231">
        <v>10715.832582080298</v>
      </c>
      <c r="AV36" s="231">
        <v>8200.8615166674081</v>
      </c>
      <c r="AW36" s="231">
        <v>0</v>
      </c>
      <c r="AX36" s="231">
        <v>4973.1976374751657</v>
      </c>
      <c r="AY36" s="412">
        <f t="shared" si="93"/>
        <v>48818.994125655845</v>
      </c>
      <c r="AZ36" s="417">
        <v>0</v>
      </c>
      <c r="BA36" s="231">
        <v>159943.5172072498</v>
      </c>
      <c r="BB36" s="231">
        <v>0</v>
      </c>
      <c r="BC36" s="231">
        <v>215321.29677956519</v>
      </c>
      <c r="BD36" s="231">
        <v>0</v>
      </c>
      <c r="BE36" s="231">
        <v>225410.38366198665</v>
      </c>
      <c r="BF36" s="231">
        <v>0</v>
      </c>
      <c r="BG36" s="231">
        <v>257680.37905971875</v>
      </c>
      <c r="BH36" s="414">
        <f t="shared" si="94"/>
        <v>858355.5767085203</v>
      </c>
      <c r="BI36" s="415">
        <f t="shared" si="95"/>
        <v>907174.57083417615</v>
      </c>
      <c r="BJ36" s="300">
        <v>14</v>
      </c>
      <c r="BK36" s="231">
        <v>0</v>
      </c>
      <c r="BL36" s="231">
        <v>1364.0881197143776</v>
      </c>
      <c r="BM36" s="231">
        <v>0</v>
      </c>
      <c r="BN36" s="231">
        <v>1633.522421530876</v>
      </c>
      <c r="BO36" s="231">
        <v>0</v>
      </c>
      <c r="BP36" s="231">
        <v>0</v>
      </c>
      <c r="BQ36" s="231">
        <v>12209.372880475057</v>
      </c>
      <c r="BR36" s="231">
        <v>0</v>
      </c>
      <c r="BS36" s="412">
        <f t="shared" si="96"/>
        <v>15206.98342172031</v>
      </c>
      <c r="BT36" s="417">
        <v>0</v>
      </c>
      <c r="BU36" s="231">
        <v>12063.145167145587</v>
      </c>
      <c r="BV36" s="231">
        <v>0</v>
      </c>
      <c r="BW36" s="231">
        <v>13598.704795727306</v>
      </c>
      <c r="BX36" s="231">
        <v>0</v>
      </c>
      <c r="BY36" s="231">
        <v>4783.8339891216119</v>
      </c>
      <c r="BZ36" s="231">
        <v>0</v>
      </c>
      <c r="CA36" s="231">
        <v>0</v>
      </c>
      <c r="CB36" s="414">
        <f t="shared" si="97"/>
        <v>30445.683951994506</v>
      </c>
      <c r="CC36" s="415">
        <f t="shared" si="98"/>
        <v>45652.667373714816</v>
      </c>
      <c r="CD36" s="300">
        <v>14</v>
      </c>
      <c r="CE36" s="414">
        <f t="shared" si="99"/>
        <v>22361.444543118389</v>
      </c>
      <c r="CF36" s="414">
        <f t="shared" si="100"/>
        <v>50633.259535619116</v>
      </c>
      <c r="CG36" s="414">
        <f t="shared" si="101"/>
        <v>28606.011980690251</v>
      </c>
      <c r="CH36" s="414">
        <f t="shared" si="102"/>
        <v>28607.801368155324</v>
      </c>
      <c r="CI36" s="416">
        <f t="shared" si="103"/>
        <v>130208.51742758308</v>
      </c>
      <c r="CJ36" s="414">
        <f t="shared" si="104"/>
        <v>361814.78360846493</v>
      </c>
      <c r="CK36" s="414">
        <f t="shared" si="105"/>
        <v>370852.5425343932</v>
      </c>
      <c r="CL36" s="414">
        <f t="shared" si="106"/>
        <v>286194.03089318291</v>
      </c>
      <c r="CM36" s="414">
        <f t="shared" si="107"/>
        <v>371105.68258253054</v>
      </c>
      <c r="CN36" s="416">
        <f t="shared" si="108"/>
        <v>1389967.0396185713</v>
      </c>
      <c r="CO36" s="414">
        <f t="shared" si="109"/>
        <v>384176.2281515834</v>
      </c>
      <c r="CP36" s="414">
        <f t="shared" si="110"/>
        <v>421485.80207001226</v>
      </c>
      <c r="CQ36" s="414">
        <f t="shared" si="111"/>
        <v>314800.04287387314</v>
      </c>
      <c r="CR36" s="414">
        <f t="shared" si="112"/>
        <v>399713.48395068588</v>
      </c>
      <c r="CS36" s="416">
        <f t="shared" si="113"/>
        <v>1520175.5570461545</v>
      </c>
      <c r="CT36" s="319"/>
      <c r="CV36" s="319"/>
      <c r="CX36" s="319"/>
    </row>
    <row r="37" spans="1:102" ht="15.75" customHeight="1">
      <c r="A37" s="88" t="s">
        <v>200</v>
      </c>
      <c r="B37" s="300">
        <v>15</v>
      </c>
      <c r="C37" s="231">
        <v>158184.00864310615</v>
      </c>
      <c r="D37" s="231">
        <v>216495.04551992231</v>
      </c>
      <c r="E37" s="231">
        <v>340970.82034476392</v>
      </c>
      <c r="F37" s="231">
        <v>181708.68011316954</v>
      </c>
      <c r="G37" s="231">
        <v>275305.5341341258</v>
      </c>
      <c r="H37" s="231">
        <v>245738.35304347094</v>
      </c>
      <c r="I37" s="231">
        <v>265531.15012864541</v>
      </c>
      <c r="J37" s="231">
        <v>58523.413539052781</v>
      </c>
      <c r="K37" s="412">
        <f t="shared" si="87"/>
        <v>1742457.0054662568</v>
      </c>
      <c r="L37" s="417">
        <v>0</v>
      </c>
      <c r="M37" s="231">
        <v>759149.02248362405</v>
      </c>
      <c r="N37" s="231">
        <v>0</v>
      </c>
      <c r="O37" s="231">
        <v>1473032.1368795529</v>
      </c>
      <c r="P37" s="231">
        <v>0</v>
      </c>
      <c r="Q37" s="231">
        <v>1328163.3369818837</v>
      </c>
      <c r="R37" s="231">
        <v>0</v>
      </c>
      <c r="S37" s="231">
        <v>1196391.8879703435</v>
      </c>
      <c r="T37" s="414">
        <f t="shared" si="88"/>
        <v>4756736.3843154041</v>
      </c>
      <c r="U37" s="415">
        <f t="shared" si="89"/>
        <v>6499193.3897816613</v>
      </c>
      <c r="V37" s="300">
        <v>15</v>
      </c>
      <c r="W37" s="231">
        <v>11324.061531235631</v>
      </c>
      <c r="X37" s="231">
        <v>61474.29122217089</v>
      </c>
      <c r="Y37" s="231">
        <v>2332.013405992338</v>
      </c>
      <c r="Z37" s="231">
        <v>20614.392344034481</v>
      </c>
      <c r="AA37" s="231">
        <v>16005.589261838537</v>
      </c>
      <c r="AB37" s="231">
        <v>38301.560909373402</v>
      </c>
      <c r="AC37" s="231">
        <v>27418.804888872201</v>
      </c>
      <c r="AD37" s="231">
        <v>11836.9112567599</v>
      </c>
      <c r="AE37" s="412">
        <f t="shared" si="90"/>
        <v>189307.62482027739</v>
      </c>
      <c r="AF37" s="417">
        <v>0</v>
      </c>
      <c r="AG37" s="231">
        <v>228523.41622962945</v>
      </c>
      <c r="AH37" s="231">
        <v>0</v>
      </c>
      <c r="AI37" s="231">
        <v>259775.3246656275</v>
      </c>
      <c r="AJ37" s="231">
        <v>0</v>
      </c>
      <c r="AK37" s="231">
        <v>259933.12057802835</v>
      </c>
      <c r="AL37" s="231">
        <v>0</v>
      </c>
      <c r="AM37" s="231">
        <v>334393.2433201138</v>
      </c>
      <c r="AN37" s="414">
        <f t="shared" si="91"/>
        <v>1082625.1047933991</v>
      </c>
      <c r="AO37" s="415">
        <f t="shared" si="92"/>
        <v>1271932.7296136764</v>
      </c>
      <c r="AP37" s="300">
        <v>15</v>
      </c>
      <c r="AQ37" s="231">
        <v>1126913.5083002332</v>
      </c>
      <c r="AR37" s="231">
        <v>1159425.6985787076</v>
      </c>
      <c r="AS37" s="231">
        <v>1399205.8415431185</v>
      </c>
      <c r="AT37" s="231">
        <v>995482.35653567675</v>
      </c>
      <c r="AU37" s="231">
        <v>1354300.4817390505</v>
      </c>
      <c r="AV37" s="231">
        <v>1035870.6871693018</v>
      </c>
      <c r="AW37" s="231">
        <v>1476505.1100571207</v>
      </c>
      <c r="AX37" s="231">
        <v>878800.3768603768</v>
      </c>
      <c r="AY37" s="412">
        <f t="shared" si="93"/>
        <v>9426504.0607835855</v>
      </c>
      <c r="AZ37" s="417">
        <v>0</v>
      </c>
      <c r="BA37" s="231">
        <v>5075969.4819926713</v>
      </c>
      <c r="BB37" s="231">
        <v>0</v>
      </c>
      <c r="BC37" s="231">
        <v>5653778.3293693298</v>
      </c>
      <c r="BD37" s="231">
        <v>0</v>
      </c>
      <c r="BE37" s="231">
        <v>6100023.0739622517</v>
      </c>
      <c r="BF37" s="231">
        <v>0</v>
      </c>
      <c r="BG37" s="231">
        <v>6757603.3914138265</v>
      </c>
      <c r="BH37" s="414">
        <f t="shared" si="94"/>
        <v>23587374.276738081</v>
      </c>
      <c r="BI37" s="415">
        <f t="shared" si="95"/>
        <v>33013878.337521665</v>
      </c>
      <c r="BJ37" s="300">
        <v>15</v>
      </c>
      <c r="BK37" s="231">
        <v>33435.919951159653</v>
      </c>
      <c r="BL37" s="231">
        <v>22753.479868491751</v>
      </c>
      <c r="BM37" s="231">
        <v>5763.341358763565</v>
      </c>
      <c r="BN37" s="231">
        <v>140104.27535210561</v>
      </c>
      <c r="BO37" s="231">
        <v>40364.760985941626</v>
      </c>
      <c r="BP37" s="231">
        <v>147845.96557873714</v>
      </c>
      <c r="BQ37" s="231">
        <v>55388.5519073584</v>
      </c>
      <c r="BR37" s="231">
        <v>154334.9000163126</v>
      </c>
      <c r="BS37" s="412">
        <f t="shared" si="96"/>
        <v>599991.19501887029</v>
      </c>
      <c r="BT37" s="417">
        <v>0</v>
      </c>
      <c r="BU37" s="231">
        <v>109990.39906855889</v>
      </c>
      <c r="BV37" s="231">
        <v>0</v>
      </c>
      <c r="BW37" s="231">
        <v>135232.43470339448</v>
      </c>
      <c r="BX37" s="231">
        <v>0</v>
      </c>
      <c r="BY37" s="231">
        <v>198576.2852393605</v>
      </c>
      <c r="BZ37" s="231">
        <v>0</v>
      </c>
      <c r="CA37" s="231">
        <v>146705.29400939526</v>
      </c>
      <c r="CB37" s="414">
        <f t="shared" si="97"/>
        <v>590504.41302070918</v>
      </c>
      <c r="CC37" s="415">
        <f t="shared" si="98"/>
        <v>1190495.6080395794</v>
      </c>
      <c r="CD37" s="300">
        <v>15</v>
      </c>
      <c r="CE37" s="414">
        <f t="shared" si="99"/>
        <v>2790006.0136150266</v>
      </c>
      <c r="CF37" s="414">
        <f t="shared" si="100"/>
        <v>3086181.7209976246</v>
      </c>
      <c r="CG37" s="414">
        <f t="shared" si="101"/>
        <v>3153732.9328218396</v>
      </c>
      <c r="CH37" s="414">
        <f t="shared" si="102"/>
        <v>2928339.2186544985</v>
      </c>
      <c r="CI37" s="416">
        <f t="shared" si="103"/>
        <v>11958259.88608899</v>
      </c>
      <c r="CJ37" s="414">
        <f t="shared" si="104"/>
        <v>6173632.3197744833</v>
      </c>
      <c r="CK37" s="414">
        <f t="shared" si="105"/>
        <v>7521818.2256179051</v>
      </c>
      <c r="CL37" s="414">
        <f t="shared" si="106"/>
        <v>7886695.8167615244</v>
      </c>
      <c r="CM37" s="414">
        <f t="shared" si="107"/>
        <v>8435093.8167136796</v>
      </c>
      <c r="CN37" s="416">
        <f t="shared" si="108"/>
        <v>30017240.178867593</v>
      </c>
      <c r="CO37" s="414">
        <f t="shared" si="109"/>
        <v>8963638.3333895113</v>
      </c>
      <c r="CP37" s="414">
        <f t="shared" si="110"/>
        <v>10607999.94661553</v>
      </c>
      <c r="CQ37" s="414">
        <f t="shared" si="111"/>
        <v>11040428.749583362</v>
      </c>
      <c r="CR37" s="414">
        <f t="shared" si="112"/>
        <v>11363433.035368178</v>
      </c>
      <c r="CS37" s="416">
        <f t="shared" si="113"/>
        <v>41975500.064956583</v>
      </c>
    </row>
    <row r="38" spans="1:102" ht="15.75" customHeight="1">
      <c r="A38" s="88" t="s">
        <v>201</v>
      </c>
      <c r="B38" s="300">
        <v>16</v>
      </c>
      <c r="C38" s="231">
        <v>6833.181421625527</v>
      </c>
      <c r="D38" s="231">
        <v>13988.21363472295</v>
      </c>
      <c r="E38" s="231">
        <v>11263.597525569299</v>
      </c>
      <c r="F38" s="231">
        <v>20534.107519628225</v>
      </c>
      <c r="G38" s="231">
        <v>7406.3226566371486</v>
      </c>
      <c r="H38" s="231">
        <v>40780.884357384755</v>
      </c>
      <c r="I38" s="231">
        <v>3002.3852354771943</v>
      </c>
      <c r="J38" s="231">
        <v>12129.167879360873</v>
      </c>
      <c r="K38" s="412">
        <f t="shared" si="87"/>
        <v>115937.86023040598</v>
      </c>
      <c r="L38" s="417">
        <v>0</v>
      </c>
      <c r="M38" s="231">
        <v>27428.498677909385</v>
      </c>
      <c r="N38" s="231">
        <v>0</v>
      </c>
      <c r="O38" s="231">
        <v>69229.442958258354</v>
      </c>
      <c r="P38" s="231">
        <v>0</v>
      </c>
      <c r="Q38" s="231">
        <v>64251.525943842345</v>
      </c>
      <c r="R38" s="231">
        <v>0</v>
      </c>
      <c r="S38" s="231">
        <v>65213.48584333196</v>
      </c>
      <c r="T38" s="414">
        <f t="shared" si="88"/>
        <v>226122.95342334206</v>
      </c>
      <c r="U38" s="415">
        <f t="shared" si="89"/>
        <v>342060.81365374802</v>
      </c>
      <c r="V38" s="300">
        <v>16</v>
      </c>
      <c r="W38" s="231">
        <v>14922.073961841195</v>
      </c>
      <c r="X38" s="231">
        <v>26124.527637243071</v>
      </c>
      <c r="Y38" s="231">
        <v>7846.7330525720472</v>
      </c>
      <c r="Z38" s="231">
        <v>3909.8239047398765</v>
      </c>
      <c r="AA38" s="231">
        <v>4358.6875455810114</v>
      </c>
      <c r="AB38" s="231">
        <v>13602.083582554764</v>
      </c>
      <c r="AC38" s="231">
        <v>5899.821373751789</v>
      </c>
      <c r="AD38" s="231">
        <v>8187.6751251388032</v>
      </c>
      <c r="AE38" s="412">
        <f t="shared" si="90"/>
        <v>84851.426183422562</v>
      </c>
      <c r="AF38" s="417">
        <v>0</v>
      </c>
      <c r="AG38" s="231">
        <v>61785.971353844106</v>
      </c>
      <c r="AH38" s="231">
        <v>0</v>
      </c>
      <c r="AI38" s="231">
        <v>66366.810793309181</v>
      </c>
      <c r="AJ38" s="231">
        <v>0</v>
      </c>
      <c r="AK38" s="231">
        <v>60260.877515251734</v>
      </c>
      <c r="AL38" s="231">
        <v>0</v>
      </c>
      <c r="AM38" s="231">
        <v>96118.474151122675</v>
      </c>
      <c r="AN38" s="414">
        <f t="shared" si="91"/>
        <v>284532.1338135277</v>
      </c>
      <c r="AO38" s="415">
        <f t="shared" si="92"/>
        <v>369383.55999695027</v>
      </c>
      <c r="AP38" s="300">
        <v>16</v>
      </c>
      <c r="AQ38" s="231">
        <v>23443.43443936573</v>
      </c>
      <c r="AR38" s="231">
        <v>99926.64523358029</v>
      </c>
      <c r="AS38" s="231">
        <v>22553.309389360253</v>
      </c>
      <c r="AT38" s="231">
        <v>78327.620317633933</v>
      </c>
      <c r="AU38" s="231">
        <v>29210.373264152007</v>
      </c>
      <c r="AV38" s="231">
        <v>85049.516727220223</v>
      </c>
      <c r="AW38" s="231">
        <v>35795.788601367261</v>
      </c>
      <c r="AX38" s="231">
        <v>85850.321942985742</v>
      </c>
      <c r="AY38" s="412">
        <f t="shared" si="93"/>
        <v>460157.00991566543</v>
      </c>
      <c r="AZ38" s="417">
        <v>0</v>
      </c>
      <c r="BA38" s="231">
        <v>257824.21858533513</v>
      </c>
      <c r="BB38" s="231">
        <v>0</v>
      </c>
      <c r="BC38" s="231">
        <v>274232.696906264</v>
      </c>
      <c r="BD38" s="231">
        <v>0</v>
      </c>
      <c r="BE38" s="231">
        <v>288985.00366435858</v>
      </c>
      <c r="BF38" s="231">
        <v>0</v>
      </c>
      <c r="BG38" s="231">
        <v>332692.5754699448</v>
      </c>
      <c r="BH38" s="414">
        <f t="shared" si="94"/>
        <v>1153734.4946259025</v>
      </c>
      <c r="BI38" s="415">
        <f t="shared" si="95"/>
        <v>1613891.504541568</v>
      </c>
      <c r="BJ38" s="300">
        <v>16</v>
      </c>
      <c r="BK38" s="231">
        <v>1942.9255124494812</v>
      </c>
      <c r="BL38" s="231">
        <v>11777.380815535729</v>
      </c>
      <c r="BM38" s="231">
        <v>1820.8870429073245</v>
      </c>
      <c r="BN38" s="231">
        <v>26083.989937450806</v>
      </c>
      <c r="BO38" s="231">
        <v>3121.8850680232194</v>
      </c>
      <c r="BP38" s="231">
        <v>18294.986385166132</v>
      </c>
      <c r="BQ38" s="231">
        <v>2639.9086062016613</v>
      </c>
      <c r="BR38" s="231">
        <v>18210.65926893424</v>
      </c>
      <c r="BS38" s="412">
        <f t="shared" si="96"/>
        <v>83892.622636668588</v>
      </c>
      <c r="BT38" s="417">
        <v>0</v>
      </c>
      <c r="BU38" s="231">
        <v>24530.46906443722</v>
      </c>
      <c r="BV38" s="231">
        <v>0</v>
      </c>
      <c r="BW38" s="231">
        <v>36413.30738652037</v>
      </c>
      <c r="BX38" s="231">
        <v>0</v>
      </c>
      <c r="BY38" s="231">
        <v>39414.267813018902</v>
      </c>
      <c r="BZ38" s="231">
        <v>0</v>
      </c>
      <c r="CA38" s="231">
        <v>38755.43257786944</v>
      </c>
      <c r="CB38" s="414">
        <f t="shared" si="97"/>
        <v>139113.47684184593</v>
      </c>
      <c r="CC38" s="415">
        <f t="shared" si="98"/>
        <v>223006.09947851452</v>
      </c>
      <c r="CD38" s="300">
        <v>16</v>
      </c>
      <c r="CE38" s="414">
        <f t="shared" si="99"/>
        <v>198958.38265636394</v>
      </c>
      <c r="CF38" s="414">
        <f t="shared" si="100"/>
        <v>172340.06868986177</v>
      </c>
      <c r="CG38" s="414">
        <f t="shared" si="101"/>
        <v>201824.73958671925</v>
      </c>
      <c r="CH38" s="414">
        <f t="shared" si="102"/>
        <v>171715.7280332176</v>
      </c>
      <c r="CI38" s="416">
        <f t="shared" si="103"/>
        <v>744838.9189661626</v>
      </c>
      <c r="CJ38" s="414">
        <f t="shared" si="104"/>
        <v>371569.1576815258</v>
      </c>
      <c r="CK38" s="414">
        <f t="shared" si="105"/>
        <v>446242.25804435188</v>
      </c>
      <c r="CL38" s="414">
        <f t="shared" si="106"/>
        <v>452911.67493647151</v>
      </c>
      <c r="CM38" s="414">
        <f t="shared" si="107"/>
        <v>532779.96804226888</v>
      </c>
      <c r="CN38" s="416">
        <f t="shared" si="108"/>
        <v>1803503.0587046184</v>
      </c>
      <c r="CO38" s="414">
        <f t="shared" si="109"/>
        <v>570527.54033788992</v>
      </c>
      <c r="CP38" s="414">
        <f t="shared" si="110"/>
        <v>618582.32673421374</v>
      </c>
      <c r="CQ38" s="414">
        <f t="shared" si="111"/>
        <v>654736.41452319082</v>
      </c>
      <c r="CR38" s="414">
        <f t="shared" si="112"/>
        <v>704495.69607548648</v>
      </c>
      <c r="CS38" s="416">
        <f t="shared" si="113"/>
        <v>2548341.9776707808</v>
      </c>
    </row>
    <row r="39" spans="1:102" ht="15.75" customHeight="1">
      <c r="A39" s="88" t="s">
        <v>202</v>
      </c>
      <c r="B39" s="300">
        <v>17</v>
      </c>
      <c r="C39" s="231">
        <v>168326.01381382864</v>
      </c>
      <c r="D39" s="231">
        <v>252879.05591690843</v>
      </c>
      <c r="E39" s="231">
        <v>259233.17192554125</v>
      </c>
      <c r="F39" s="231">
        <v>165028.07400645546</v>
      </c>
      <c r="G39" s="231">
        <v>271804.70092351991</v>
      </c>
      <c r="H39" s="231">
        <v>222385.42501744811</v>
      </c>
      <c r="I39" s="231">
        <v>207133.06198267089</v>
      </c>
      <c r="J39" s="231">
        <v>84561.780249553791</v>
      </c>
      <c r="K39" s="412">
        <f t="shared" si="87"/>
        <v>1631351.2838359263</v>
      </c>
      <c r="L39" s="417">
        <v>0</v>
      </c>
      <c r="M39" s="231">
        <v>520559.19823912159</v>
      </c>
      <c r="N39" s="231">
        <v>0</v>
      </c>
      <c r="O39" s="231">
        <v>1083398.9046918969</v>
      </c>
      <c r="P39" s="231">
        <v>0</v>
      </c>
      <c r="Q39" s="231">
        <v>940246.11633593543</v>
      </c>
      <c r="R39" s="231">
        <v>0</v>
      </c>
      <c r="S39" s="231">
        <v>902362.01811302768</v>
      </c>
      <c r="T39" s="414">
        <f t="shared" si="88"/>
        <v>3446566.2373799817</v>
      </c>
      <c r="U39" s="415">
        <f t="shared" si="89"/>
        <v>5077917.5212159082</v>
      </c>
      <c r="V39" s="300">
        <v>17</v>
      </c>
      <c r="W39" s="231">
        <v>15943.01991466672</v>
      </c>
      <c r="X39" s="231">
        <v>63387.084788104934</v>
      </c>
      <c r="Y39" s="231">
        <v>8000.6064605756883</v>
      </c>
      <c r="Z39" s="231">
        <v>20856.377871380864</v>
      </c>
      <c r="AA39" s="231">
        <v>15828.848636063889</v>
      </c>
      <c r="AB39" s="231">
        <v>27368.455747478329</v>
      </c>
      <c r="AC39" s="231">
        <v>22657.303354261861</v>
      </c>
      <c r="AD39" s="231">
        <v>12196.066326338841</v>
      </c>
      <c r="AE39" s="412">
        <f t="shared" si="90"/>
        <v>186237.7630988711</v>
      </c>
      <c r="AF39" s="417">
        <v>0</v>
      </c>
      <c r="AG39" s="231">
        <v>174885.55684022553</v>
      </c>
      <c r="AH39" s="231">
        <v>0</v>
      </c>
      <c r="AI39" s="231">
        <v>197930.5038710903</v>
      </c>
      <c r="AJ39" s="231">
        <v>0</v>
      </c>
      <c r="AK39" s="231">
        <v>174260.60813912677</v>
      </c>
      <c r="AL39" s="231">
        <v>0</v>
      </c>
      <c r="AM39" s="231">
        <v>210348.61548649112</v>
      </c>
      <c r="AN39" s="414">
        <f t="shared" si="91"/>
        <v>757425.28433693375</v>
      </c>
      <c r="AO39" s="415">
        <f t="shared" si="92"/>
        <v>943663.04743580485</v>
      </c>
      <c r="AP39" s="300">
        <v>17</v>
      </c>
      <c r="AQ39" s="231">
        <v>1026670.5326317908</v>
      </c>
      <c r="AR39" s="231">
        <v>1165462.2785401025</v>
      </c>
      <c r="AS39" s="231">
        <v>910927.14218185539</v>
      </c>
      <c r="AT39" s="231">
        <v>819794.83806640271</v>
      </c>
      <c r="AU39" s="231">
        <v>993048.54204992077</v>
      </c>
      <c r="AV39" s="231">
        <v>993030.48206444876</v>
      </c>
      <c r="AW39" s="231">
        <v>1135452.6728744176</v>
      </c>
      <c r="AX39" s="231">
        <v>934081.85671647463</v>
      </c>
      <c r="AY39" s="412">
        <f t="shared" si="93"/>
        <v>7978468.3451254126</v>
      </c>
      <c r="AZ39" s="417">
        <v>0</v>
      </c>
      <c r="BA39" s="231">
        <v>3041144.5335341119</v>
      </c>
      <c r="BB39" s="231">
        <v>0</v>
      </c>
      <c r="BC39" s="231">
        <v>3308428.0858066538</v>
      </c>
      <c r="BD39" s="231">
        <v>0</v>
      </c>
      <c r="BE39" s="231">
        <v>3632876.5606740508</v>
      </c>
      <c r="BF39" s="231">
        <v>0</v>
      </c>
      <c r="BG39" s="231">
        <v>4156379.265215585</v>
      </c>
      <c r="BH39" s="414">
        <f t="shared" si="94"/>
        <v>14138828.445230402</v>
      </c>
      <c r="BI39" s="415">
        <f t="shared" si="95"/>
        <v>22117296.790355816</v>
      </c>
      <c r="BJ39" s="300">
        <v>17</v>
      </c>
      <c r="BK39" s="231">
        <v>28701.034078844918</v>
      </c>
      <c r="BL39" s="231">
        <v>65642.920514467507</v>
      </c>
      <c r="BM39" s="231">
        <v>26029.889516566178</v>
      </c>
      <c r="BN39" s="231">
        <v>27065.254463154124</v>
      </c>
      <c r="BO39" s="231">
        <v>15693.092217721798</v>
      </c>
      <c r="BP39" s="231">
        <v>30032.348829991686</v>
      </c>
      <c r="BQ39" s="231">
        <v>26180.259271362749</v>
      </c>
      <c r="BR39" s="231">
        <v>24346.138700670952</v>
      </c>
      <c r="BS39" s="412">
        <f t="shared" si="96"/>
        <v>243690.9375927799</v>
      </c>
      <c r="BT39" s="417">
        <v>0</v>
      </c>
      <c r="BU39" s="231">
        <v>178360.00151800321</v>
      </c>
      <c r="BV39" s="231">
        <v>0</v>
      </c>
      <c r="BW39" s="231">
        <v>209916.59909151847</v>
      </c>
      <c r="BX39" s="231">
        <v>0</v>
      </c>
      <c r="BY39" s="231">
        <v>234567.06871564942</v>
      </c>
      <c r="BZ39" s="231">
        <v>0</v>
      </c>
      <c r="CA39" s="231">
        <v>263322.58070487453</v>
      </c>
      <c r="CB39" s="414">
        <f t="shared" si="97"/>
        <v>886166.25003004563</v>
      </c>
      <c r="CC39" s="415">
        <f t="shared" si="98"/>
        <v>1129857.1876228256</v>
      </c>
      <c r="CD39" s="300">
        <v>17</v>
      </c>
      <c r="CE39" s="414">
        <f t="shared" si="99"/>
        <v>2787011.9401987144</v>
      </c>
      <c r="CF39" s="414">
        <f t="shared" si="100"/>
        <v>2236935.3544919314</v>
      </c>
      <c r="CG39" s="414">
        <f t="shared" si="101"/>
        <v>2569191.8954865932</v>
      </c>
      <c r="CH39" s="414">
        <f t="shared" si="102"/>
        <v>2446609.1394757512</v>
      </c>
      <c r="CI39" s="416">
        <f t="shared" si="103"/>
        <v>10039748.329652989</v>
      </c>
      <c r="CJ39" s="414">
        <f t="shared" si="104"/>
        <v>3914949.2901314623</v>
      </c>
      <c r="CK39" s="414">
        <f t="shared" si="105"/>
        <v>4799674.0934611596</v>
      </c>
      <c r="CL39" s="414">
        <f t="shared" si="106"/>
        <v>4981950.3538647629</v>
      </c>
      <c r="CM39" s="414">
        <f t="shared" si="107"/>
        <v>5532412.4795199782</v>
      </c>
      <c r="CN39" s="416">
        <f t="shared" si="108"/>
        <v>19228986.216977362</v>
      </c>
      <c r="CO39" s="414">
        <f t="shared" si="109"/>
        <v>6701961.2303301767</v>
      </c>
      <c r="CP39" s="414">
        <f t="shared" si="110"/>
        <v>7036609.447953091</v>
      </c>
      <c r="CQ39" s="414">
        <f t="shared" si="111"/>
        <v>7551142.2493513562</v>
      </c>
      <c r="CR39" s="414">
        <f t="shared" si="112"/>
        <v>7979021.6189957289</v>
      </c>
      <c r="CS39" s="416">
        <f t="shared" si="113"/>
        <v>29268734.546630356</v>
      </c>
    </row>
    <row r="40" spans="1:102" ht="15.75" customHeight="1">
      <c r="A40" s="88" t="s">
        <v>203</v>
      </c>
      <c r="B40" s="300">
        <v>18</v>
      </c>
      <c r="C40" s="231">
        <v>12419.052267333629</v>
      </c>
      <c r="D40" s="231">
        <v>47273.903881085316</v>
      </c>
      <c r="E40" s="231">
        <v>17131.646470433567</v>
      </c>
      <c r="F40" s="231">
        <v>60780.086245395134</v>
      </c>
      <c r="G40" s="231">
        <v>17636.495395664217</v>
      </c>
      <c r="H40" s="231">
        <v>63777.517110749926</v>
      </c>
      <c r="I40" s="231">
        <v>16448.810555249456</v>
      </c>
      <c r="J40" s="231">
        <v>56411.947812532555</v>
      </c>
      <c r="K40" s="412">
        <f t="shared" si="87"/>
        <v>291879.45973844378</v>
      </c>
      <c r="L40" s="417">
        <v>0</v>
      </c>
      <c r="M40" s="231">
        <v>0</v>
      </c>
      <c r="N40" s="231">
        <v>0</v>
      </c>
      <c r="O40" s="231">
        <v>0</v>
      </c>
      <c r="P40" s="231">
        <v>0</v>
      </c>
      <c r="Q40" s="231">
        <v>0</v>
      </c>
      <c r="R40" s="231">
        <v>0</v>
      </c>
      <c r="S40" s="231">
        <v>0</v>
      </c>
      <c r="T40" s="414">
        <f t="shared" si="88"/>
        <v>0</v>
      </c>
      <c r="U40" s="415">
        <f t="shared" si="89"/>
        <v>291879.45973844378</v>
      </c>
      <c r="V40" s="300">
        <v>18</v>
      </c>
      <c r="W40" s="231">
        <v>662.01276584114851</v>
      </c>
      <c r="X40" s="231">
        <v>6317.388101520035</v>
      </c>
      <c r="Y40" s="231">
        <v>1134.5573926502746</v>
      </c>
      <c r="Z40" s="231">
        <v>11388.704123282012</v>
      </c>
      <c r="AA40" s="231">
        <v>1050.122327224339</v>
      </c>
      <c r="AB40" s="231">
        <v>8633.7283137070899</v>
      </c>
      <c r="AC40" s="231">
        <v>1375.0850836919185</v>
      </c>
      <c r="AD40" s="231">
        <v>10036.707162603094</v>
      </c>
      <c r="AE40" s="412">
        <f t="shared" si="90"/>
        <v>40598.305270519915</v>
      </c>
      <c r="AF40" s="417">
        <v>0</v>
      </c>
      <c r="AG40" s="231">
        <v>0</v>
      </c>
      <c r="AH40" s="231">
        <v>0</v>
      </c>
      <c r="AI40" s="231">
        <v>0</v>
      </c>
      <c r="AJ40" s="231">
        <v>0</v>
      </c>
      <c r="AK40" s="231">
        <v>0</v>
      </c>
      <c r="AL40" s="231">
        <v>0</v>
      </c>
      <c r="AM40" s="231">
        <v>0</v>
      </c>
      <c r="AN40" s="414">
        <f t="shared" si="91"/>
        <v>0</v>
      </c>
      <c r="AO40" s="415">
        <f t="shared" si="92"/>
        <v>40598.305270519915</v>
      </c>
      <c r="AP40" s="300">
        <v>18</v>
      </c>
      <c r="AQ40" s="231">
        <v>49383.81018044737</v>
      </c>
      <c r="AR40" s="231">
        <v>143339.55969581936</v>
      </c>
      <c r="AS40" s="231">
        <v>58348.259814969555</v>
      </c>
      <c r="AT40" s="231">
        <v>163547.28392947215</v>
      </c>
      <c r="AU40" s="231">
        <v>65958.17241837857</v>
      </c>
      <c r="AV40" s="231">
        <v>182223.23335102829</v>
      </c>
      <c r="AW40" s="231">
        <v>81609.604401172328</v>
      </c>
      <c r="AX40" s="231">
        <v>202226.56979635041</v>
      </c>
      <c r="AY40" s="412">
        <f t="shared" si="93"/>
        <v>946636.49358763814</v>
      </c>
      <c r="AZ40" s="417">
        <v>0</v>
      </c>
      <c r="BA40" s="231">
        <v>0</v>
      </c>
      <c r="BB40" s="231">
        <v>0</v>
      </c>
      <c r="BC40" s="231">
        <v>0</v>
      </c>
      <c r="BD40" s="231">
        <v>0</v>
      </c>
      <c r="BE40" s="231">
        <v>0</v>
      </c>
      <c r="BF40" s="231">
        <v>0</v>
      </c>
      <c r="BG40" s="231">
        <v>0</v>
      </c>
      <c r="BH40" s="414">
        <f t="shared" si="94"/>
        <v>0</v>
      </c>
      <c r="BI40" s="415">
        <f t="shared" si="95"/>
        <v>946636.49358763814</v>
      </c>
      <c r="BJ40" s="300">
        <v>18</v>
      </c>
      <c r="BK40" s="231">
        <v>499.04223799022839</v>
      </c>
      <c r="BL40" s="231">
        <v>5042.7557606241708</v>
      </c>
      <c r="BM40" s="231">
        <v>358.38400920902575</v>
      </c>
      <c r="BN40" s="231">
        <v>5850.5126012213595</v>
      </c>
      <c r="BO40" s="231">
        <v>555.27671526641041</v>
      </c>
      <c r="BP40" s="231">
        <v>6174.6356674518847</v>
      </c>
      <c r="BQ40" s="231">
        <v>592.64954280737049</v>
      </c>
      <c r="BR40" s="231">
        <v>5838.4690172764012</v>
      </c>
      <c r="BS40" s="412">
        <f t="shared" si="96"/>
        <v>24911.725551846856</v>
      </c>
      <c r="BT40" s="417">
        <v>0</v>
      </c>
      <c r="BU40" s="231">
        <v>0</v>
      </c>
      <c r="BV40" s="231">
        <v>0</v>
      </c>
      <c r="BW40" s="231">
        <v>0</v>
      </c>
      <c r="BX40" s="231">
        <v>0</v>
      </c>
      <c r="BY40" s="231">
        <v>0</v>
      </c>
      <c r="BZ40" s="231">
        <v>0</v>
      </c>
      <c r="CA40" s="231">
        <v>0</v>
      </c>
      <c r="CB40" s="414">
        <f t="shared" si="97"/>
        <v>0</v>
      </c>
      <c r="CC40" s="415">
        <f t="shared" si="98"/>
        <v>24911.725551846856</v>
      </c>
      <c r="CD40" s="300">
        <v>18</v>
      </c>
      <c r="CE40" s="414">
        <f t="shared" si="99"/>
        <v>264937.52489066124</v>
      </c>
      <c r="CF40" s="414">
        <f t="shared" si="100"/>
        <v>318539.43458663311</v>
      </c>
      <c r="CG40" s="414">
        <f t="shared" si="101"/>
        <v>346009.18129947071</v>
      </c>
      <c r="CH40" s="414">
        <f t="shared" si="102"/>
        <v>374539.8433716835</v>
      </c>
      <c r="CI40" s="416">
        <f t="shared" si="103"/>
        <v>1304025.9841484488</v>
      </c>
      <c r="CJ40" s="414">
        <f t="shared" si="104"/>
        <v>0</v>
      </c>
      <c r="CK40" s="414">
        <f t="shared" si="105"/>
        <v>0</v>
      </c>
      <c r="CL40" s="414">
        <f t="shared" si="106"/>
        <v>0</v>
      </c>
      <c r="CM40" s="414">
        <f t="shared" si="107"/>
        <v>0</v>
      </c>
      <c r="CN40" s="416">
        <f t="shared" si="108"/>
        <v>0</v>
      </c>
      <c r="CO40" s="414">
        <f t="shared" si="109"/>
        <v>264937.52489066124</v>
      </c>
      <c r="CP40" s="414">
        <f t="shared" si="110"/>
        <v>318539.43458663311</v>
      </c>
      <c r="CQ40" s="414">
        <f t="shared" si="111"/>
        <v>346009.18129947071</v>
      </c>
      <c r="CR40" s="414">
        <f t="shared" si="112"/>
        <v>374539.8433716835</v>
      </c>
      <c r="CS40" s="416">
        <f t="shared" si="113"/>
        <v>1304025.9841484488</v>
      </c>
    </row>
    <row r="41" spans="1:102" ht="15.75" customHeight="1">
      <c r="A41" s="88" t="s">
        <v>204</v>
      </c>
      <c r="B41" s="300">
        <v>19</v>
      </c>
      <c r="C41" s="231">
        <v>270209.91000000003</v>
      </c>
      <c r="D41" s="231">
        <v>802626.55</v>
      </c>
      <c r="E41" s="231">
        <v>300751</v>
      </c>
      <c r="F41" s="231">
        <v>1035440.0931346171</v>
      </c>
      <c r="G41" s="231">
        <v>224288.62999999998</v>
      </c>
      <c r="H41" s="231">
        <v>933799.98050614644</v>
      </c>
      <c r="I41" s="231">
        <v>291462</v>
      </c>
      <c r="J41" s="231">
        <v>1111573.95</v>
      </c>
      <c r="K41" s="412">
        <f t="shared" si="87"/>
        <v>4970152.1136407629</v>
      </c>
      <c r="L41" s="417">
        <v>0</v>
      </c>
      <c r="M41" s="231">
        <v>0</v>
      </c>
      <c r="N41" s="231">
        <v>0</v>
      </c>
      <c r="O41" s="231">
        <v>135.68714590880785</v>
      </c>
      <c r="P41" s="231">
        <v>0</v>
      </c>
      <c r="Q41" s="231">
        <v>55.576077133943024</v>
      </c>
      <c r="R41" s="231">
        <v>0</v>
      </c>
      <c r="S41" s="231">
        <v>124.11555829861732</v>
      </c>
      <c r="T41" s="414">
        <f t="shared" si="88"/>
        <v>315.37878134136815</v>
      </c>
      <c r="U41" s="415">
        <f t="shared" si="89"/>
        <v>4970467.4924221039</v>
      </c>
      <c r="V41" s="300">
        <v>19</v>
      </c>
      <c r="W41" s="231">
        <v>23618</v>
      </c>
      <c r="X41" s="231">
        <v>151764.95064280878</v>
      </c>
      <c r="Y41" s="231">
        <v>6322</v>
      </c>
      <c r="Z41" s="231">
        <v>175962</v>
      </c>
      <c r="AA41" s="231">
        <v>3037</v>
      </c>
      <c r="AB41" s="231">
        <v>135414.12403640084</v>
      </c>
      <c r="AC41" s="231">
        <v>1589</v>
      </c>
      <c r="AD41" s="231">
        <v>144379</v>
      </c>
      <c r="AE41" s="412">
        <f t="shared" si="90"/>
        <v>642086.07467920962</v>
      </c>
      <c r="AF41" s="417">
        <v>0</v>
      </c>
      <c r="AG41" s="231">
        <v>216.61827356752946</v>
      </c>
      <c r="AH41" s="231">
        <v>0</v>
      </c>
      <c r="AI41" s="231">
        <v>99.606745822913425</v>
      </c>
      <c r="AJ41" s="231">
        <v>0</v>
      </c>
      <c r="AK41" s="231">
        <v>1516.0573602508894</v>
      </c>
      <c r="AL41" s="231">
        <v>0</v>
      </c>
      <c r="AM41" s="231">
        <v>290.65061637914306</v>
      </c>
      <c r="AN41" s="414">
        <f t="shared" si="91"/>
        <v>2122.9329960204755</v>
      </c>
      <c r="AO41" s="415">
        <f t="shared" si="92"/>
        <v>644209.00767523004</v>
      </c>
      <c r="AP41" s="300">
        <v>19</v>
      </c>
      <c r="AQ41" s="231">
        <v>509443.2651851087</v>
      </c>
      <c r="AR41" s="231">
        <v>1587107.3608360486</v>
      </c>
      <c r="AS41" s="231">
        <v>663372.21889363858</v>
      </c>
      <c r="AT41" s="231">
        <v>1718379.5564931196</v>
      </c>
      <c r="AU41" s="231">
        <v>660263.72822369856</v>
      </c>
      <c r="AV41" s="231">
        <v>1688962.934126531</v>
      </c>
      <c r="AW41" s="231">
        <v>822043.82</v>
      </c>
      <c r="AX41" s="231">
        <v>2045038.6102533254</v>
      </c>
      <c r="AY41" s="412">
        <f t="shared" si="93"/>
        <v>9694611.4940114692</v>
      </c>
      <c r="AZ41" s="417">
        <v>0</v>
      </c>
      <c r="BA41" s="231">
        <v>520.01989315795731</v>
      </c>
      <c r="BB41" s="231">
        <v>0</v>
      </c>
      <c r="BC41" s="231">
        <v>113.79048999882305</v>
      </c>
      <c r="BD41" s="231">
        <v>0</v>
      </c>
      <c r="BE41" s="231">
        <v>2750.1142305094641</v>
      </c>
      <c r="BF41" s="231">
        <v>0</v>
      </c>
      <c r="BG41" s="231">
        <v>1338.9541121922859</v>
      </c>
      <c r="BH41" s="414">
        <f t="shared" si="94"/>
        <v>4722.8787258585307</v>
      </c>
      <c r="BI41" s="415">
        <f t="shared" si="95"/>
        <v>9699334.3727373276</v>
      </c>
      <c r="BJ41" s="300">
        <v>19</v>
      </c>
      <c r="BK41" s="231">
        <v>53</v>
      </c>
      <c r="BL41" s="231">
        <v>9174.6</v>
      </c>
      <c r="BM41" s="231">
        <v>53</v>
      </c>
      <c r="BN41" s="231">
        <v>4563.2</v>
      </c>
      <c r="BO41" s="231">
        <v>115</v>
      </c>
      <c r="BP41" s="231">
        <v>7368</v>
      </c>
      <c r="BQ41" s="231">
        <v>248</v>
      </c>
      <c r="BR41" s="231">
        <v>12394.2</v>
      </c>
      <c r="BS41" s="412">
        <f t="shared" si="96"/>
        <v>33969</v>
      </c>
      <c r="BT41" s="417">
        <v>0</v>
      </c>
      <c r="BU41" s="231">
        <v>0</v>
      </c>
      <c r="BV41" s="231">
        <v>0</v>
      </c>
      <c r="BW41" s="231">
        <v>0</v>
      </c>
      <c r="BX41" s="231">
        <v>0</v>
      </c>
      <c r="BY41" s="231">
        <v>0</v>
      </c>
      <c r="BZ41" s="231">
        <v>0</v>
      </c>
      <c r="CA41" s="231">
        <v>99.788378245677777</v>
      </c>
      <c r="CB41" s="414">
        <f t="shared" si="97"/>
        <v>99.788378245677777</v>
      </c>
      <c r="CC41" s="415">
        <f t="shared" si="98"/>
        <v>34068.788378245677</v>
      </c>
      <c r="CD41" s="300">
        <v>19</v>
      </c>
      <c r="CE41" s="414">
        <f t="shared" si="99"/>
        <v>3353997.6366639663</v>
      </c>
      <c r="CF41" s="414">
        <f t="shared" si="100"/>
        <v>3904843.0685213748</v>
      </c>
      <c r="CG41" s="414">
        <f t="shared" si="101"/>
        <v>3653249.3968927767</v>
      </c>
      <c r="CH41" s="414">
        <f t="shared" si="102"/>
        <v>4428728.5802533254</v>
      </c>
      <c r="CI41" s="416">
        <f t="shared" si="103"/>
        <v>15340818.682331443</v>
      </c>
      <c r="CJ41" s="414">
        <f t="shared" si="104"/>
        <v>736.63816672548683</v>
      </c>
      <c r="CK41" s="414">
        <f t="shared" si="105"/>
        <v>349.08438173054429</v>
      </c>
      <c r="CL41" s="414">
        <f t="shared" si="106"/>
        <v>4321.7476678942967</v>
      </c>
      <c r="CM41" s="414">
        <f t="shared" si="107"/>
        <v>1853.5086651157239</v>
      </c>
      <c r="CN41" s="416">
        <f t="shared" si="108"/>
        <v>7260.9788814660515</v>
      </c>
      <c r="CO41" s="414">
        <f t="shared" si="109"/>
        <v>3354734.2748306915</v>
      </c>
      <c r="CP41" s="414">
        <f t="shared" si="110"/>
        <v>3905192.1529031051</v>
      </c>
      <c r="CQ41" s="414">
        <f t="shared" si="111"/>
        <v>3657571.1445606709</v>
      </c>
      <c r="CR41" s="414">
        <f t="shared" si="112"/>
        <v>4430582.0889184419</v>
      </c>
      <c r="CS41" s="416">
        <f t="shared" si="113"/>
        <v>15348079.661212908</v>
      </c>
    </row>
    <row r="42" spans="1:102" ht="15.75" customHeight="1">
      <c r="A42" s="88" t="s">
        <v>205</v>
      </c>
      <c r="B42" s="300">
        <v>20</v>
      </c>
      <c r="C42" s="231">
        <v>17311.728332851104</v>
      </c>
      <c r="D42" s="231">
        <v>26881.646546914737</v>
      </c>
      <c r="E42" s="231">
        <v>11330.750110900493</v>
      </c>
      <c r="F42" s="231">
        <v>13789.962064275272</v>
      </c>
      <c r="G42" s="231">
        <v>14118.185103958464</v>
      </c>
      <c r="H42" s="231">
        <v>20625.578767509443</v>
      </c>
      <c r="I42" s="231">
        <v>8435.4005009205503</v>
      </c>
      <c r="J42" s="231">
        <v>16174.228286997359</v>
      </c>
      <c r="K42" s="412">
        <f t="shared" si="87"/>
        <v>128667.47971432743</v>
      </c>
      <c r="L42" s="417">
        <v>0</v>
      </c>
      <c r="M42" s="231">
        <v>18292.330911625282</v>
      </c>
      <c r="N42" s="231">
        <v>0</v>
      </c>
      <c r="O42" s="231">
        <v>30554.469448863558</v>
      </c>
      <c r="P42" s="231">
        <v>0</v>
      </c>
      <c r="Q42" s="231">
        <v>32523.881903298847</v>
      </c>
      <c r="R42" s="231">
        <v>0</v>
      </c>
      <c r="S42" s="231">
        <v>27448.957269749786</v>
      </c>
      <c r="T42" s="414">
        <f t="shared" si="88"/>
        <v>108819.63953353747</v>
      </c>
      <c r="U42" s="415">
        <f t="shared" si="89"/>
        <v>237487.1192478649</v>
      </c>
      <c r="V42" s="300">
        <v>20</v>
      </c>
      <c r="W42" s="231">
        <v>0</v>
      </c>
      <c r="X42" s="231">
        <v>4114.2557797828094</v>
      </c>
      <c r="Y42" s="231">
        <v>68.063434230453169</v>
      </c>
      <c r="Z42" s="231">
        <v>223.29811091870289</v>
      </c>
      <c r="AA42" s="231">
        <v>205.02153791668519</v>
      </c>
      <c r="AB42" s="231">
        <v>761.50426222966439</v>
      </c>
      <c r="AC42" s="231">
        <v>755.88337866158997</v>
      </c>
      <c r="AD42" s="231">
        <v>13.814437881875461</v>
      </c>
      <c r="AE42" s="412">
        <f t="shared" si="90"/>
        <v>6141.8409416217792</v>
      </c>
      <c r="AF42" s="417">
        <v>0</v>
      </c>
      <c r="AG42" s="231">
        <v>7508.7299610828832</v>
      </c>
      <c r="AH42" s="231">
        <v>0</v>
      </c>
      <c r="AI42" s="231">
        <v>12011.437644697069</v>
      </c>
      <c r="AJ42" s="231">
        <v>0</v>
      </c>
      <c r="AK42" s="231">
        <v>7227.1666620749584</v>
      </c>
      <c r="AL42" s="231">
        <v>0</v>
      </c>
      <c r="AM42" s="231">
        <v>6577.1653805461065</v>
      </c>
      <c r="AN42" s="414">
        <f t="shared" si="91"/>
        <v>33324.499648401019</v>
      </c>
      <c r="AO42" s="415">
        <f t="shared" si="92"/>
        <v>39466.340590022795</v>
      </c>
      <c r="AP42" s="300">
        <v>20</v>
      </c>
      <c r="AQ42" s="231">
        <v>102706.29479817147</v>
      </c>
      <c r="AR42" s="231">
        <v>109323.18224726641</v>
      </c>
      <c r="AS42" s="231">
        <v>44757.953827546451</v>
      </c>
      <c r="AT42" s="231">
        <v>66678.753726334486</v>
      </c>
      <c r="AU42" s="231">
        <v>46702.78072897745</v>
      </c>
      <c r="AV42" s="231">
        <v>73328.495704975605</v>
      </c>
      <c r="AW42" s="231">
        <v>58318.655128153696</v>
      </c>
      <c r="AX42" s="231">
        <v>89295.277074428668</v>
      </c>
      <c r="AY42" s="412">
        <f t="shared" si="93"/>
        <v>591111.39323585422</v>
      </c>
      <c r="AZ42" s="417">
        <v>0</v>
      </c>
      <c r="BA42" s="231">
        <v>95686.501105272357</v>
      </c>
      <c r="BB42" s="231">
        <v>0</v>
      </c>
      <c r="BC42" s="231">
        <v>109981.98440252704</v>
      </c>
      <c r="BD42" s="231">
        <v>0</v>
      </c>
      <c r="BE42" s="231">
        <v>124517.41004063032</v>
      </c>
      <c r="BF42" s="231">
        <v>0</v>
      </c>
      <c r="BG42" s="231">
        <v>140521.76158629125</v>
      </c>
      <c r="BH42" s="414">
        <f t="shared" si="94"/>
        <v>470707.65713472094</v>
      </c>
      <c r="BI42" s="415">
        <f t="shared" si="95"/>
        <v>1061819.0503705752</v>
      </c>
      <c r="BJ42" s="300">
        <v>20</v>
      </c>
      <c r="BK42" s="231">
        <v>0</v>
      </c>
      <c r="BL42" s="231">
        <v>2285.5376450982708</v>
      </c>
      <c r="BM42" s="231">
        <v>0</v>
      </c>
      <c r="BN42" s="231">
        <v>9912.5083281091156</v>
      </c>
      <c r="BO42" s="231">
        <v>0</v>
      </c>
      <c r="BP42" s="231">
        <v>703.93743040678339</v>
      </c>
      <c r="BQ42" s="231">
        <v>0</v>
      </c>
      <c r="BR42" s="231">
        <v>5173.5069867623597</v>
      </c>
      <c r="BS42" s="412">
        <f t="shared" si="96"/>
        <v>18075.49039037653</v>
      </c>
      <c r="BT42" s="417">
        <v>0</v>
      </c>
      <c r="BU42" s="231">
        <v>1539.0440259475797</v>
      </c>
      <c r="BV42" s="231">
        <v>0</v>
      </c>
      <c r="BW42" s="231">
        <v>193.1232964064543</v>
      </c>
      <c r="BX42" s="231">
        <v>0</v>
      </c>
      <c r="BY42" s="231">
        <v>677.91330194051625</v>
      </c>
      <c r="BZ42" s="231">
        <v>0</v>
      </c>
      <c r="CA42" s="231">
        <v>1399.3638881626737</v>
      </c>
      <c r="CB42" s="414">
        <f t="shared" si="97"/>
        <v>3809.4445124572239</v>
      </c>
      <c r="CC42" s="415">
        <f t="shared" si="98"/>
        <v>21884.934902833753</v>
      </c>
      <c r="CD42" s="300">
        <v>20</v>
      </c>
      <c r="CE42" s="414">
        <f t="shared" si="99"/>
        <v>262622.64535008481</v>
      </c>
      <c r="CF42" s="414">
        <f t="shared" si="100"/>
        <v>146761.28960231497</v>
      </c>
      <c r="CG42" s="414">
        <f t="shared" si="101"/>
        <v>156445.5035359741</v>
      </c>
      <c r="CH42" s="414">
        <f t="shared" si="102"/>
        <v>178166.76579380609</v>
      </c>
      <c r="CI42" s="416">
        <f t="shared" si="103"/>
        <v>743996.20428217994</v>
      </c>
      <c r="CJ42" s="414">
        <f t="shared" si="104"/>
        <v>123026.60600392809</v>
      </c>
      <c r="CK42" s="414">
        <f t="shared" si="105"/>
        <v>152741.0147924941</v>
      </c>
      <c r="CL42" s="414">
        <f t="shared" si="106"/>
        <v>164946.37190794465</v>
      </c>
      <c r="CM42" s="414">
        <f t="shared" si="107"/>
        <v>175947.24812474984</v>
      </c>
      <c r="CN42" s="416">
        <f t="shared" si="108"/>
        <v>616661.24082911666</v>
      </c>
      <c r="CO42" s="414">
        <f t="shared" si="109"/>
        <v>385649.25135401287</v>
      </c>
      <c r="CP42" s="414">
        <f t="shared" si="110"/>
        <v>299502.30439480912</v>
      </c>
      <c r="CQ42" s="414">
        <f t="shared" si="111"/>
        <v>321391.87544391875</v>
      </c>
      <c r="CR42" s="414">
        <f t="shared" si="112"/>
        <v>354114.01391855587</v>
      </c>
      <c r="CS42" s="416">
        <f t="shared" si="113"/>
        <v>1360657.4451112966</v>
      </c>
    </row>
    <row r="43" spans="1:102" ht="15.75" customHeight="1">
      <c r="A43" s="88" t="s">
        <v>206</v>
      </c>
      <c r="B43" s="300">
        <v>21</v>
      </c>
      <c r="C43" s="231">
        <f t="shared" ref="C43:J43" si="114">C19</f>
        <v>0</v>
      </c>
      <c r="D43" s="231">
        <f t="shared" si="114"/>
        <v>0</v>
      </c>
      <c r="E43" s="231">
        <f t="shared" si="114"/>
        <v>0</v>
      </c>
      <c r="F43" s="231">
        <f t="shared" si="114"/>
        <v>0</v>
      </c>
      <c r="G43" s="231">
        <f t="shared" si="114"/>
        <v>0</v>
      </c>
      <c r="H43" s="231">
        <f t="shared" si="114"/>
        <v>0</v>
      </c>
      <c r="I43" s="231">
        <f t="shared" si="114"/>
        <v>0</v>
      </c>
      <c r="J43" s="231">
        <f t="shared" si="114"/>
        <v>0</v>
      </c>
      <c r="K43" s="412">
        <f t="shared" si="87"/>
        <v>0</v>
      </c>
      <c r="L43" s="417">
        <f t="shared" ref="L43" si="115">L19</f>
        <v>0</v>
      </c>
      <c r="M43" s="231">
        <f>M19</f>
        <v>456049</v>
      </c>
      <c r="N43" s="231">
        <f t="shared" ref="N43:S43" si="116">N19</f>
        <v>0</v>
      </c>
      <c r="O43" s="231">
        <f t="shared" si="116"/>
        <v>666321</v>
      </c>
      <c r="P43" s="231">
        <f t="shared" si="116"/>
        <v>0</v>
      </c>
      <c r="Q43" s="231">
        <f t="shared" si="116"/>
        <v>880074</v>
      </c>
      <c r="R43" s="231">
        <f t="shared" si="116"/>
        <v>0</v>
      </c>
      <c r="S43" s="231">
        <f t="shared" si="116"/>
        <v>981571</v>
      </c>
      <c r="T43" s="414">
        <f t="shared" si="88"/>
        <v>2984015</v>
      </c>
      <c r="U43" s="415">
        <f t="shared" si="89"/>
        <v>2984015</v>
      </c>
      <c r="V43" s="300">
        <v>21</v>
      </c>
      <c r="W43" s="231">
        <f t="shared" ref="W43:AD43" si="117">W19</f>
        <v>0</v>
      </c>
      <c r="X43" s="231">
        <f t="shared" si="117"/>
        <v>0</v>
      </c>
      <c r="Y43" s="231">
        <f t="shared" si="117"/>
        <v>0</v>
      </c>
      <c r="Z43" s="231">
        <f t="shared" si="117"/>
        <v>0</v>
      </c>
      <c r="AA43" s="231">
        <f t="shared" si="117"/>
        <v>0</v>
      </c>
      <c r="AB43" s="231">
        <f t="shared" si="117"/>
        <v>0</v>
      </c>
      <c r="AC43" s="231">
        <f t="shared" si="117"/>
        <v>0</v>
      </c>
      <c r="AD43" s="231">
        <f t="shared" si="117"/>
        <v>0</v>
      </c>
      <c r="AE43" s="412">
        <f t="shared" si="90"/>
        <v>0</v>
      </c>
      <c r="AF43" s="417">
        <f t="shared" ref="AF43:AM43" si="118">AF19</f>
        <v>0</v>
      </c>
      <c r="AG43" s="231">
        <f t="shared" si="118"/>
        <v>201287</v>
      </c>
      <c r="AH43" s="231">
        <f t="shared" si="118"/>
        <v>0</v>
      </c>
      <c r="AI43" s="231">
        <f t="shared" si="118"/>
        <v>172768</v>
      </c>
      <c r="AJ43" s="231">
        <f t="shared" si="118"/>
        <v>0</v>
      </c>
      <c r="AK43" s="231">
        <f t="shared" si="118"/>
        <v>188799</v>
      </c>
      <c r="AL43" s="231">
        <f t="shared" si="118"/>
        <v>0</v>
      </c>
      <c r="AM43" s="231">
        <f t="shared" si="118"/>
        <v>201657</v>
      </c>
      <c r="AN43" s="414">
        <f t="shared" si="91"/>
        <v>764511</v>
      </c>
      <c r="AO43" s="415">
        <f t="shared" si="92"/>
        <v>764511</v>
      </c>
      <c r="AP43" s="300">
        <v>21</v>
      </c>
      <c r="AQ43" s="231">
        <f t="shared" ref="AQ43:AX43" si="119">AQ19</f>
        <v>0</v>
      </c>
      <c r="AR43" s="231">
        <f t="shared" si="119"/>
        <v>0</v>
      </c>
      <c r="AS43" s="231">
        <f t="shared" si="119"/>
        <v>0</v>
      </c>
      <c r="AT43" s="231">
        <f t="shared" si="119"/>
        <v>0</v>
      </c>
      <c r="AU43" s="231">
        <f t="shared" si="119"/>
        <v>0</v>
      </c>
      <c r="AV43" s="231">
        <f t="shared" si="119"/>
        <v>0</v>
      </c>
      <c r="AW43" s="231">
        <f t="shared" si="119"/>
        <v>0</v>
      </c>
      <c r="AX43" s="231">
        <f t="shared" si="119"/>
        <v>0</v>
      </c>
      <c r="AY43" s="412">
        <f t="shared" si="93"/>
        <v>0</v>
      </c>
      <c r="AZ43" s="417">
        <f t="shared" ref="AZ43:BG43" si="120">AZ19</f>
        <v>0</v>
      </c>
      <c r="BA43" s="231">
        <f t="shared" si="120"/>
        <v>6080924</v>
      </c>
      <c r="BB43" s="231">
        <f t="shared" si="120"/>
        <v>0</v>
      </c>
      <c r="BC43" s="231">
        <f t="shared" si="120"/>
        <v>5862861</v>
      </c>
      <c r="BD43" s="231">
        <f t="shared" si="120"/>
        <v>0</v>
      </c>
      <c r="BE43" s="231">
        <f t="shared" si="120"/>
        <v>6359554</v>
      </c>
      <c r="BF43" s="231">
        <f t="shared" si="120"/>
        <v>0</v>
      </c>
      <c r="BG43" s="231">
        <f t="shared" si="120"/>
        <v>6554065</v>
      </c>
      <c r="BH43" s="414">
        <f t="shared" si="94"/>
        <v>24857404</v>
      </c>
      <c r="BI43" s="415">
        <f t="shared" si="95"/>
        <v>24857404</v>
      </c>
      <c r="BJ43" s="300">
        <v>21</v>
      </c>
      <c r="BK43" s="231">
        <f t="shared" ref="BK43:BR43" si="121">BK19</f>
        <v>0</v>
      </c>
      <c r="BL43" s="231">
        <f t="shared" si="121"/>
        <v>0</v>
      </c>
      <c r="BM43" s="231">
        <f t="shared" si="121"/>
        <v>0</v>
      </c>
      <c r="BN43" s="231">
        <f t="shared" si="121"/>
        <v>0</v>
      </c>
      <c r="BO43" s="231">
        <f t="shared" si="121"/>
        <v>0</v>
      </c>
      <c r="BP43" s="231">
        <f t="shared" si="121"/>
        <v>0</v>
      </c>
      <c r="BQ43" s="231">
        <f t="shared" si="121"/>
        <v>0</v>
      </c>
      <c r="BR43" s="231">
        <f t="shared" si="121"/>
        <v>0</v>
      </c>
      <c r="BS43" s="412">
        <f t="shared" si="96"/>
        <v>0</v>
      </c>
      <c r="BT43" s="417">
        <f t="shared" ref="BT43:CA43" si="122">BT19</f>
        <v>0</v>
      </c>
      <c r="BU43" s="231">
        <f t="shared" si="122"/>
        <v>200367</v>
      </c>
      <c r="BV43" s="231">
        <f t="shared" si="122"/>
        <v>0</v>
      </c>
      <c r="BW43" s="231">
        <f t="shared" si="122"/>
        <v>154227</v>
      </c>
      <c r="BX43" s="231">
        <f t="shared" si="122"/>
        <v>0</v>
      </c>
      <c r="BY43" s="231">
        <f t="shared" si="122"/>
        <v>169513</v>
      </c>
      <c r="BZ43" s="231">
        <f t="shared" si="122"/>
        <v>0</v>
      </c>
      <c r="CA43" s="231">
        <f t="shared" si="122"/>
        <v>160326</v>
      </c>
      <c r="CB43" s="414">
        <f t="shared" si="97"/>
        <v>684433</v>
      </c>
      <c r="CC43" s="415">
        <f t="shared" si="98"/>
        <v>684433</v>
      </c>
      <c r="CD43" s="300">
        <v>21</v>
      </c>
      <c r="CE43" s="414">
        <f t="shared" si="99"/>
        <v>0</v>
      </c>
      <c r="CF43" s="414">
        <f t="shared" si="100"/>
        <v>0</v>
      </c>
      <c r="CG43" s="414">
        <f t="shared" si="101"/>
        <v>0</v>
      </c>
      <c r="CH43" s="414">
        <f t="shared" si="102"/>
        <v>0</v>
      </c>
      <c r="CI43" s="416">
        <f t="shared" si="103"/>
        <v>0</v>
      </c>
      <c r="CJ43" s="414">
        <f t="shared" si="104"/>
        <v>6938627</v>
      </c>
      <c r="CK43" s="414">
        <f t="shared" si="105"/>
        <v>6856177</v>
      </c>
      <c r="CL43" s="414">
        <f t="shared" si="106"/>
        <v>7597940</v>
      </c>
      <c r="CM43" s="414">
        <f t="shared" si="107"/>
        <v>7897619</v>
      </c>
      <c r="CN43" s="416">
        <f t="shared" si="108"/>
        <v>29290363</v>
      </c>
      <c r="CO43" s="414">
        <f t="shared" si="109"/>
        <v>6938627</v>
      </c>
      <c r="CP43" s="414">
        <f t="shared" si="110"/>
        <v>6856177</v>
      </c>
      <c r="CQ43" s="414">
        <f t="shared" si="111"/>
        <v>7597940</v>
      </c>
      <c r="CR43" s="414">
        <f t="shared" si="112"/>
        <v>7897619</v>
      </c>
      <c r="CS43" s="416">
        <f t="shared" si="113"/>
        <v>29290363</v>
      </c>
      <c r="CU43" s="319"/>
    </row>
    <row r="44" spans="1:102" ht="15.75" customHeight="1">
      <c r="A44" s="88" t="s">
        <v>207</v>
      </c>
      <c r="B44" s="300">
        <v>22</v>
      </c>
      <c r="C44" s="231">
        <v>283436.49000000034</v>
      </c>
      <c r="D44" s="231">
        <v>0</v>
      </c>
      <c r="E44" s="231">
        <v>299138.5593115057</v>
      </c>
      <c r="F44" s="231">
        <v>17849.255272450937</v>
      </c>
      <c r="G44" s="231">
        <v>244151.83308111873</v>
      </c>
      <c r="H44" s="231">
        <v>142.60051968136497</v>
      </c>
      <c r="I44" s="231">
        <v>213028.47000000003</v>
      </c>
      <c r="J44" s="231">
        <v>64.013667302631731</v>
      </c>
      <c r="K44" s="412">
        <f t="shared" si="87"/>
        <v>1057811.2218520599</v>
      </c>
      <c r="L44" s="417">
        <v>0</v>
      </c>
      <c r="M44" s="417">
        <v>805814.79658765986</v>
      </c>
      <c r="N44" s="417">
        <v>0</v>
      </c>
      <c r="O44" s="417">
        <v>672243.66282531747</v>
      </c>
      <c r="P44" s="417">
        <v>0</v>
      </c>
      <c r="Q44" s="417">
        <v>699617.10154612886</v>
      </c>
      <c r="R44" s="417">
        <v>0</v>
      </c>
      <c r="S44" s="417">
        <v>556755.67568946443</v>
      </c>
      <c r="T44" s="414">
        <f t="shared" si="88"/>
        <v>2734431.2366485707</v>
      </c>
      <c r="U44" s="415">
        <f t="shared" si="89"/>
        <v>3792242.4585006307</v>
      </c>
      <c r="V44" s="300">
        <v>22</v>
      </c>
      <c r="W44" s="231">
        <v>24429.96999999999</v>
      </c>
      <c r="X44" s="231">
        <v>0</v>
      </c>
      <c r="Y44" s="231">
        <v>9375.2560011243786</v>
      </c>
      <c r="Z44" s="231">
        <v>1232.468644656494</v>
      </c>
      <c r="AA44" s="231">
        <v>11829.449999999999</v>
      </c>
      <c r="AB44" s="231">
        <v>0</v>
      </c>
      <c r="AC44" s="231">
        <v>20993.69</v>
      </c>
      <c r="AD44" s="231">
        <v>0</v>
      </c>
      <c r="AE44" s="412">
        <f t="shared" si="90"/>
        <v>67860.834645780866</v>
      </c>
      <c r="AF44" s="417">
        <v>0</v>
      </c>
      <c r="AG44" s="231">
        <v>374662.35186746577</v>
      </c>
      <c r="AH44" s="231">
        <v>0</v>
      </c>
      <c r="AI44" s="231">
        <v>303296.49309108569</v>
      </c>
      <c r="AJ44" s="231">
        <v>0</v>
      </c>
      <c r="AK44" s="231">
        <v>316750.40999999898</v>
      </c>
      <c r="AL44" s="231">
        <v>0</v>
      </c>
      <c r="AM44" s="231">
        <v>334991.56000000017</v>
      </c>
      <c r="AN44" s="414">
        <f t="shared" si="91"/>
        <v>1329700.8149585505</v>
      </c>
      <c r="AO44" s="415">
        <f t="shared" si="92"/>
        <v>1397561.6496043315</v>
      </c>
      <c r="AP44" s="300">
        <v>22</v>
      </c>
      <c r="AQ44" s="231">
        <v>1821131.6000000006</v>
      </c>
      <c r="AR44" s="231">
        <v>9.4606111528577816</v>
      </c>
      <c r="AS44" s="231">
        <v>2134150.9464238547</v>
      </c>
      <c r="AT44" s="231">
        <v>120247.86944151296</v>
      </c>
      <c r="AU44" s="231">
        <v>2420260.0796861276</v>
      </c>
      <c r="AV44" s="231">
        <v>1555.6310691690132</v>
      </c>
      <c r="AW44" s="231">
        <v>2575436.1159187574</v>
      </c>
      <c r="AX44" s="231">
        <v>1270.7149739593665</v>
      </c>
      <c r="AY44" s="412">
        <f t="shared" si="93"/>
        <v>9074062.4181245342</v>
      </c>
      <c r="AZ44" s="417">
        <v>0</v>
      </c>
      <c r="BA44" s="231">
        <v>5086672.4620622965</v>
      </c>
      <c r="BB44" s="231">
        <v>0</v>
      </c>
      <c r="BC44" s="231">
        <v>5695751.3755030409</v>
      </c>
      <c r="BD44" s="231">
        <v>0</v>
      </c>
      <c r="BE44" s="231">
        <v>5966644.3888247246</v>
      </c>
      <c r="BF44" s="231">
        <v>0</v>
      </c>
      <c r="BG44" s="231">
        <v>6755078.2605835702</v>
      </c>
      <c r="BH44" s="414">
        <f t="shared" si="94"/>
        <v>23504146.486973628</v>
      </c>
      <c r="BI44" s="415">
        <f t="shared" si="95"/>
        <v>32578208.905098163</v>
      </c>
      <c r="BJ44" s="300">
        <v>22</v>
      </c>
      <c r="BK44" s="231">
        <v>21144.980000000007</v>
      </c>
      <c r="BL44" s="231">
        <v>0</v>
      </c>
      <c r="BM44" s="231">
        <v>27067.004041026805</v>
      </c>
      <c r="BN44" s="231">
        <v>1851.8559054821812</v>
      </c>
      <c r="BO44" s="231">
        <v>24672.670000000002</v>
      </c>
      <c r="BP44" s="231">
        <v>0</v>
      </c>
      <c r="BQ44" s="231">
        <v>47998.420000000013</v>
      </c>
      <c r="BR44" s="231">
        <v>0</v>
      </c>
      <c r="BS44" s="412">
        <f t="shared" si="96"/>
        <v>122734.929946509</v>
      </c>
      <c r="BT44" s="417">
        <v>0</v>
      </c>
      <c r="BU44" s="231">
        <v>78509.399999999674</v>
      </c>
      <c r="BV44" s="231">
        <v>0</v>
      </c>
      <c r="BW44" s="231">
        <v>157676.59066773026</v>
      </c>
      <c r="BX44" s="231">
        <v>0</v>
      </c>
      <c r="BY44" s="231">
        <v>186605.08999999973</v>
      </c>
      <c r="BZ44" s="231">
        <v>0</v>
      </c>
      <c r="CA44" s="231">
        <v>283732.44000000024</v>
      </c>
      <c r="CB44" s="414">
        <f t="shared" si="97"/>
        <v>706523.5206677299</v>
      </c>
      <c r="CC44" s="415">
        <f t="shared" si="98"/>
        <v>829258.45061423886</v>
      </c>
      <c r="CD44" s="300">
        <v>22</v>
      </c>
      <c r="CE44" s="414">
        <f t="shared" si="99"/>
        <v>2150152.5006111539</v>
      </c>
      <c r="CF44" s="414">
        <f t="shared" si="100"/>
        <v>2610913.2150416141</v>
      </c>
      <c r="CG44" s="414">
        <f t="shared" si="101"/>
        <v>2702612.2643560967</v>
      </c>
      <c r="CH44" s="414">
        <f t="shared" si="102"/>
        <v>2858791.4245600193</v>
      </c>
      <c r="CI44" s="416">
        <f t="shared" si="103"/>
        <v>10322469.404568883</v>
      </c>
      <c r="CJ44" s="414">
        <f t="shared" si="104"/>
        <v>6345659.0105174212</v>
      </c>
      <c r="CK44" s="414">
        <f t="shared" si="105"/>
        <v>6828968.1220871741</v>
      </c>
      <c r="CL44" s="414">
        <f t="shared" si="106"/>
        <v>7169616.9903708519</v>
      </c>
      <c r="CM44" s="414">
        <f t="shared" si="107"/>
        <v>7930557.9362730356</v>
      </c>
      <c r="CN44" s="416">
        <f t="shared" si="108"/>
        <v>28274802.059248477</v>
      </c>
      <c r="CO44" s="414">
        <f t="shared" si="109"/>
        <v>8495811.5111285765</v>
      </c>
      <c r="CP44" s="414">
        <f t="shared" si="110"/>
        <v>9439881.3371287882</v>
      </c>
      <c r="CQ44" s="414">
        <f t="shared" si="111"/>
        <v>9872229.2547269482</v>
      </c>
      <c r="CR44" s="414">
        <f t="shared" si="112"/>
        <v>10789349.360833053</v>
      </c>
      <c r="CS44" s="416">
        <f t="shared" si="113"/>
        <v>38597271.463817365</v>
      </c>
      <c r="CU44" s="319"/>
      <c r="CV44" s="319"/>
    </row>
    <row r="45" spans="1:102" ht="15.75" customHeight="1">
      <c r="A45" s="88" t="s">
        <v>209</v>
      </c>
      <c r="B45" s="300">
        <v>23</v>
      </c>
      <c r="C45" s="231">
        <v>206561.91970520705</v>
      </c>
      <c r="D45" s="231">
        <v>0</v>
      </c>
      <c r="E45" s="231">
        <v>227767.49407764353</v>
      </c>
      <c r="F45" s="231">
        <v>17849.255272450937</v>
      </c>
      <c r="G45" s="231">
        <v>193225.21079979121</v>
      </c>
      <c r="H45" s="231">
        <v>142.60051968136497</v>
      </c>
      <c r="I45" s="231">
        <v>171525.88854605926</v>
      </c>
      <c r="J45" s="231">
        <v>64.013667302631731</v>
      </c>
      <c r="K45" s="412">
        <f t="shared" si="87"/>
        <v>817136.38258813601</v>
      </c>
      <c r="L45" s="417">
        <v>0</v>
      </c>
      <c r="M45" s="231">
        <v>428153.90445151506</v>
      </c>
      <c r="N45" s="231">
        <v>0</v>
      </c>
      <c r="O45" s="231">
        <v>287538.01148732152</v>
      </c>
      <c r="P45" s="231">
        <v>0</v>
      </c>
      <c r="Q45" s="231">
        <v>278539.89710595517</v>
      </c>
      <c r="R45" s="231">
        <v>0</v>
      </c>
      <c r="S45" s="231">
        <v>165815.42578709402</v>
      </c>
      <c r="T45" s="414">
        <f t="shared" si="88"/>
        <v>1160047.2388318856</v>
      </c>
      <c r="U45" s="415">
        <f t="shared" si="89"/>
        <v>1977183.6214200216</v>
      </c>
      <c r="V45" s="300">
        <v>23</v>
      </c>
      <c r="W45" s="231">
        <v>17803.993767847638</v>
      </c>
      <c r="X45" s="231">
        <v>0</v>
      </c>
      <c r="Y45" s="231">
        <v>7135.0806690999689</v>
      </c>
      <c r="Z45" s="231">
        <v>1232.468644656494</v>
      </c>
      <c r="AA45" s="231">
        <v>9359.5918995990778</v>
      </c>
      <c r="AB45" s="231">
        <v>0</v>
      </c>
      <c r="AC45" s="231">
        <v>16903.662365459968</v>
      </c>
      <c r="AD45" s="231">
        <v>0</v>
      </c>
      <c r="AE45" s="412">
        <f t="shared" si="90"/>
        <v>52434.797346663152</v>
      </c>
      <c r="AF45" s="417">
        <v>0</v>
      </c>
      <c r="AG45" s="231">
        <v>202250.70841304347</v>
      </c>
      <c r="AH45" s="231">
        <v>0</v>
      </c>
      <c r="AI45" s="231">
        <v>165683.52345099181</v>
      </c>
      <c r="AJ45" s="231">
        <v>0</v>
      </c>
      <c r="AK45" s="231">
        <v>181975.19258433499</v>
      </c>
      <c r="AL45" s="231">
        <v>0</v>
      </c>
      <c r="AM45" s="231">
        <v>198557.73491083243</v>
      </c>
      <c r="AN45" s="414">
        <f t="shared" ref="AN45:AN47" si="123">SUM(AF45:AM45)</f>
        <v>748467.15935920272</v>
      </c>
      <c r="AO45" s="415">
        <f t="shared" si="92"/>
        <v>800901.95670586592</v>
      </c>
      <c r="AP45" s="300">
        <v>23</v>
      </c>
      <c r="AQ45" s="231">
        <v>1327198.3410880333</v>
      </c>
      <c r="AR45" s="231">
        <v>9.4606111528577816</v>
      </c>
      <c r="AS45" s="231">
        <v>1622290.3239954577</v>
      </c>
      <c r="AT45" s="231">
        <v>120247.86944151296</v>
      </c>
      <c r="AU45" s="231">
        <v>1914948.7282610787</v>
      </c>
      <c r="AV45" s="231">
        <v>1555.6310691690132</v>
      </c>
      <c r="AW45" s="231">
        <v>2073728.4933883664</v>
      </c>
      <c r="AX45" s="231">
        <v>1270.7149739593665</v>
      </c>
      <c r="AY45" s="412">
        <f t="shared" si="93"/>
        <v>7061249.5628287299</v>
      </c>
      <c r="AZ45" s="417">
        <v>0</v>
      </c>
      <c r="BA45" s="231">
        <v>1743824.8117437698</v>
      </c>
      <c r="BB45" s="231">
        <v>0</v>
      </c>
      <c r="BC45" s="231">
        <v>2361307.3758005998</v>
      </c>
      <c r="BD45" s="231">
        <v>0</v>
      </c>
      <c r="BE45" s="231">
        <v>2682180.9393180674</v>
      </c>
      <c r="BF45" s="231">
        <v>0</v>
      </c>
      <c r="BG45" s="231">
        <v>3374584.3150630514</v>
      </c>
      <c r="BH45" s="414">
        <f t="shared" ref="BH45:BH47" si="124">SUM(AZ45:BG45)</f>
        <v>10161897.441925488</v>
      </c>
      <c r="BI45" s="415">
        <f t="shared" si="95"/>
        <v>17223147.004754219</v>
      </c>
      <c r="BJ45" s="300">
        <v>23</v>
      </c>
      <c r="BK45" s="231">
        <v>15409.969481798922</v>
      </c>
      <c r="BL45" s="231">
        <v>0</v>
      </c>
      <c r="BM45" s="231">
        <v>20519.09329320263</v>
      </c>
      <c r="BN45" s="231">
        <v>1851.8559054821812</v>
      </c>
      <c r="BO45" s="231">
        <v>19521.289854852188</v>
      </c>
      <c r="BP45" s="231">
        <v>0</v>
      </c>
      <c r="BQ45" s="231">
        <v>38647.283338733752</v>
      </c>
      <c r="BR45" s="231">
        <v>0</v>
      </c>
      <c r="BS45" s="412">
        <f t="shared" si="96"/>
        <v>95949.491874069674</v>
      </c>
      <c r="BT45" s="417">
        <v>0</v>
      </c>
      <c r="BU45" s="231">
        <v>-4973.8393537102093</v>
      </c>
      <c r="BV45" s="231">
        <v>0</v>
      </c>
      <c r="BW45" s="231">
        <v>67516.286374639662</v>
      </c>
      <c r="BX45" s="231">
        <v>0</v>
      </c>
      <c r="BY45" s="231">
        <v>91667.003539382713</v>
      </c>
      <c r="BZ45" s="231">
        <v>0</v>
      </c>
      <c r="CA45" s="231">
        <v>170838.08731581265</v>
      </c>
      <c r="CB45" s="414">
        <f t="shared" ref="CB45:CB47" si="125">SUM(BT45:CA45)</f>
        <v>325047.53787612484</v>
      </c>
      <c r="CC45" s="415">
        <f t="shared" si="98"/>
        <v>420997.02975019452</v>
      </c>
      <c r="CD45" s="300">
        <v>23</v>
      </c>
      <c r="CE45" s="414">
        <f t="shared" si="99"/>
        <v>1566983.6846540398</v>
      </c>
      <c r="CF45" s="414">
        <f t="shared" si="100"/>
        <v>2018893.4412995062</v>
      </c>
      <c r="CG45" s="414">
        <f t="shared" si="101"/>
        <v>2138753.0524041713</v>
      </c>
      <c r="CH45" s="414">
        <f t="shared" si="102"/>
        <v>2302140.0562798814</v>
      </c>
      <c r="CI45" s="416">
        <f t="shared" si="103"/>
        <v>8026770.2346375985</v>
      </c>
      <c r="CJ45" s="414">
        <f t="shared" si="104"/>
        <v>2369255.585254618</v>
      </c>
      <c r="CK45" s="414">
        <f t="shared" si="105"/>
        <v>2882045.1971135531</v>
      </c>
      <c r="CL45" s="414">
        <f t="shared" si="106"/>
        <v>3234363.0325477403</v>
      </c>
      <c r="CM45" s="414">
        <f t="shared" si="107"/>
        <v>3909795.5630767904</v>
      </c>
      <c r="CN45" s="416">
        <f t="shared" si="108"/>
        <v>12395459.377992703</v>
      </c>
      <c r="CO45" s="414">
        <f t="shared" si="109"/>
        <v>3936239.2699086578</v>
      </c>
      <c r="CP45" s="414">
        <f t="shared" si="110"/>
        <v>4900938.6384130605</v>
      </c>
      <c r="CQ45" s="414">
        <f t="shared" si="111"/>
        <v>5373116.0849519121</v>
      </c>
      <c r="CR45" s="414">
        <f t="shared" si="112"/>
        <v>6211935.6193566723</v>
      </c>
      <c r="CS45" s="416">
        <f t="shared" si="113"/>
        <v>20422229.6126303</v>
      </c>
    </row>
    <row r="46" spans="1:102" ht="15.75" customHeight="1">
      <c r="A46" s="88" t="s">
        <v>211</v>
      </c>
      <c r="B46" s="300">
        <v>24</v>
      </c>
      <c r="C46" s="231">
        <v>6252.2100000000009</v>
      </c>
      <c r="D46" s="231">
        <v>0</v>
      </c>
      <c r="E46" s="231">
        <v>5414.9899999999989</v>
      </c>
      <c r="F46" s="231">
        <v>0</v>
      </c>
      <c r="G46" s="231">
        <v>11210.630000000003</v>
      </c>
      <c r="H46" s="231">
        <v>0</v>
      </c>
      <c r="I46" s="231">
        <v>14852.509999999995</v>
      </c>
      <c r="J46" s="231">
        <v>0</v>
      </c>
      <c r="K46" s="412">
        <f t="shared" si="87"/>
        <v>37730.339999999997</v>
      </c>
      <c r="L46" s="417">
        <v>0</v>
      </c>
      <c r="M46" s="231">
        <v>41708.590000000026</v>
      </c>
      <c r="N46" s="231">
        <v>0</v>
      </c>
      <c r="O46" s="231">
        <v>38246.879999999976</v>
      </c>
      <c r="P46" s="231">
        <v>0</v>
      </c>
      <c r="Q46" s="231">
        <v>78930.229999999981</v>
      </c>
      <c r="R46" s="231">
        <v>0</v>
      </c>
      <c r="S46" s="231">
        <v>82354.610000000015</v>
      </c>
      <c r="T46" s="414">
        <f t="shared" si="88"/>
        <v>241240.31</v>
      </c>
      <c r="U46" s="415">
        <f t="shared" si="89"/>
        <v>278970.65000000002</v>
      </c>
      <c r="V46" s="300">
        <v>24</v>
      </c>
      <c r="W46" s="231">
        <v>630.14</v>
      </c>
      <c r="X46" s="231">
        <v>0</v>
      </c>
      <c r="Y46" s="231">
        <v>177.8</v>
      </c>
      <c r="Z46" s="231">
        <v>0</v>
      </c>
      <c r="AA46" s="231">
        <v>1062.29</v>
      </c>
      <c r="AB46" s="231">
        <v>0</v>
      </c>
      <c r="AC46" s="231">
        <v>1658.7499999999998</v>
      </c>
      <c r="AD46" s="231">
        <v>0</v>
      </c>
      <c r="AE46" s="412">
        <f t="shared" si="90"/>
        <v>3528.9799999999996</v>
      </c>
      <c r="AF46" s="417">
        <v>0</v>
      </c>
      <c r="AG46" s="231">
        <v>10901.420000000002</v>
      </c>
      <c r="AH46" s="231">
        <v>0</v>
      </c>
      <c r="AI46" s="231">
        <v>6922.2799999999988</v>
      </c>
      <c r="AJ46" s="231">
        <v>0</v>
      </c>
      <c r="AK46" s="231">
        <v>18623.089999999993</v>
      </c>
      <c r="AL46" s="231">
        <v>0</v>
      </c>
      <c r="AM46" s="231">
        <v>23789.71</v>
      </c>
      <c r="AN46" s="414">
        <f t="shared" si="123"/>
        <v>60236.499999999993</v>
      </c>
      <c r="AO46" s="415">
        <f t="shared" si="92"/>
        <v>63765.479999999996</v>
      </c>
      <c r="AP46" s="300">
        <v>24</v>
      </c>
      <c r="AQ46" s="231">
        <v>42817.390000000007</v>
      </c>
      <c r="AR46" s="231">
        <v>0</v>
      </c>
      <c r="AS46" s="231">
        <v>35971.29</v>
      </c>
      <c r="AT46" s="231">
        <v>0</v>
      </c>
      <c r="AU46" s="231">
        <v>101684.42999999956</v>
      </c>
      <c r="AV46" s="231">
        <v>0</v>
      </c>
      <c r="AW46" s="231">
        <v>104744.42999999976</v>
      </c>
      <c r="AX46" s="231">
        <v>0</v>
      </c>
      <c r="AY46" s="412">
        <f t="shared" si="93"/>
        <v>285217.53999999934</v>
      </c>
      <c r="AZ46" s="417">
        <v>0</v>
      </c>
      <c r="BA46" s="231">
        <v>294375.44999999949</v>
      </c>
      <c r="BB46" s="231">
        <v>0</v>
      </c>
      <c r="BC46" s="231">
        <v>295116.58000000025</v>
      </c>
      <c r="BD46" s="231">
        <v>0</v>
      </c>
      <c r="BE46" s="231">
        <v>489632.55000000441</v>
      </c>
      <c r="BF46" s="231">
        <v>0</v>
      </c>
      <c r="BG46" s="231">
        <v>525414.1899999989</v>
      </c>
      <c r="BH46" s="414">
        <f t="shared" si="124"/>
        <v>1604538.7700000033</v>
      </c>
      <c r="BI46" s="415">
        <f t="shared" si="95"/>
        <v>1889756.3100000026</v>
      </c>
      <c r="BJ46" s="300">
        <v>24</v>
      </c>
      <c r="BK46" s="231">
        <v>280.37</v>
      </c>
      <c r="BL46" s="231">
        <v>0</v>
      </c>
      <c r="BM46" s="231">
        <v>0</v>
      </c>
      <c r="BN46" s="231">
        <v>0</v>
      </c>
      <c r="BO46" s="231">
        <v>839.22</v>
      </c>
      <c r="BP46" s="231">
        <v>0</v>
      </c>
      <c r="BQ46" s="231">
        <v>156.59</v>
      </c>
      <c r="BR46" s="231">
        <v>0</v>
      </c>
      <c r="BS46" s="412">
        <f t="shared" si="96"/>
        <v>1276.18</v>
      </c>
      <c r="BT46" s="417">
        <v>0</v>
      </c>
      <c r="BU46" s="231">
        <v>1457.26</v>
      </c>
      <c r="BV46" s="231">
        <v>0</v>
      </c>
      <c r="BW46" s="231">
        <v>1421.08</v>
      </c>
      <c r="BX46" s="231">
        <v>0</v>
      </c>
      <c r="BY46" s="231">
        <v>4480.3900000000012</v>
      </c>
      <c r="BZ46" s="231">
        <v>0</v>
      </c>
      <c r="CA46" s="231">
        <v>8327.16</v>
      </c>
      <c r="CB46" s="414">
        <f t="shared" si="125"/>
        <v>15685.890000000001</v>
      </c>
      <c r="CC46" s="415">
        <f t="shared" si="98"/>
        <v>16962.07</v>
      </c>
      <c r="CD46" s="300">
        <v>24</v>
      </c>
      <c r="CE46" s="414">
        <f t="shared" si="99"/>
        <v>49980.110000000008</v>
      </c>
      <c r="CF46" s="414">
        <f t="shared" si="100"/>
        <v>41564.080000000002</v>
      </c>
      <c r="CG46" s="414">
        <f t="shared" si="101"/>
        <v>114796.56999999956</v>
      </c>
      <c r="CH46" s="414">
        <f t="shared" si="102"/>
        <v>121412.27999999975</v>
      </c>
      <c r="CI46" s="416">
        <f t="shared" si="103"/>
        <v>327753.03999999934</v>
      </c>
      <c r="CJ46" s="414">
        <f t="shared" si="104"/>
        <v>348442.71999999951</v>
      </c>
      <c r="CK46" s="414">
        <f t="shared" si="105"/>
        <v>341706.82000000024</v>
      </c>
      <c r="CL46" s="414">
        <f t="shared" si="106"/>
        <v>591666.26000000443</v>
      </c>
      <c r="CM46" s="414">
        <f t="shared" si="107"/>
        <v>639885.66999999888</v>
      </c>
      <c r="CN46" s="416">
        <f t="shared" si="108"/>
        <v>1921701.4700000032</v>
      </c>
      <c r="CO46" s="414">
        <f t="shared" si="109"/>
        <v>398422.82999999949</v>
      </c>
      <c r="CP46" s="414">
        <f t="shared" si="110"/>
        <v>383270.90000000026</v>
      </c>
      <c r="CQ46" s="414">
        <f t="shared" si="111"/>
        <v>706462.83000000392</v>
      </c>
      <c r="CR46" s="414">
        <f t="shared" si="112"/>
        <v>761297.94999999867</v>
      </c>
      <c r="CS46" s="416">
        <f t="shared" si="113"/>
        <v>2249454.5100000026</v>
      </c>
    </row>
    <row r="47" spans="1:102" ht="15.75" customHeight="1">
      <c r="A47" s="88" t="s">
        <v>212</v>
      </c>
      <c r="B47" s="300">
        <v>25</v>
      </c>
      <c r="C47" s="231">
        <v>4556.4651890802461</v>
      </c>
      <c r="D47" s="231">
        <v>0</v>
      </c>
      <c r="E47" s="231">
        <v>4100.6446443610894</v>
      </c>
      <c r="F47" s="231">
        <v>0</v>
      </c>
      <c r="G47" s="231">
        <v>8869.974659633579</v>
      </c>
      <c r="H47" s="231">
        <v>0</v>
      </c>
      <c r="I47" s="231">
        <v>11958.917861491609</v>
      </c>
      <c r="J47" s="231">
        <v>0</v>
      </c>
      <c r="K47" s="412">
        <f t="shared" si="87"/>
        <v>29486.002354566524</v>
      </c>
      <c r="L47" s="417">
        <v>0</v>
      </c>
      <c r="M47" s="231">
        <v>27738.794171503549</v>
      </c>
      <c r="N47" s="231">
        <v>0</v>
      </c>
      <c r="O47" s="231">
        <v>25439.310574772528</v>
      </c>
      <c r="P47" s="231">
        <v>0</v>
      </c>
      <c r="Q47" s="231">
        <v>61855.396453942369</v>
      </c>
      <c r="R47" s="231">
        <v>0</v>
      </c>
      <c r="S47" s="231">
        <v>66245.888321481412</v>
      </c>
      <c r="T47" s="414">
        <f t="shared" si="88"/>
        <v>181279.38952169986</v>
      </c>
      <c r="U47" s="415">
        <f t="shared" si="89"/>
        <v>210765.3918762664</v>
      </c>
      <c r="V47" s="300">
        <v>25</v>
      </c>
      <c r="W47" s="231">
        <v>459.23137166650281</v>
      </c>
      <c r="X47" s="231">
        <v>0</v>
      </c>
      <c r="Y47" s="231">
        <v>134.6437607026794</v>
      </c>
      <c r="Z47" s="231">
        <v>0</v>
      </c>
      <c r="AA47" s="231">
        <v>840.49561721171358</v>
      </c>
      <c r="AB47" s="231">
        <v>0</v>
      </c>
      <c r="AC47" s="231">
        <v>1335.589405612197</v>
      </c>
      <c r="AD47" s="231">
        <v>0</v>
      </c>
      <c r="AE47" s="412">
        <f t="shared" si="90"/>
        <v>2769.9601551930928</v>
      </c>
      <c r="AF47" s="417">
        <v>0</v>
      </c>
      <c r="AG47" s="231">
        <v>7250.1191135234276</v>
      </c>
      <c r="AH47" s="231">
        <v>0</v>
      </c>
      <c r="AI47" s="231">
        <v>4604.2456484172417</v>
      </c>
      <c r="AJ47" s="231">
        <v>0</v>
      </c>
      <c r="AK47" s="231">
        <v>14594.390706164791</v>
      </c>
      <c r="AL47" s="231">
        <v>0</v>
      </c>
      <c r="AM47" s="231">
        <v>19136.396515755816</v>
      </c>
      <c r="AN47" s="414">
        <f t="shared" si="123"/>
        <v>45585.151983861273</v>
      </c>
      <c r="AO47" s="415">
        <f t="shared" si="92"/>
        <v>48355.112139054363</v>
      </c>
      <c r="AP47" s="300">
        <v>25</v>
      </c>
      <c r="AQ47" s="231">
        <v>31204.317676833096</v>
      </c>
      <c r="AR47" s="231">
        <v>0</v>
      </c>
      <c r="AS47" s="231">
        <v>27240.212389913861</v>
      </c>
      <c r="AT47" s="231">
        <v>0</v>
      </c>
      <c r="AU47" s="231">
        <v>80453.847587448734</v>
      </c>
      <c r="AV47" s="231">
        <v>0</v>
      </c>
      <c r="AW47" s="231">
        <v>84337.935797973216</v>
      </c>
      <c r="AX47" s="231">
        <v>0</v>
      </c>
      <c r="AY47" s="412">
        <f t="shared" si="93"/>
        <v>223236.31345216892</v>
      </c>
      <c r="AZ47" s="417">
        <v>0</v>
      </c>
      <c r="BA47" s="231">
        <v>195777.89651229436</v>
      </c>
      <c r="BB47" s="231">
        <v>0</v>
      </c>
      <c r="BC47" s="231">
        <v>196292.1507423537</v>
      </c>
      <c r="BD47" s="231">
        <v>0</v>
      </c>
      <c r="BE47" s="231">
        <v>383711.22822022741</v>
      </c>
      <c r="BF47" s="231">
        <v>0</v>
      </c>
      <c r="BG47" s="231">
        <v>422642.15389110014</v>
      </c>
      <c r="BH47" s="414">
        <f t="shared" si="124"/>
        <v>1198423.4293659755</v>
      </c>
      <c r="BI47" s="415">
        <f t="shared" si="95"/>
        <v>1421659.7428181444</v>
      </c>
      <c r="BJ47" s="300">
        <v>25</v>
      </c>
      <c r="BK47" s="231">
        <v>204.32713313571176</v>
      </c>
      <c r="BL47" s="231">
        <v>0</v>
      </c>
      <c r="BM47" s="231">
        <v>0</v>
      </c>
      <c r="BN47" s="231">
        <v>0</v>
      </c>
      <c r="BO47" s="231">
        <v>664.00016179801582</v>
      </c>
      <c r="BP47" s="231">
        <v>0</v>
      </c>
      <c r="BQ47" s="231">
        <v>126.08286060275144</v>
      </c>
      <c r="BR47" s="231">
        <v>0</v>
      </c>
      <c r="BS47" s="412">
        <f t="shared" si="96"/>
        <v>994.41015553647901</v>
      </c>
      <c r="BT47" s="417">
        <v>0</v>
      </c>
      <c r="BU47" s="231">
        <v>969.16810648274713</v>
      </c>
      <c r="BV47" s="231">
        <v>0</v>
      </c>
      <c r="BW47" s="231">
        <v>945.20900715555786</v>
      </c>
      <c r="BX47" s="231">
        <v>0</v>
      </c>
      <c r="BY47" s="231">
        <v>3511.1553547769845</v>
      </c>
      <c r="BZ47" s="231">
        <v>0</v>
      </c>
      <c r="CA47" s="231">
        <v>6698.3513296354267</v>
      </c>
      <c r="CB47" s="414">
        <f t="shared" si="125"/>
        <v>12123.883798050716</v>
      </c>
      <c r="CC47" s="415">
        <f t="shared" si="98"/>
        <v>13118.293953587196</v>
      </c>
      <c r="CD47" s="300">
        <v>25</v>
      </c>
      <c r="CE47" s="414">
        <f t="shared" si="99"/>
        <v>36424.341370715556</v>
      </c>
      <c r="CF47" s="414">
        <f t="shared" si="100"/>
        <v>31475.50079497763</v>
      </c>
      <c r="CG47" s="414">
        <f t="shared" si="101"/>
        <v>90828.318026092034</v>
      </c>
      <c r="CH47" s="414">
        <f t="shared" si="102"/>
        <v>97758.525925679773</v>
      </c>
      <c r="CI47" s="416">
        <f t="shared" si="103"/>
        <v>256486.68611746503</v>
      </c>
      <c r="CJ47" s="414">
        <f t="shared" si="104"/>
        <v>231735.97790380407</v>
      </c>
      <c r="CK47" s="414">
        <f t="shared" si="105"/>
        <v>227280.91597269903</v>
      </c>
      <c r="CL47" s="414">
        <f t="shared" si="106"/>
        <v>463672.17073511158</v>
      </c>
      <c r="CM47" s="414">
        <f t="shared" si="107"/>
        <v>514722.79005797277</v>
      </c>
      <c r="CN47" s="416">
        <f t="shared" si="108"/>
        <v>1437411.8546695875</v>
      </c>
      <c r="CO47" s="414">
        <f t="shared" si="109"/>
        <v>268160.31927451969</v>
      </c>
      <c r="CP47" s="414">
        <f t="shared" si="110"/>
        <v>258756.41676767665</v>
      </c>
      <c r="CQ47" s="414">
        <f t="shared" si="111"/>
        <v>554500.4887612036</v>
      </c>
      <c r="CR47" s="414">
        <f t="shared" si="112"/>
        <v>612481.3159836526</v>
      </c>
      <c r="CS47" s="416">
        <f t="shared" si="113"/>
        <v>1693898.5407870524</v>
      </c>
    </row>
    <row r="48" spans="1:102" ht="15.75" customHeight="1">
      <c r="A48" s="88" t="s">
        <v>213</v>
      </c>
      <c r="B48" s="300">
        <v>26</v>
      </c>
      <c r="C48" s="231">
        <v>17297.597419998048</v>
      </c>
      <c r="D48" s="231">
        <v>2773.1591453120045</v>
      </c>
      <c r="E48" s="231">
        <v>19223.636177477925</v>
      </c>
      <c r="F48" s="231">
        <v>3031.2350714389227</v>
      </c>
      <c r="G48" s="231">
        <v>30164.065118027789</v>
      </c>
      <c r="H48" s="231">
        <v>1715.2363164069975</v>
      </c>
      <c r="I48" s="231">
        <v>13762.623582143513</v>
      </c>
      <c r="J48" s="231">
        <v>1179.7733104619906</v>
      </c>
      <c r="K48" s="412">
        <f t="shared" si="87"/>
        <v>89147.326141267185</v>
      </c>
      <c r="L48" s="417">
        <v>0</v>
      </c>
      <c r="M48" s="231">
        <v>39999.430447274019</v>
      </c>
      <c r="N48" s="231">
        <v>0</v>
      </c>
      <c r="O48" s="231">
        <v>89420.954385671852</v>
      </c>
      <c r="P48" s="231">
        <v>0</v>
      </c>
      <c r="Q48" s="231">
        <v>60395.470947658192</v>
      </c>
      <c r="R48" s="231">
        <v>0</v>
      </c>
      <c r="S48" s="231">
        <v>63514.277215791961</v>
      </c>
      <c r="T48" s="414">
        <f t="shared" si="88"/>
        <v>253330.13299639602</v>
      </c>
      <c r="U48" s="415">
        <f t="shared" si="89"/>
        <v>342477.45913766319</v>
      </c>
      <c r="V48" s="300">
        <v>26</v>
      </c>
      <c r="W48" s="231">
        <v>394.67549592762396</v>
      </c>
      <c r="X48" s="231">
        <v>675.77365479075979</v>
      </c>
      <c r="Y48" s="231">
        <v>484.28134387823764</v>
      </c>
      <c r="Z48" s="231">
        <v>393.97718158012748</v>
      </c>
      <c r="AA48" s="231">
        <v>290.76878112772232</v>
      </c>
      <c r="AB48" s="231">
        <v>431.05778346983055</v>
      </c>
      <c r="AC48" s="231">
        <v>165.47868201002439</v>
      </c>
      <c r="AD48" s="231">
        <v>376.95131602676355</v>
      </c>
      <c r="AE48" s="412">
        <f t="shared" si="90"/>
        <v>3212.9642388110897</v>
      </c>
      <c r="AF48" s="417">
        <v>0</v>
      </c>
      <c r="AG48" s="231">
        <v>10277.854897261666</v>
      </c>
      <c r="AH48" s="231">
        <v>0</v>
      </c>
      <c r="AI48" s="231">
        <v>11238.153134360877</v>
      </c>
      <c r="AJ48" s="231">
        <v>0</v>
      </c>
      <c r="AK48" s="231">
        <v>13972.402001662158</v>
      </c>
      <c r="AL48" s="231">
        <v>0</v>
      </c>
      <c r="AM48" s="231">
        <v>27323.372284468092</v>
      </c>
      <c r="AN48" s="414">
        <f t="shared" si="91"/>
        <v>62811.78231775279</v>
      </c>
      <c r="AO48" s="415">
        <f t="shared" si="92"/>
        <v>66024.746556563885</v>
      </c>
      <c r="AP48" s="300">
        <v>26</v>
      </c>
      <c r="AQ48" s="231">
        <v>45412.55363837567</v>
      </c>
      <c r="AR48" s="231">
        <v>22394.366669878651</v>
      </c>
      <c r="AS48" s="231">
        <v>61165.865786881885</v>
      </c>
      <c r="AT48" s="231">
        <v>19907.023085137371</v>
      </c>
      <c r="AU48" s="231">
        <v>73752.759637483119</v>
      </c>
      <c r="AV48" s="231">
        <v>21130.38400417694</v>
      </c>
      <c r="AW48" s="231">
        <v>80270.507959697614</v>
      </c>
      <c r="AX48" s="231">
        <v>19478.509778568088</v>
      </c>
      <c r="AY48" s="412">
        <f t="shared" si="93"/>
        <v>343511.97056019941</v>
      </c>
      <c r="AZ48" s="417">
        <v>0</v>
      </c>
      <c r="BA48" s="231">
        <v>229518.08381014058</v>
      </c>
      <c r="BB48" s="231">
        <v>0</v>
      </c>
      <c r="BC48" s="231">
        <v>253102.00324885236</v>
      </c>
      <c r="BD48" s="231">
        <v>0</v>
      </c>
      <c r="BE48" s="231">
        <v>304422.27904078749</v>
      </c>
      <c r="BF48" s="231">
        <v>0</v>
      </c>
      <c r="BG48" s="231">
        <v>311523.673608249</v>
      </c>
      <c r="BH48" s="414">
        <f t="shared" si="94"/>
        <v>1098566.0397080295</v>
      </c>
      <c r="BI48" s="415">
        <f t="shared" si="95"/>
        <v>1442078.0102682288</v>
      </c>
      <c r="BJ48" s="300">
        <v>26</v>
      </c>
      <c r="BK48" s="231">
        <v>1165.8153113459227</v>
      </c>
      <c r="BL48" s="231">
        <v>4382.9931401417898</v>
      </c>
      <c r="BM48" s="231">
        <v>246.7799957282092</v>
      </c>
      <c r="BN48" s="231">
        <v>1322.4825364262679</v>
      </c>
      <c r="BO48" s="231">
        <v>1040.5747556056701</v>
      </c>
      <c r="BP48" s="231">
        <v>1724.7838880256661</v>
      </c>
      <c r="BQ48" s="231">
        <v>1517.0487482780147</v>
      </c>
      <c r="BR48" s="231">
        <v>1993.1186561072348</v>
      </c>
      <c r="BS48" s="412">
        <f t="shared" si="96"/>
        <v>13393.597031658777</v>
      </c>
      <c r="BT48" s="417">
        <v>0</v>
      </c>
      <c r="BU48" s="231">
        <v>21381.852039189438</v>
      </c>
      <c r="BV48" s="231">
        <v>0</v>
      </c>
      <c r="BW48" s="231">
        <v>17510.703644018711</v>
      </c>
      <c r="BX48" s="231">
        <v>0</v>
      </c>
      <c r="BY48" s="231">
        <v>20546.476723779211</v>
      </c>
      <c r="BZ48" s="231">
        <v>0</v>
      </c>
      <c r="CA48" s="231">
        <v>22537.234309195348</v>
      </c>
      <c r="CB48" s="414">
        <f t="shared" si="97"/>
        <v>81976.266716182712</v>
      </c>
      <c r="CC48" s="415">
        <f t="shared" si="98"/>
        <v>95369.863747841489</v>
      </c>
      <c r="CD48" s="300">
        <v>26</v>
      </c>
      <c r="CE48" s="414">
        <f t="shared" si="99"/>
        <v>94496.934475770468</v>
      </c>
      <c r="CF48" s="414">
        <f t="shared" si="100"/>
        <v>105775.28117854893</v>
      </c>
      <c r="CG48" s="414">
        <f t="shared" si="101"/>
        <v>130249.63028432374</v>
      </c>
      <c r="CH48" s="414">
        <f t="shared" si="102"/>
        <v>118744.01203329324</v>
      </c>
      <c r="CI48" s="416">
        <f t="shared" si="103"/>
        <v>449265.85797193646</v>
      </c>
      <c r="CJ48" s="414">
        <f t="shared" si="104"/>
        <v>301177.2211938657</v>
      </c>
      <c r="CK48" s="414">
        <f t="shared" si="105"/>
        <v>371271.81441290386</v>
      </c>
      <c r="CL48" s="414">
        <f t="shared" si="106"/>
        <v>399336.62871388707</v>
      </c>
      <c r="CM48" s="414">
        <f t="shared" si="107"/>
        <v>424898.55741770443</v>
      </c>
      <c r="CN48" s="416">
        <f t="shared" si="108"/>
        <v>1496684.2217383611</v>
      </c>
      <c r="CO48" s="414">
        <f t="shared" si="109"/>
        <v>395674.15566963609</v>
      </c>
      <c r="CP48" s="414">
        <f t="shared" si="110"/>
        <v>477047.09559145273</v>
      </c>
      <c r="CQ48" s="414">
        <f t="shared" si="111"/>
        <v>529586.25899821077</v>
      </c>
      <c r="CR48" s="414">
        <f t="shared" si="112"/>
        <v>543642.56945099763</v>
      </c>
      <c r="CS48" s="416">
        <f t="shared" si="113"/>
        <v>1945950.0797102973</v>
      </c>
    </row>
    <row r="49" spans="1:97" ht="15.75" customHeight="1">
      <c r="A49" s="88" t="s">
        <v>214</v>
      </c>
      <c r="B49" s="300">
        <v>27</v>
      </c>
      <c r="C49" s="231">
        <v>22584.208933636262</v>
      </c>
      <c r="D49" s="231">
        <v>209981.48474570294</v>
      </c>
      <c r="E49" s="231">
        <v>55554.506073023527</v>
      </c>
      <c r="F49" s="231">
        <v>662642.02369892539</v>
      </c>
      <c r="G49" s="231">
        <v>78955.321863174453</v>
      </c>
      <c r="H49" s="231">
        <v>476136.24086436129</v>
      </c>
      <c r="I49" s="231">
        <v>118605.19724793032</v>
      </c>
      <c r="J49" s="231">
        <v>277117.31918017438</v>
      </c>
      <c r="K49" s="412">
        <f t="shared" si="87"/>
        <v>1901576.3026069286</v>
      </c>
      <c r="L49" s="417">
        <v>0</v>
      </c>
      <c r="M49" s="231">
        <v>157250.32269749563</v>
      </c>
      <c r="N49" s="231">
        <v>0</v>
      </c>
      <c r="O49" s="231">
        <v>597801.72487656586</v>
      </c>
      <c r="P49" s="231">
        <v>0</v>
      </c>
      <c r="Q49" s="231">
        <v>341442.40359260648</v>
      </c>
      <c r="R49" s="231">
        <v>0</v>
      </c>
      <c r="S49" s="231">
        <v>189829.30239485</v>
      </c>
      <c r="T49" s="414">
        <f t="shared" si="88"/>
        <v>1286323.7535615179</v>
      </c>
      <c r="U49" s="415">
        <f t="shared" si="89"/>
        <v>3187900.0561684463</v>
      </c>
      <c r="V49" s="300">
        <v>27</v>
      </c>
      <c r="W49" s="231">
        <v>7376.4765183381587</v>
      </c>
      <c r="X49" s="231">
        <v>3376.9181479762015</v>
      </c>
      <c r="Y49" s="231">
        <v>0</v>
      </c>
      <c r="Z49" s="231">
        <v>0</v>
      </c>
      <c r="AA49" s="231">
        <v>0</v>
      </c>
      <c r="AB49" s="231">
        <v>0</v>
      </c>
      <c r="AC49" s="231">
        <v>0</v>
      </c>
      <c r="AD49" s="231">
        <v>0</v>
      </c>
      <c r="AE49" s="412">
        <f t="shared" si="90"/>
        <v>10753.39466631436</v>
      </c>
      <c r="AF49" s="417">
        <v>0</v>
      </c>
      <c r="AG49" s="231">
        <v>39145.530735432512</v>
      </c>
      <c r="AH49" s="231">
        <v>0</v>
      </c>
      <c r="AI49" s="231">
        <v>11082.552652702274</v>
      </c>
      <c r="AJ49" s="231">
        <v>0</v>
      </c>
      <c r="AK49" s="231">
        <v>0</v>
      </c>
      <c r="AL49" s="231">
        <v>0</v>
      </c>
      <c r="AM49" s="231">
        <v>2004.1351352337779</v>
      </c>
      <c r="AN49" s="414">
        <f t="shared" si="91"/>
        <v>52232.218523368567</v>
      </c>
      <c r="AO49" s="415">
        <f t="shared" si="92"/>
        <v>62985.613189682925</v>
      </c>
      <c r="AP49" s="300">
        <v>27</v>
      </c>
      <c r="AQ49" s="231">
        <v>229063.507439079</v>
      </c>
      <c r="AR49" s="231">
        <v>533255.99818965234</v>
      </c>
      <c r="AS49" s="231">
        <v>55028.906220835968</v>
      </c>
      <c r="AT49" s="231">
        <v>174680.42987587591</v>
      </c>
      <c r="AU49" s="231">
        <v>105650.33210897345</v>
      </c>
      <c r="AV49" s="231">
        <v>122940.80340902631</v>
      </c>
      <c r="AW49" s="231">
        <v>83295.981590252457</v>
      </c>
      <c r="AX49" s="231">
        <v>93802.146014316299</v>
      </c>
      <c r="AY49" s="412">
        <f t="shared" si="93"/>
        <v>1397718.1048480116</v>
      </c>
      <c r="AZ49" s="417">
        <v>0</v>
      </c>
      <c r="BA49" s="231">
        <v>1214898.685984961</v>
      </c>
      <c r="BB49" s="231">
        <v>0</v>
      </c>
      <c r="BC49" s="231">
        <v>833764.85694436019</v>
      </c>
      <c r="BD49" s="231">
        <v>0</v>
      </c>
      <c r="BE49" s="231">
        <v>613686.8290515648</v>
      </c>
      <c r="BF49" s="231">
        <v>0</v>
      </c>
      <c r="BG49" s="231">
        <v>771366.55165793665</v>
      </c>
      <c r="BH49" s="414">
        <f t="shared" si="94"/>
        <v>3433716.9236388225</v>
      </c>
      <c r="BI49" s="415">
        <f t="shared" si="95"/>
        <v>4831435.0284868339</v>
      </c>
      <c r="BJ49" s="300">
        <v>27</v>
      </c>
      <c r="BK49" s="231">
        <v>355308.32281915453</v>
      </c>
      <c r="BL49" s="231">
        <v>4112726.781009912</v>
      </c>
      <c r="BM49" s="231">
        <v>342639.80581739434</v>
      </c>
      <c r="BN49" s="231">
        <v>3219807.3383251899</v>
      </c>
      <c r="BO49" s="231">
        <v>369480.75046544988</v>
      </c>
      <c r="BP49" s="231">
        <v>3808409.8684636075</v>
      </c>
      <c r="BQ49" s="231">
        <v>439504.04557733727</v>
      </c>
      <c r="BR49" s="231">
        <v>3956247.9756390522</v>
      </c>
      <c r="BS49" s="412">
        <f t="shared" si="96"/>
        <v>16604124.888117097</v>
      </c>
      <c r="BT49" s="417">
        <v>0</v>
      </c>
      <c r="BU49" s="231">
        <v>233314.69515558673</v>
      </c>
      <c r="BV49" s="231">
        <v>0</v>
      </c>
      <c r="BW49" s="231">
        <v>816512.66606142407</v>
      </c>
      <c r="BX49" s="231">
        <v>0</v>
      </c>
      <c r="BY49" s="231">
        <v>424316.04555424524</v>
      </c>
      <c r="BZ49" s="231">
        <v>0</v>
      </c>
      <c r="CA49" s="231">
        <v>217775.22191114174</v>
      </c>
      <c r="CB49" s="414">
        <f t="shared" si="97"/>
        <v>1691918.6286823978</v>
      </c>
      <c r="CC49" s="415">
        <f t="shared" si="98"/>
        <v>18296043.516799495</v>
      </c>
      <c r="CD49" s="300">
        <v>27</v>
      </c>
      <c r="CE49" s="414">
        <f t="shared" si="99"/>
        <v>5473673.6978034517</v>
      </c>
      <c r="CF49" s="414">
        <f t="shared" si="100"/>
        <v>4510353.0100112446</v>
      </c>
      <c r="CG49" s="414">
        <f t="shared" si="101"/>
        <v>4961573.317174593</v>
      </c>
      <c r="CH49" s="414">
        <f t="shared" si="102"/>
        <v>4968572.6652490627</v>
      </c>
      <c r="CI49" s="416">
        <f t="shared" si="103"/>
        <v>19914172.690238353</v>
      </c>
      <c r="CJ49" s="414">
        <f t="shared" si="104"/>
        <v>1644609.234573476</v>
      </c>
      <c r="CK49" s="414">
        <f t="shared" si="105"/>
        <v>2259161.8005350525</v>
      </c>
      <c r="CL49" s="414">
        <f t="shared" si="106"/>
        <v>1379445.2781984163</v>
      </c>
      <c r="CM49" s="414">
        <f t="shared" si="107"/>
        <v>1180975.2110991622</v>
      </c>
      <c r="CN49" s="416">
        <f t="shared" si="108"/>
        <v>6464191.5244061071</v>
      </c>
      <c r="CO49" s="414">
        <f t="shared" si="109"/>
        <v>7118282.9323769286</v>
      </c>
      <c r="CP49" s="414">
        <f t="shared" si="110"/>
        <v>6769514.8105462976</v>
      </c>
      <c r="CQ49" s="414">
        <f t="shared" si="111"/>
        <v>6341018.5953730084</v>
      </c>
      <c r="CR49" s="414">
        <f t="shared" si="112"/>
        <v>6149547.8763482254</v>
      </c>
      <c r="CS49" s="416">
        <f t="shared" si="113"/>
        <v>26378364.214644454</v>
      </c>
    </row>
    <row r="50" spans="1:97" ht="15.75" customHeight="1">
      <c r="A50" s="88" t="s">
        <v>215</v>
      </c>
      <c r="B50" s="300">
        <v>28</v>
      </c>
      <c r="C50" s="231">
        <v>35361.304330456769</v>
      </c>
      <c r="D50" s="231">
        <v>145996.69134578735</v>
      </c>
      <c r="E50" s="231">
        <v>153278.08316868119</v>
      </c>
      <c r="F50" s="231">
        <v>723989.79902311775</v>
      </c>
      <c r="G50" s="231">
        <v>128740.14916133677</v>
      </c>
      <c r="H50" s="231">
        <v>594030.4994180199</v>
      </c>
      <c r="I50" s="231">
        <v>73395.184117987257</v>
      </c>
      <c r="J50" s="231">
        <v>308442.72520994255</v>
      </c>
      <c r="K50" s="412">
        <f t="shared" si="87"/>
        <v>2163234.4357753294</v>
      </c>
      <c r="L50" s="417">
        <v>0</v>
      </c>
      <c r="M50" s="231">
        <v>0</v>
      </c>
      <c r="N50" s="231">
        <v>0</v>
      </c>
      <c r="O50" s="231">
        <v>0</v>
      </c>
      <c r="P50" s="231">
        <v>0</v>
      </c>
      <c r="Q50" s="231">
        <v>0</v>
      </c>
      <c r="R50" s="231">
        <v>0</v>
      </c>
      <c r="S50" s="231">
        <v>0</v>
      </c>
      <c r="T50" s="414">
        <f t="shared" si="88"/>
        <v>0</v>
      </c>
      <c r="U50" s="415">
        <f t="shared" si="89"/>
        <v>2163234.4357753294</v>
      </c>
      <c r="V50" s="300">
        <v>28</v>
      </c>
      <c r="W50" s="231">
        <v>0</v>
      </c>
      <c r="X50" s="231">
        <v>15282.707258652199</v>
      </c>
      <c r="Y50" s="231">
        <v>0</v>
      </c>
      <c r="Z50" s="231">
        <v>8509.5107527196469</v>
      </c>
      <c r="AA50" s="231">
        <v>0</v>
      </c>
      <c r="AB50" s="231">
        <v>11502.74343489101</v>
      </c>
      <c r="AC50" s="231">
        <v>292.5410374985392</v>
      </c>
      <c r="AD50" s="231">
        <v>7493.3472564508629</v>
      </c>
      <c r="AE50" s="412">
        <f t="shared" si="90"/>
        <v>43080.849740212252</v>
      </c>
      <c r="AF50" s="417">
        <v>0</v>
      </c>
      <c r="AG50" s="231">
        <v>0</v>
      </c>
      <c r="AH50" s="231">
        <v>0</v>
      </c>
      <c r="AI50" s="231">
        <v>0</v>
      </c>
      <c r="AJ50" s="231">
        <v>0</v>
      </c>
      <c r="AK50" s="231">
        <v>0</v>
      </c>
      <c r="AL50" s="231">
        <v>0</v>
      </c>
      <c r="AM50" s="231">
        <v>0</v>
      </c>
      <c r="AN50" s="414">
        <f t="shared" si="91"/>
        <v>0</v>
      </c>
      <c r="AO50" s="415">
        <f t="shared" si="92"/>
        <v>43080.849740212252</v>
      </c>
      <c r="AP50" s="300">
        <v>28</v>
      </c>
      <c r="AQ50" s="231">
        <v>1675446.8934048407</v>
      </c>
      <c r="AR50" s="231">
        <v>11893910.453317467</v>
      </c>
      <c r="AS50" s="231">
        <v>1694191.7045090771</v>
      </c>
      <c r="AT50" s="231">
        <v>11878417.910125516</v>
      </c>
      <c r="AU50" s="231">
        <v>1754551.7289214709</v>
      </c>
      <c r="AV50" s="231">
        <v>12611041.97021031</v>
      </c>
      <c r="AW50" s="231">
        <v>1964536.035615159</v>
      </c>
      <c r="AX50" s="231">
        <v>12937329.8041292</v>
      </c>
      <c r="AY50" s="412">
        <f t="shared" si="93"/>
        <v>56409426.500233039</v>
      </c>
      <c r="AZ50" s="417">
        <v>0</v>
      </c>
      <c r="BA50" s="231">
        <v>0</v>
      </c>
      <c r="BB50" s="231">
        <v>0</v>
      </c>
      <c r="BC50" s="231">
        <v>0</v>
      </c>
      <c r="BD50" s="231">
        <v>0</v>
      </c>
      <c r="BE50" s="231">
        <v>0</v>
      </c>
      <c r="BF50" s="231">
        <v>0</v>
      </c>
      <c r="BG50" s="231">
        <v>0</v>
      </c>
      <c r="BH50" s="414">
        <f t="shared" si="94"/>
        <v>0</v>
      </c>
      <c r="BI50" s="415">
        <f t="shared" si="95"/>
        <v>56409426.500233039</v>
      </c>
      <c r="BJ50" s="300">
        <v>28</v>
      </c>
      <c r="BK50" s="231">
        <v>37.602429106496039</v>
      </c>
      <c r="BL50" s="231">
        <v>56435.27570316528</v>
      </c>
      <c r="BM50" s="231">
        <v>1502.58038526576</v>
      </c>
      <c r="BN50" s="231">
        <v>56986.450626618047</v>
      </c>
      <c r="BO50" s="231">
        <v>2486.3886510092111</v>
      </c>
      <c r="BP50" s="231">
        <v>54175.031880160328</v>
      </c>
      <c r="BQ50" s="231">
        <v>3665.7423533549591</v>
      </c>
      <c r="BR50" s="231">
        <v>92778.739951467258</v>
      </c>
      <c r="BS50" s="412">
        <f t="shared" si="96"/>
        <v>268067.81198014738</v>
      </c>
      <c r="BT50" s="417">
        <v>0</v>
      </c>
      <c r="BU50" s="231">
        <v>0</v>
      </c>
      <c r="BV50" s="231">
        <v>0</v>
      </c>
      <c r="BW50" s="231">
        <v>0</v>
      </c>
      <c r="BX50" s="231">
        <v>0</v>
      </c>
      <c r="BY50" s="231">
        <v>0</v>
      </c>
      <c r="BZ50" s="231">
        <v>0</v>
      </c>
      <c r="CA50" s="231">
        <v>0</v>
      </c>
      <c r="CB50" s="414">
        <f t="shared" si="97"/>
        <v>0</v>
      </c>
      <c r="CC50" s="415">
        <f t="shared" si="98"/>
        <v>268067.81198014738</v>
      </c>
      <c r="CD50" s="300">
        <v>28</v>
      </c>
      <c r="CE50" s="414">
        <f t="shared" si="99"/>
        <v>13822470.927789476</v>
      </c>
      <c r="CF50" s="414">
        <f t="shared" si="100"/>
        <v>14516876.038590996</v>
      </c>
      <c r="CG50" s="414">
        <f t="shared" si="101"/>
        <v>15156528.5116772</v>
      </c>
      <c r="CH50" s="414">
        <f t="shared" si="102"/>
        <v>15387934.119671062</v>
      </c>
      <c r="CI50" s="416">
        <f t="shared" si="103"/>
        <v>58883809.597728729</v>
      </c>
      <c r="CJ50" s="414">
        <f t="shared" si="104"/>
        <v>0</v>
      </c>
      <c r="CK50" s="414">
        <f t="shared" si="105"/>
        <v>0</v>
      </c>
      <c r="CL50" s="414">
        <f t="shared" si="106"/>
        <v>0</v>
      </c>
      <c r="CM50" s="414">
        <f t="shared" si="107"/>
        <v>0</v>
      </c>
      <c r="CN50" s="416">
        <f t="shared" si="108"/>
        <v>0</v>
      </c>
      <c r="CO50" s="414">
        <f t="shared" si="109"/>
        <v>13822470.927789476</v>
      </c>
      <c r="CP50" s="414">
        <f t="shared" si="110"/>
        <v>14516876.038590996</v>
      </c>
      <c r="CQ50" s="414">
        <f t="shared" si="111"/>
        <v>15156528.5116772</v>
      </c>
      <c r="CR50" s="414">
        <f t="shared" si="112"/>
        <v>15387934.119671062</v>
      </c>
      <c r="CS50" s="416">
        <f t="shared" si="113"/>
        <v>58883809.597728737</v>
      </c>
    </row>
    <row r="51" spans="1:97" ht="15.75" customHeight="1">
      <c r="A51" s="88" t="s">
        <v>216</v>
      </c>
      <c r="B51" s="300">
        <v>29</v>
      </c>
      <c r="C51" s="231">
        <v>8515.6601092823257</v>
      </c>
      <c r="D51" s="231">
        <v>16622.523810430015</v>
      </c>
      <c r="E51" s="231">
        <v>15646.652475453531</v>
      </c>
      <c r="F51" s="231">
        <v>22236.814420188653</v>
      </c>
      <c r="G51" s="231">
        <v>10102.396080543112</v>
      </c>
      <c r="H51" s="231">
        <v>18522.067838559637</v>
      </c>
      <c r="I51" s="231">
        <v>8905.0913889043168</v>
      </c>
      <c r="J51" s="231">
        <v>3610.1798715800628</v>
      </c>
      <c r="K51" s="412">
        <f t="shared" ref="K51:K54" si="126">SUM(C51:J51)</f>
        <v>104161.38599494165</v>
      </c>
      <c r="L51" s="417">
        <v>0</v>
      </c>
      <c r="M51" s="231">
        <v>42360.57563077462</v>
      </c>
      <c r="N51" s="231">
        <v>0</v>
      </c>
      <c r="O51" s="231">
        <v>68001.116689148796</v>
      </c>
      <c r="P51" s="231">
        <v>0</v>
      </c>
      <c r="Q51" s="231">
        <v>41076.664428757307</v>
      </c>
      <c r="R51" s="231">
        <v>0</v>
      </c>
      <c r="S51" s="231">
        <v>34979.821579720243</v>
      </c>
      <c r="T51" s="414">
        <f t="shared" ref="T51:T54" si="127">SUM(L51:S51)</f>
        <v>186418.17832840097</v>
      </c>
      <c r="U51" s="415">
        <f t="shared" ref="U51:U54" si="128">SUM(T51,K51)</f>
        <v>290579.56432334264</v>
      </c>
      <c r="V51" s="300">
        <v>29</v>
      </c>
      <c r="W51" s="231">
        <v>3006.894244534617</v>
      </c>
      <c r="X51" s="231">
        <v>71.524620470654185</v>
      </c>
      <c r="Y51" s="231">
        <v>200.13652462322219</v>
      </c>
      <c r="Z51" s="231">
        <v>0</v>
      </c>
      <c r="AA51" s="231">
        <v>120.60090465687364</v>
      </c>
      <c r="AB51" s="231">
        <v>72.360542794124186</v>
      </c>
      <c r="AC51" s="231">
        <v>403.35111312602407</v>
      </c>
      <c r="AD51" s="231">
        <v>0</v>
      </c>
      <c r="AE51" s="412">
        <f t="shared" ref="AE51:AE54" si="129">SUM(W51:AD51)</f>
        <v>3874.8679502055156</v>
      </c>
      <c r="AF51" s="417">
        <v>0</v>
      </c>
      <c r="AG51" s="231">
        <v>8470.5086940005531</v>
      </c>
      <c r="AH51" s="231">
        <v>0</v>
      </c>
      <c r="AI51" s="231">
        <v>7761.5531618422574</v>
      </c>
      <c r="AJ51" s="231">
        <v>0</v>
      </c>
      <c r="AK51" s="231">
        <v>2824.9611134359088</v>
      </c>
      <c r="AL51" s="231">
        <v>0</v>
      </c>
      <c r="AM51" s="231">
        <v>10071.952555265376</v>
      </c>
      <c r="AN51" s="414">
        <f t="shared" ref="AN51:AN54" si="130">SUM(AF51:AM51)</f>
        <v>29128.975524544094</v>
      </c>
      <c r="AO51" s="415">
        <f t="shared" ref="AO51:AO54" si="131">SUM(AN51,AE51)</f>
        <v>33003.843474749607</v>
      </c>
      <c r="AP51" s="300">
        <v>29</v>
      </c>
      <c r="AQ51" s="231">
        <v>105608.07225219054</v>
      </c>
      <c r="AR51" s="231">
        <v>195405.92316846605</v>
      </c>
      <c r="AS51" s="231">
        <v>71087.322454726629</v>
      </c>
      <c r="AT51" s="231">
        <v>219404.46208892134</v>
      </c>
      <c r="AU51" s="231">
        <v>53063.57394284258</v>
      </c>
      <c r="AV51" s="231">
        <v>219686.56772265941</v>
      </c>
      <c r="AW51" s="231">
        <v>103602.31140121706</v>
      </c>
      <c r="AX51" s="231">
        <v>261645.76837064349</v>
      </c>
      <c r="AY51" s="412">
        <f t="shared" ref="AY51:AY54" si="132">SUM(AQ51:AX51)</f>
        <v>1229504.001401667</v>
      </c>
      <c r="AZ51" s="417">
        <v>0</v>
      </c>
      <c r="BA51" s="231">
        <v>520533.2112482313</v>
      </c>
      <c r="BB51" s="231">
        <v>0</v>
      </c>
      <c r="BC51" s="231">
        <v>453365.5827853533</v>
      </c>
      <c r="BD51" s="231">
        <v>0</v>
      </c>
      <c r="BE51" s="231">
        <v>534609.14296046388</v>
      </c>
      <c r="BF51" s="231">
        <v>0</v>
      </c>
      <c r="BG51" s="231">
        <v>528894.71125986404</v>
      </c>
      <c r="BH51" s="414">
        <f t="shared" ref="BH51:BH54" si="133">SUM(AZ51:BG51)</f>
        <v>2037402.6482539126</v>
      </c>
      <c r="BI51" s="415">
        <f t="shared" ref="BI51:BI54" si="134">SUM(BH51,AY51)</f>
        <v>3266906.6496555796</v>
      </c>
      <c r="BJ51" s="300">
        <v>29</v>
      </c>
      <c r="BK51" s="231">
        <v>1951.1860460776643</v>
      </c>
      <c r="BL51" s="231">
        <v>8574.7239247884299</v>
      </c>
      <c r="BM51" s="231">
        <v>4165.8224920748853</v>
      </c>
      <c r="BN51" s="231">
        <v>1095.8513190959859</v>
      </c>
      <c r="BO51" s="231">
        <v>2674.4456616708303</v>
      </c>
      <c r="BP51" s="231">
        <v>3415.9402238028415</v>
      </c>
      <c r="BQ51" s="231">
        <v>3343.5205897602141</v>
      </c>
      <c r="BR51" s="231">
        <v>1846.9598717820097</v>
      </c>
      <c r="BS51" s="412">
        <f t="shared" ref="BS51:BS54" si="135">SUM(BK51:BR51)</f>
        <v>27068.450129052861</v>
      </c>
      <c r="BT51" s="417">
        <v>0</v>
      </c>
      <c r="BU51" s="231">
        <v>49412.722764222526</v>
      </c>
      <c r="BV51" s="231">
        <v>0</v>
      </c>
      <c r="BW51" s="231">
        <v>32258.341801837119</v>
      </c>
      <c r="BX51" s="231">
        <v>0</v>
      </c>
      <c r="BY51" s="231">
        <v>47660.137824060148</v>
      </c>
      <c r="BZ51" s="231">
        <v>0</v>
      </c>
      <c r="CA51" s="231">
        <v>61980.266875952009</v>
      </c>
      <c r="CB51" s="414">
        <f t="shared" ref="CB51:CB54" si="136">SUM(BT51:CA51)</f>
        <v>191311.4692660718</v>
      </c>
      <c r="CC51" s="415">
        <f t="shared" ref="CC51:CC54" si="137">SUM(CB51,BS51)</f>
        <v>218379.91939512466</v>
      </c>
      <c r="CD51" s="300">
        <v>29</v>
      </c>
      <c r="CE51" s="414">
        <f t="shared" si="99"/>
        <v>339756.50817624026</v>
      </c>
      <c r="CF51" s="414">
        <f t="shared" si="100"/>
        <v>333837.06177508424</v>
      </c>
      <c r="CG51" s="414">
        <f t="shared" si="101"/>
        <v>307657.95291752939</v>
      </c>
      <c r="CH51" s="414">
        <f t="shared" si="102"/>
        <v>383357.18260701315</v>
      </c>
      <c r="CI51" s="416">
        <f t="shared" si="103"/>
        <v>1364608.705475867</v>
      </c>
      <c r="CJ51" s="414">
        <f t="shared" si="104"/>
        <v>620777.01833722903</v>
      </c>
      <c r="CK51" s="414">
        <f t="shared" si="105"/>
        <v>561386.59443818149</v>
      </c>
      <c r="CL51" s="414">
        <f t="shared" si="106"/>
        <v>626170.90632671723</v>
      </c>
      <c r="CM51" s="414">
        <f t="shared" si="107"/>
        <v>635926.75227080169</v>
      </c>
      <c r="CN51" s="416">
        <f t="shared" si="108"/>
        <v>2444261.2713729297</v>
      </c>
      <c r="CO51" s="414">
        <f t="shared" si="109"/>
        <v>960533.52651346929</v>
      </c>
      <c r="CP51" s="414">
        <f t="shared" si="110"/>
        <v>895223.65621326573</v>
      </c>
      <c r="CQ51" s="414">
        <f t="shared" si="111"/>
        <v>933828.85924424673</v>
      </c>
      <c r="CR51" s="414">
        <f t="shared" si="112"/>
        <v>1019283.934877815</v>
      </c>
      <c r="CS51" s="416">
        <f t="shared" si="113"/>
        <v>3808869.976848796</v>
      </c>
    </row>
    <row r="52" spans="1:97" ht="15.75" customHeight="1">
      <c r="A52" s="88" t="s">
        <v>217</v>
      </c>
      <c r="B52" s="300">
        <v>30</v>
      </c>
      <c r="C52" s="231">
        <v>97218.830309486744</v>
      </c>
      <c r="D52" s="231">
        <v>179497.92551622758</v>
      </c>
      <c r="E52" s="231">
        <v>235664.41615343426</v>
      </c>
      <c r="F52" s="231">
        <v>492251.92235312215</v>
      </c>
      <c r="G52" s="231">
        <v>187438.01646839149</v>
      </c>
      <c r="H52" s="231">
        <v>427783.34830749169</v>
      </c>
      <c r="I52" s="231">
        <v>142374.98947402948</v>
      </c>
      <c r="J52" s="231">
        <v>225059.32666938685</v>
      </c>
      <c r="K52" s="412">
        <f t="shared" si="126"/>
        <v>1987288.7752515704</v>
      </c>
      <c r="L52" s="417">
        <v>0</v>
      </c>
      <c r="M52" s="231">
        <v>0</v>
      </c>
      <c r="N52" s="231">
        <v>0</v>
      </c>
      <c r="O52" s="231">
        <v>0</v>
      </c>
      <c r="P52" s="231">
        <v>0</v>
      </c>
      <c r="Q52" s="231">
        <v>0</v>
      </c>
      <c r="R52" s="231">
        <v>0</v>
      </c>
      <c r="S52" s="231">
        <v>0</v>
      </c>
      <c r="T52" s="414">
        <f t="shared" si="127"/>
        <v>0</v>
      </c>
      <c r="U52" s="415">
        <f t="shared" si="128"/>
        <v>1987288.7752515704</v>
      </c>
      <c r="V52" s="300">
        <v>30</v>
      </c>
      <c r="W52" s="231">
        <v>4947.9896387589688</v>
      </c>
      <c r="X52" s="231">
        <v>9970.0340614364486</v>
      </c>
      <c r="Y52" s="231">
        <v>4244.8161130964654</v>
      </c>
      <c r="Z52" s="231">
        <v>29424.593336124282</v>
      </c>
      <c r="AA52" s="231">
        <v>2890.783584474485</v>
      </c>
      <c r="AB52" s="231">
        <v>26636.589157568113</v>
      </c>
      <c r="AC52" s="231">
        <v>5749.0002166414315</v>
      </c>
      <c r="AD52" s="231">
        <v>17565.697700324177</v>
      </c>
      <c r="AE52" s="412">
        <f t="shared" si="129"/>
        <v>101429.50380842437</v>
      </c>
      <c r="AF52" s="417">
        <v>0</v>
      </c>
      <c r="AG52" s="231">
        <v>0</v>
      </c>
      <c r="AH52" s="231">
        <v>0</v>
      </c>
      <c r="AI52" s="231">
        <v>0</v>
      </c>
      <c r="AJ52" s="231">
        <v>0</v>
      </c>
      <c r="AK52" s="231">
        <v>0</v>
      </c>
      <c r="AL52" s="231">
        <v>0</v>
      </c>
      <c r="AM52" s="231">
        <v>0</v>
      </c>
      <c r="AN52" s="414">
        <f t="shared" si="130"/>
        <v>0</v>
      </c>
      <c r="AO52" s="415">
        <f t="shared" si="131"/>
        <v>101429.50380842437</v>
      </c>
      <c r="AP52" s="300">
        <v>30</v>
      </c>
      <c r="AQ52" s="231">
        <v>2649156.7047887016</v>
      </c>
      <c r="AR52" s="231">
        <v>6413380.7426184108</v>
      </c>
      <c r="AS52" s="231">
        <v>2663169.5091490322</v>
      </c>
      <c r="AT52" s="231">
        <v>6572087.0591787025</v>
      </c>
      <c r="AU52" s="231">
        <v>2881242.334353202</v>
      </c>
      <c r="AV52" s="231">
        <v>7646153.0929646771</v>
      </c>
      <c r="AW52" s="231">
        <v>3621448.8062863778</v>
      </c>
      <c r="AX52" s="231">
        <v>8705931.3703771401</v>
      </c>
      <c r="AY52" s="412">
        <f t="shared" si="132"/>
        <v>41152569.619716242</v>
      </c>
      <c r="AZ52" s="417">
        <v>0</v>
      </c>
      <c r="BA52" s="231">
        <v>-1239.5234503971142</v>
      </c>
      <c r="BB52" s="231">
        <v>0</v>
      </c>
      <c r="BC52" s="231">
        <v>-365.85245217601732</v>
      </c>
      <c r="BD52" s="231">
        <v>0</v>
      </c>
      <c r="BE52" s="231">
        <v>0</v>
      </c>
      <c r="BF52" s="231">
        <v>0</v>
      </c>
      <c r="BG52" s="231">
        <v>5590.5574093150517</v>
      </c>
      <c r="BH52" s="414">
        <f t="shared" si="133"/>
        <v>3985.1815067419202</v>
      </c>
      <c r="BI52" s="415">
        <f t="shared" si="134"/>
        <v>41156554.801222987</v>
      </c>
      <c r="BJ52" s="300">
        <v>30</v>
      </c>
      <c r="BK52" s="231">
        <v>0</v>
      </c>
      <c r="BL52" s="231">
        <v>16162.914119771416</v>
      </c>
      <c r="BM52" s="231">
        <v>0</v>
      </c>
      <c r="BN52" s="231">
        <v>822.55661200358975</v>
      </c>
      <c r="BO52" s="231">
        <v>6240.1722090575076</v>
      </c>
      <c r="BP52" s="231">
        <v>0</v>
      </c>
      <c r="BQ52" s="231">
        <v>4587.2872521750096</v>
      </c>
      <c r="BR52" s="231">
        <v>21425.187544972439</v>
      </c>
      <c r="BS52" s="412">
        <f t="shared" si="135"/>
        <v>49238.117737979963</v>
      </c>
      <c r="BT52" s="417">
        <v>0</v>
      </c>
      <c r="BU52" s="231">
        <v>0</v>
      </c>
      <c r="BV52" s="231">
        <v>0</v>
      </c>
      <c r="BW52" s="231">
        <v>0</v>
      </c>
      <c r="BX52" s="231">
        <v>0</v>
      </c>
      <c r="BY52" s="231">
        <v>0</v>
      </c>
      <c r="BZ52" s="231">
        <v>0</v>
      </c>
      <c r="CA52" s="231">
        <v>0</v>
      </c>
      <c r="CB52" s="414">
        <f t="shared" si="136"/>
        <v>0</v>
      </c>
      <c r="CC52" s="415">
        <f t="shared" si="137"/>
        <v>49238.117737979963</v>
      </c>
      <c r="CD52" s="300">
        <v>30</v>
      </c>
      <c r="CE52" s="414">
        <f t="shared" si="99"/>
        <v>9370335.1410527918</v>
      </c>
      <c r="CF52" s="414">
        <f t="shared" si="100"/>
        <v>9997664.8728955165</v>
      </c>
      <c r="CG52" s="414">
        <f t="shared" si="101"/>
        <v>11178384.337044863</v>
      </c>
      <c r="CH52" s="414">
        <f t="shared" si="102"/>
        <v>12744141.665521046</v>
      </c>
      <c r="CI52" s="416">
        <f t="shared" si="103"/>
        <v>43290526.016514212</v>
      </c>
      <c r="CJ52" s="414">
        <f t="shared" si="104"/>
        <v>-1239.5234503971142</v>
      </c>
      <c r="CK52" s="414">
        <f t="shared" si="105"/>
        <v>-365.85245217601732</v>
      </c>
      <c r="CL52" s="414">
        <f t="shared" si="106"/>
        <v>0</v>
      </c>
      <c r="CM52" s="414">
        <f t="shared" si="107"/>
        <v>5590.5574093150517</v>
      </c>
      <c r="CN52" s="416">
        <f t="shared" si="108"/>
        <v>3985.1815067419202</v>
      </c>
      <c r="CO52" s="414">
        <f t="shared" si="109"/>
        <v>9369095.6176023949</v>
      </c>
      <c r="CP52" s="414">
        <f t="shared" si="110"/>
        <v>9997299.0204433408</v>
      </c>
      <c r="CQ52" s="414">
        <f t="shared" si="111"/>
        <v>11178384.337044863</v>
      </c>
      <c r="CR52" s="414">
        <f t="shared" si="112"/>
        <v>12749732.222930361</v>
      </c>
      <c r="CS52" s="416">
        <f t="shared" si="113"/>
        <v>43294511.198020957</v>
      </c>
    </row>
    <row r="53" spans="1:97" ht="15.75" customHeight="1">
      <c r="A53" s="88" t="s">
        <v>218</v>
      </c>
      <c r="B53" s="300">
        <v>31</v>
      </c>
      <c r="C53" s="231">
        <v>83488.603340630856</v>
      </c>
      <c r="D53" s="231">
        <v>129933.11364312095</v>
      </c>
      <c r="E53" s="231">
        <v>342652.52767399844</v>
      </c>
      <c r="F53" s="231">
        <v>482135.15365702246</v>
      </c>
      <c r="G53" s="231">
        <v>343087.16208069085</v>
      </c>
      <c r="H53" s="231">
        <v>438954.8714078177</v>
      </c>
      <c r="I53" s="231">
        <v>167358.29880665199</v>
      </c>
      <c r="J53" s="231">
        <v>194978.66243882597</v>
      </c>
      <c r="K53" s="412">
        <f t="shared" si="126"/>
        <v>2182588.3930487591</v>
      </c>
      <c r="L53" s="417">
        <v>0</v>
      </c>
      <c r="M53" s="231">
        <v>0</v>
      </c>
      <c r="N53" s="231">
        <v>0</v>
      </c>
      <c r="O53" s="231">
        <v>0</v>
      </c>
      <c r="P53" s="231">
        <v>0</v>
      </c>
      <c r="Q53" s="231">
        <v>0</v>
      </c>
      <c r="R53" s="231">
        <v>0</v>
      </c>
      <c r="S53" s="231">
        <v>0</v>
      </c>
      <c r="T53" s="414">
        <f t="shared" si="127"/>
        <v>0</v>
      </c>
      <c r="U53" s="415">
        <f t="shared" si="128"/>
        <v>2182588.3930487591</v>
      </c>
      <c r="V53" s="300">
        <v>31</v>
      </c>
      <c r="W53" s="231">
        <v>49240.860945966473</v>
      </c>
      <c r="X53" s="231">
        <v>14194.976991578489</v>
      </c>
      <c r="Y53" s="231">
        <v>46923.311912959827</v>
      </c>
      <c r="Z53" s="231">
        <v>23818.658678347198</v>
      </c>
      <c r="AA53" s="231">
        <v>37614.276453884653</v>
      </c>
      <c r="AB53" s="231">
        <v>24706.321428157909</v>
      </c>
      <c r="AC53" s="231">
        <v>30554.103300587878</v>
      </c>
      <c r="AD53" s="231">
        <v>11039.472830028644</v>
      </c>
      <c r="AE53" s="412">
        <f t="shared" si="129"/>
        <v>238091.98254151107</v>
      </c>
      <c r="AF53" s="417">
        <v>0</v>
      </c>
      <c r="AG53" s="231">
        <v>0</v>
      </c>
      <c r="AH53" s="231">
        <v>0</v>
      </c>
      <c r="AI53" s="231">
        <v>0</v>
      </c>
      <c r="AJ53" s="231">
        <v>0</v>
      </c>
      <c r="AK53" s="231">
        <v>0</v>
      </c>
      <c r="AL53" s="231">
        <v>0</v>
      </c>
      <c r="AM53" s="231">
        <v>0</v>
      </c>
      <c r="AN53" s="414">
        <f t="shared" si="130"/>
        <v>0</v>
      </c>
      <c r="AO53" s="415">
        <f t="shared" si="131"/>
        <v>238091.98254151107</v>
      </c>
      <c r="AP53" s="300">
        <v>31</v>
      </c>
      <c r="AQ53" s="231">
        <v>5679268.8691945625</v>
      </c>
      <c r="AR53" s="231">
        <v>8083311.8697061576</v>
      </c>
      <c r="AS53" s="231">
        <v>5562811.5375931142</v>
      </c>
      <c r="AT53" s="231">
        <v>8524932.0351533256</v>
      </c>
      <c r="AU53" s="231">
        <v>6368871.8765154006</v>
      </c>
      <c r="AV53" s="231">
        <v>9374301.2135762256</v>
      </c>
      <c r="AW53" s="231">
        <v>7249831.8204557421</v>
      </c>
      <c r="AX53" s="231">
        <v>10018042.912360491</v>
      </c>
      <c r="AY53" s="412">
        <f t="shared" si="132"/>
        <v>60861372.134555027</v>
      </c>
      <c r="AZ53" s="417">
        <v>0</v>
      </c>
      <c r="BA53" s="231">
        <v>0</v>
      </c>
      <c r="BB53" s="231">
        <v>0</v>
      </c>
      <c r="BC53" s="231">
        <v>212.99656508290104</v>
      </c>
      <c r="BD53" s="231">
        <v>0</v>
      </c>
      <c r="BE53" s="231">
        <v>1265.8894611134908</v>
      </c>
      <c r="BF53" s="231">
        <v>0</v>
      </c>
      <c r="BG53" s="231">
        <v>52882.391345146418</v>
      </c>
      <c r="BH53" s="414">
        <f t="shared" si="133"/>
        <v>54361.277371342811</v>
      </c>
      <c r="BI53" s="415">
        <f t="shared" si="134"/>
        <v>60915733.411926366</v>
      </c>
      <c r="BJ53" s="300">
        <v>31</v>
      </c>
      <c r="BK53" s="231">
        <v>0</v>
      </c>
      <c r="BL53" s="231">
        <v>10165.376680515488</v>
      </c>
      <c r="BM53" s="231">
        <v>848.39068902547217</v>
      </c>
      <c r="BN53" s="231">
        <v>3164.869617087566</v>
      </c>
      <c r="BO53" s="231">
        <v>821.19165995942876</v>
      </c>
      <c r="BP53" s="231">
        <v>2986.6814038274761</v>
      </c>
      <c r="BQ53" s="231">
        <v>0</v>
      </c>
      <c r="BR53" s="231">
        <v>6144.3369242609842</v>
      </c>
      <c r="BS53" s="412">
        <f t="shared" si="135"/>
        <v>24130.846974676417</v>
      </c>
      <c r="BT53" s="417">
        <v>0</v>
      </c>
      <c r="BU53" s="231">
        <v>0</v>
      </c>
      <c r="BV53" s="231">
        <v>0</v>
      </c>
      <c r="BW53" s="231">
        <v>0</v>
      </c>
      <c r="BX53" s="231">
        <v>0</v>
      </c>
      <c r="BY53" s="231">
        <v>0</v>
      </c>
      <c r="BZ53" s="231">
        <v>0</v>
      </c>
      <c r="CA53" s="231">
        <v>0</v>
      </c>
      <c r="CB53" s="414">
        <f t="shared" si="136"/>
        <v>0</v>
      </c>
      <c r="CC53" s="415">
        <f t="shared" si="137"/>
        <v>24130.846974676417</v>
      </c>
      <c r="CD53" s="300">
        <v>31</v>
      </c>
      <c r="CE53" s="414">
        <f t="shared" si="99"/>
        <v>14049603.670502532</v>
      </c>
      <c r="CF53" s="414">
        <f t="shared" si="100"/>
        <v>14987286.48497488</v>
      </c>
      <c r="CG53" s="414">
        <f t="shared" si="101"/>
        <v>16591343.594525963</v>
      </c>
      <c r="CH53" s="414">
        <f t="shared" si="102"/>
        <v>17677949.607116591</v>
      </c>
      <c r="CI53" s="416">
        <f t="shared" si="103"/>
        <v>63306183.357119977</v>
      </c>
      <c r="CJ53" s="414">
        <f t="shared" si="104"/>
        <v>0</v>
      </c>
      <c r="CK53" s="414">
        <f t="shared" si="105"/>
        <v>212.99656508290104</v>
      </c>
      <c r="CL53" s="414">
        <f t="shared" si="106"/>
        <v>1265.8894611134908</v>
      </c>
      <c r="CM53" s="414">
        <f t="shared" si="107"/>
        <v>52882.391345146418</v>
      </c>
      <c r="CN53" s="416">
        <f t="shared" si="108"/>
        <v>54361.277371342811</v>
      </c>
      <c r="CO53" s="414">
        <f t="shared" si="109"/>
        <v>14049603.670502532</v>
      </c>
      <c r="CP53" s="414">
        <f t="shared" si="110"/>
        <v>14987499.481539963</v>
      </c>
      <c r="CQ53" s="414">
        <f t="shared" si="111"/>
        <v>16592609.483987076</v>
      </c>
      <c r="CR53" s="414">
        <f t="shared" si="112"/>
        <v>17730831.998461738</v>
      </c>
      <c r="CS53" s="416">
        <f t="shared" si="113"/>
        <v>63360544.63449131</v>
      </c>
    </row>
    <row r="54" spans="1:97" ht="15.75" customHeight="1">
      <c r="A54" s="88" t="s">
        <v>219</v>
      </c>
      <c r="B54" s="300">
        <v>32</v>
      </c>
      <c r="C54" s="231">
        <v>0</v>
      </c>
      <c r="D54" s="231">
        <v>0</v>
      </c>
      <c r="E54" s="231">
        <v>0</v>
      </c>
      <c r="F54" s="231">
        <v>0</v>
      </c>
      <c r="G54" s="231">
        <v>0</v>
      </c>
      <c r="H54" s="231">
        <v>0</v>
      </c>
      <c r="I54" s="231">
        <v>0</v>
      </c>
      <c r="J54" s="231">
        <v>0</v>
      </c>
      <c r="K54" s="412">
        <f t="shared" si="126"/>
        <v>0</v>
      </c>
      <c r="L54" s="417">
        <v>0</v>
      </c>
      <c r="M54" s="231">
        <v>0</v>
      </c>
      <c r="N54" s="231">
        <v>0</v>
      </c>
      <c r="O54" s="231">
        <v>0</v>
      </c>
      <c r="P54" s="231">
        <v>0</v>
      </c>
      <c r="Q54" s="231">
        <v>0</v>
      </c>
      <c r="R54" s="231">
        <v>0</v>
      </c>
      <c r="S54" s="231">
        <v>0</v>
      </c>
      <c r="T54" s="414">
        <f t="shared" si="127"/>
        <v>0</v>
      </c>
      <c r="U54" s="415">
        <f t="shared" si="128"/>
        <v>0</v>
      </c>
      <c r="V54" s="300">
        <v>32</v>
      </c>
      <c r="W54" s="231">
        <v>0</v>
      </c>
      <c r="X54" s="231">
        <v>0</v>
      </c>
      <c r="Y54" s="231">
        <v>0</v>
      </c>
      <c r="Z54" s="231">
        <v>0</v>
      </c>
      <c r="AA54" s="231">
        <v>0</v>
      </c>
      <c r="AB54" s="231">
        <v>0</v>
      </c>
      <c r="AC54" s="231">
        <v>0</v>
      </c>
      <c r="AD54" s="231">
        <v>0</v>
      </c>
      <c r="AE54" s="412">
        <f t="shared" si="129"/>
        <v>0</v>
      </c>
      <c r="AF54" s="417">
        <v>0</v>
      </c>
      <c r="AG54" s="231">
        <v>0</v>
      </c>
      <c r="AH54" s="231">
        <v>0</v>
      </c>
      <c r="AI54" s="231">
        <v>0</v>
      </c>
      <c r="AJ54" s="231">
        <v>0</v>
      </c>
      <c r="AK54" s="231">
        <v>0</v>
      </c>
      <c r="AL54" s="231">
        <v>0</v>
      </c>
      <c r="AM54" s="231">
        <v>0</v>
      </c>
      <c r="AN54" s="414">
        <f t="shared" si="130"/>
        <v>0</v>
      </c>
      <c r="AO54" s="415">
        <f t="shared" si="131"/>
        <v>0</v>
      </c>
      <c r="AP54" s="300">
        <v>32</v>
      </c>
      <c r="AQ54" s="231">
        <v>0</v>
      </c>
      <c r="AR54" s="231">
        <v>0</v>
      </c>
      <c r="AS54" s="231">
        <v>0</v>
      </c>
      <c r="AT54" s="231">
        <v>0</v>
      </c>
      <c r="AU54" s="231">
        <v>0</v>
      </c>
      <c r="AV54" s="231">
        <v>0</v>
      </c>
      <c r="AW54" s="231">
        <v>0</v>
      </c>
      <c r="AX54" s="231">
        <v>0</v>
      </c>
      <c r="AY54" s="412">
        <f t="shared" si="132"/>
        <v>0</v>
      </c>
      <c r="AZ54" s="417">
        <v>0</v>
      </c>
      <c r="BA54" s="231">
        <v>0</v>
      </c>
      <c r="BB54" s="231">
        <v>0</v>
      </c>
      <c r="BC54" s="231">
        <v>0</v>
      </c>
      <c r="BD54" s="231">
        <v>0</v>
      </c>
      <c r="BE54" s="231">
        <v>0</v>
      </c>
      <c r="BF54" s="231">
        <v>0</v>
      </c>
      <c r="BG54" s="231">
        <v>0</v>
      </c>
      <c r="BH54" s="414">
        <f t="shared" si="133"/>
        <v>0</v>
      </c>
      <c r="BI54" s="415">
        <f t="shared" si="134"/>
        <v>0</v>
      </c>
      <c r="BJ54" s="300">
        <v>32</v>
      </c>
      <c r="BK54" s="231">
        <v>0</v>
      </c>
      <c r="BL54" s="231">
        <v>0</v>
      </c>
      <c r="BM54" s="231">
        <v>0</v>
      </c>
      <c r="BN54" s="231">
        <v>0</v>
      </c>
      <c r="BO54" s="231">
        <v>0</v>
      </c>
      <c r="BP54" s="231">
        <v>0</v>
      </c>
      <c r="BQ54" s="231">
        <v>0</v>
      </c>
      <c r="BR54" s="231">
        <v>0</v>
      </c>
      <c r="BS54" s="412">
        <f t="shared" si="135"/>
        <v>0</v>
      </c>
      <c r="BT54" s="417">
        <v>0</v>
      </c>
      <c r="BU54" s="231">
        <v>0</v>
      </c>
      <c r="BV54" s="231">
        <v>0</v>
      </c>
      <c r="BW54" s="231">
        <v>0</v>
      </c>
      <c r="BX54" s="231">
        <v>0</v>
      </c>
      <c r="BY54" s="231">
        <v>0</v>
      </c>
      <c r="BZ54" s="231">
        <v>0</v>
      </c>
      <c r="CA54" s="231">
        <v>0</v>
      </c>
      <c r="CB54" s="414">
        <f t="shared" si="136"/>
        <v>0</v>
      </c>
      <c r="CC54" s="415">
        <f t="shared" si="137"/>
        <v>0</v>
      </c>
      <c r="CD54" s="300">
        <v>32</v>
      </c>
      <c r="CE54" s="414">
        <f t="shared" si="99"/>
        <v>0</v>
      </c>
      <c r="CF54" s="414">
        <f t="shared" si="100"/>
        <v>0</v>
      </c>
      <c r="CG54" s="414">
        <f t="shared" si="101"/>
        <v>0</v>
      </c>
      <c r="CH54" s="414">
        <f t="shared" si="102"/>
        <v>0</v>
      </c>
      <c r="CI54" s="416">
        <f t="shared" si="103"/>
        <v>0</v>
      </c>
      <c r="CJ54" s="414">
        <f t="shared" si="104"/>
        <v>0</v>
      </c>
      <c r="CK54" s="414">
        <f t="shared" si="105"/>
        <v>0</v>
      </c>
      <c r="CL54" s="414">
        <f t="shared" si="106"/>
        <v>0</v>
      </c>
      <c r="CM54" s="414">
        <f t="shared" si="107"/>
        <v>0</v>
      </c>
      <c r="CN54" s="416">
        <f t="shared" si="108"/>
        <v>0</v>
      </c>
      <c r="CO54" s="414">
        <f t="shared" si="109"/>
        <v>0</v>
      </c>
      <c r="CP54" s="414">
        <f t="shared" si="110"/>
        <v>0</v>
      </c>
      <c r="CQ54" s="414">
        <f t="shared" si="111"/>
        <v>0</v>
      </c>
      <c r="CR54" s="414">
        <f t="shared" si="112"/>
        <v>0</v>
      </c>
      <c r="CS54" s="416">
        <f t="shared" si="113"/>
        <v>0</v>
      </c>
    </row>
    <row r="55" spans="1:97" ht="15.75" customHeight="1">
      <c r="A55" s="88" t="s">
        <v>220</v>
      </c>
      <c r="B55" s="300">
        <v>33</v>
      </c>
      <c r="C55" s="231">
        <v>41572.025541325267</v>
      </c>
      <c r="D55" s="231">
        <v>375617.61479378596</v>
      </c>
      <c r="E55" s="231">
        <v>60611.158807232307</v>
      </c>
      <c r="F55" s="231">
        <v>633520.44276639738</v>
      </c>
      <c r="G55" s="231">
        <v>62462.535096748332</v>
      </c>
      <c r="H55" s="231">
        <v>536769.11953640927</v>
      </c>
      <c r="I55" s="231">
        <v>54850.642074657932</v>
      </c>
      <c r="J55" s="231">
        <v>415655.96815068286</v>
      </c>
      <c r="K55" s="412">
        <f t="shared" si="87"/>
        <v>2181059.5067672394</v>
      </c>
      <c r="L55" s="417">
        <v>0</v>
      </c>
      <c r="M55" s="231">
        <v>39892.481676449395</v>
      </c>
      <c r="N55" s="231">
        <v>0</v>
      </c>
      <c r="O55" s="231">
        <v>168645.89021347917</v>
      </c>
      <c r="P55" s="231">
        <v>0</v>
      </c>
      <c r="Q55" s="231">
        <v>93757.738675780172</v>
      </c>
      <c r="R55" s="231">
        <v>0</v>
      </c>
      <c r="S55" s="231">
        <v>62665.866811446031</v>
      </c>
      <c r="T55" s="414">
        <f t="shared" si="88"/>
        <v>364961.97737715475</v>
      </c>
      <c r="U55" s="415">
        <f t="shared" si="89"/>
        <v>2546021.4841443943</v>
      </c>
      <c r="V55" s="300">
        <v>33</v>
      </c>
      <c r="W55" s="231">
        <v>8167.7376335868503</v>
      </c>
      <c r="X55" s="231">
        <v>120773.03190437997</v>
      </c>
      <c r="Y55" s="231">
        <v>6780.4592993806182</v>
      </c>
      <c r="Z55" s="231">
        <v>118426.36182023463</v>
      </c>
      <c r="AA55" s="231">
        <v>8236.3382827873047</v>
      </c>
      <c r="AB55" s="231">
        <v>116791.86578434175</v>
      </c>
      <c r="AC55" s="231">
        <v>5178.1998325722325</v>
      </c>
      <c r="AD55" s="231">
        <v>109354.29797428293</v>
      </c>
      <c r="AE55" s="412">
        <f t="shared" si="90"/>
        <v>493708.29253156635</v>
      </c>
      <c r="AF55" s="417">
        <v>0</v>
      </c>
      <c r="AG55" s="231">
        <v>21923.59777692585</v>
      </c>
      <c r="AH55" s="231">
        <v>0</v>
      </c>
      <c r="AI55" s="231">
        <v>12277.943787030563</v>
      </c>
      <c r="AJ55" s="231">
        <v>0</v>
      </c>
      <c r="AK55" s="231">
        <v>9553.4541220104547</v>
      </c>
      <c r="AL55" s="231">
        <v>0</v>
      </c>
      <c r="AM55" s="231">
        <v>15362.399911996292</v>
      </c>
      <c r="AN55" s="414">
        <f t="shared" si="91"/>
        <v>59117.395597963165</v>
      </c>
      <c r="AO55" s="415">
        <f t="shared" si="92"/>
        <v>552825.68812952947</v>
      </c>
      <c r="AP55" s="300">
        <v>33</v>
      </c>
      <c r="AQ55" s="231">
        <v>669289.44591266208</v>
      </c>
      <c r="AR55" s="231">
        <v>4243573.6036784146</v>
      </c>
      <c r="AS55" s="231">
        <v>704295.23394606507</v>
      </c>
      <c r="AT55" s="231">
        <v>4420710.7045550514</v>
      </c>
      <c r="AU55" s="231">
        <v>751028.91790154448</v>
      </c>
      <c r="AV55" s="231">
        <v>4749146.8736618953</v>
      </c>
      <c r="AW55" s="231">
        <v>807949.84267325595</v>
      </c>
      <c r="AX55" s="231">
        <v>5117515.6276373118</v>
      </c>
      <c r="AY55" s="412">
        <f t="shared" si="93"/>
        <v>21463510.249966197</v>
      </c>
      <c r="AZ55" s="417">
        <v>0</v>
      </c>
      <c r="BA55" s="231">
        <v>961543.62967136409</v>
      </c>
      <c r="BB55" s="231">
        <v>0</v>
      </c>
      <c r="BC55" s="231">
        <v>840297.68316635664</v>
      </c>
      <c r="BD55" s="231">
        <v>0</v>
      </c>
      <c r="BE55" s="231">
        <v>872697.32832226239</v>
      </c>
      <c r="BF55" s="231">
        <v>0</v>
      </c>
      <c r="BG55" s="231">
        <v>1028978.4595019975</v>
      </c>
      <c r="BH55" s="414">
        <f t="shared" si="94"/>
        <v>3703517.1006619809</v>
      </c>
      <c r="BI55" s="415">
        <f t="shared" si="95"/>
        <v>25167027.350628179</v>
      </c>
      <c r="BJ55" s="300">
        <v>33</v>
      </c>
      <c r="BK55" s="231">
        <v>4392.273739665945</v>
      </c>
      <c r="BL55" s="231">
        <v>37935.560626699895</v>
      </c>
      <c r="BM55" s="231">
        <v>3010.6158545985195</v>
      </c>
      <c r="BN55" s="231">
        <v>43852.339807124583</v>
      </c>
      <c r="BO55" s="231">
        <v>2666.5563524911927</v>
      </c>
      <c r="BP55" s="231">
        <v>60395.284839798667</v>
      </c>
      <c r="BQ55" s="231">
        <v>5717.978677456691</v>
      </c>
      <c r="BR55" s="231">
        <v>62068.330349315955</v>
      </c>
      <c r="BS55" s="412">
        <f t="shared" si="96"/>
        <v>220038.94024715145</v>
      </c>
      <c r="BT55" s="417">
        <v>0</v>
      </c>
      <c r="BU55" s="231">
        <v>16812.58283717883</v>
      </c>
      <c r="BV55" s="231">
        <v>0</v>
      </c>
      <c r="BW55" s="231">
        <v>16929.089998658543</v>
      </c>
      <c r="BX55" s="231">
        <v>0</v>
      </c>
      <c r="BY55" s="231">
        <v>11946.60009634479</v>
      </c>
      <c r="BZ55" s="231">
        <v>0</v>
      </c>
      <c r="CA55" s="231">
        <v>18023.644426218743</v>
      </c>
      <c r="CB55" s="414">
        <f t="shared" si="97"/>
        <v>63711.917358400904</v>
      </c>
      <c r="CC55" s="415">
        <f t="shared" si="98"/>
        <v>283750.85760555236</v>
      </c>
      <c r="CD55" s="300">
        <v>33</v>
      </c>
      <c r="CE55" s="414">
        <f t="shared" si="99"/>
        <v>5501321.2938305205</v>
      </c>
      <c r="CF55" s="414">
        <f t="shared" si="100"/>
        <v>5991207.3168560844</v>
      </c>
      <c r="CG55" s="414">
        <f t="shared" si="101"/>
        <v>6287497.4914560169</v>
      </c>
      <c r="CH55" s="414">
        <f t="shared" si="102"/>
        <v>6578290.8873695359</v>
      </c>
      <c r="CI55" s="416">
        <f t="shared" si="103"/>
        <v>24358316.989512153</v>
      </c>
      <c r="CJ55" s="414">
        <f t="shared" si="104"/>
        <v>1040172.2919619181</v>
      </c>
      <c r="CK55" s="414">
        <f t="shared" si="105"/>
        <v>1038150.6071655249</v>
      </c>
      <c r="CL55" s="414">
        <f t="shared" si="106"/>
        <v>987955.12121639785</v>
      </c>
      <c r="CM55" s="414">
        <f t="shared" si="107"/>
        <v>1125030.3706516584</v>
      </c>
      <c r="CN55" s="416">
        <f t="shared" si="108"/>
        <v>4191308.3909954997</v>
      </c>
      <c r="CO55" s="414">
        <f t="shared" si="109"/>
        <v>6541493.5857924381</v>
      </c>
      <c r="CP55" s="414">
        <f t="shared" si="110"/>
        <v>7029357.9240216101</v>
      </c>
      <c r="CQ55" s="414">
        <f t="shared" si="111"/>
        <v>7275452.6126724146</v>
      </c>
      <c r="CR55" s="414">
        <f t="shared" si="112"/>
        <v>7703321.2580211954</v>
      </c>
      <c r="CS55" s="416">
        <f t="shared" si="113"/>
        <v>28549625.380507655</v>
      </c>
    </row>
    <row r="56" spans="1:97" ht="15.75" customHeight="1">
      <c r="A56" s="88" t="s">
        <v>221</v>
      </c>
      <c r="B56" s="300">
        <v>34</v>
      </c>
      <c r="C56" s="231">
        <v>20217.816065312978</v>
      </c>
      <c r="D56" s="231">
        <v>91756.29743137717</v>
      </c>
      <c r="E56" s="231">
        <v>34855.214604115128</v>
      </c>
      <c r="F56" s="231">
        <v>133276.05153682095</v>
      </c>
      <c r="G56" s="231">
        <v>39479.660896589456</v>
      </c>
      <c r="H56" s="231">
        <v>120849.53347189918</v>
      </c>
      <c r="I56" s="231">
        <v>22367.281420141782</v>
      </c>
      <c r="J56" s="231">
        <v>72322.371124360652</v>
      </c>
      <c r="K56" s="412">
        <f t="shared" si="87"/>
        <v>535124.22655061726</v>
      </c>
      <c r="L56" s="417">
        <v>0</v>
      </c>
      <c r="M56" s="231">
        <v>38852.081793261714</v>
      </c>
      <c r="N56" s="231">
        <v>0</v>
      </c>
      <c r="O56" s="231">
        <v>109763.95941966478</v>
      </c>
      <c r="P56" s="231">
        <v>0</v>
      </c>
      <c r="Q56" s="231">
        <v>88033.402730984017</v>
      </c>
      <c r="R56" s="231">
        <v>0</v>
      </c>
      <c r="S56" s="231">
        <v>54566.885294148269</v>
      </c>
      <c r="T56" s="414">
        <f t="shared" si="88"/>
        <v>291216.32923805882</v>
      </c>
      <c r="U56" s="415">
        <f t="shared" si="89"/>
        <v>826340.55578867602</v>
      </c>
      <c r="V56" s="300">
        <v>34</v>
      </c>
      <c r="W56" s="231">
        <v>8557.1827916360944</v>
      </c>
      <c r="X56" s="231">
        <v>21691.121240418859</v>
      </c>
      <c r="Y56" s="231">
        <v>4846.5168903507974</v>
      </c>
      <c r="Z56" s="231">
        <v>15985.197995450091</v>
      </c>
      <c r="AA56" s="231">
        <v>5879.3745026256947</v>
      </c>
      <c r="AB56" s="231">
        <v>16328.357483001882</v>
      </c>
      <c r="AC56" s="231">
        <v>7785.2077297302212</v>
      </c>
      <c r="AD56" s="231">
        <v>19706.62068409257</v>
      </c>
      <c r="AE56" s="412">
        <f t="shared" si="90"/>
        <v>100779.57931730621</v>
      </c>
      <c r="AF56" s="417">
        <v>0</v>
      </c>
      <c r="AG56" s="231">
        <v>18046.304726888182</v>
      </c>
      <c r="AH56" s="231">
        <v>0</v>
      </c>
      <c r="AI56" s="231">
        <v>11125.003717545143</v>
      </c>
      <c r="AJ56" s="231">
        <v>0</v>
      </c>
      <c r="AK56" s="231">
        <v>9186.2410098546843</v>
      </c>
      <c r="AL56" s="231">
        <v>0</v>
      </c>
      <c r="AM56" s="231">
        <v>13972.077081521087</v>
      </c>
      <c r="AN56" s="414">
        <f t="shared" si="91"/>
        <v>52329.626535809097</v>
      </c>
      <c r="AO56" s="415">
        <f t="shared" si="92"/>
        <v>153109.2058531153</v>
      </c>
      <c r="AP56" s="300">
        <v>34</v>
      </c>
      <c r="AQ56" s="231">
        <v>285511.65397369646</v>
      </c>
      <c r="AR56" s="231">
        <v>786377.58977429883</v>
      </c>
      <c r="AS56" s="231">
        <v>255817.6887398859</v>
      </c>
      <c r="AT56" s="231">
        <v>772786.77716849896</v>
      </c>
      <c r="AU56" s="231">
        <v>304481.04368675704</v>
      </c>
      <c r="AV56" s="231">
        <v>878546.45529177331</v>
      </c>
      <c r="AW56" s="231">
        <v>398609.40889981971</v>
      </c>
      <c r="AX56" s="231">
        <v>938274.89413224731</v>
      </c>
      <c r="AY56" s="412">
        <f t="shared" si="93"/>
        <v>4620405.5116669768</v>
      </c>
      <c r="AZ56" s="417">
        <v>0</v>
      </c>
      <c r="BA56" s="231">
        <v>398831.49165863649</v>
      </c>
      <c r="BB56" s="231">
        <v>0</v>
      </c>
      <c r="BC56" s="231">
        <v>442248.16176155064</v>
      </c>
      <c r="BD56" s="231">
        <v>0</v>
      </c>
      <c r="BE56" s="231">
        <v>446599.16136040888</v>
      </c>
      <c r="BF56" s="231">
        <v>0</v>
      </c>
      <c r="BG56" s="231">
        <v>518906.42420344485</v>
      </c>
      <c r="BH56" s="414">
        <f t="shared" si="94"/>
        <v>1806585.2389840409</v>
      </c>
      <c r="BI56" s="415">
        <f t="shared" si="95"/>
        <v>6426990.7506510178</v>
      </c>
      <c r="BJ56" s="300">
        <v>34</v>
      </c>
      <c r="BK56" s="231">
        <v>23663.07862831945</v>
      </c>
      <c r="BL56" s="231">
        <v>34659.889019222144</v>
      </c>
      <c r="BM56" s="231">
        <v>10219.494435145587</v>
      </c>
      <c r="BN56" s="231">
        <v>21679.444959141183</v>
      </c>
      <c r="BO56" s="231">
        <v>21763.779955434853</v>
      </c>
      <c r="BP56" s="231">
        <v>22133.833781299079</v>
      </c>
      <c r="BQ56" s="231">
        <v>15221.519641543784</v>
      </c>
      <c r="BR56" s="231">
        <v>18779.285910572024</v>
      </c>
      <c r="BS56" s="412">
        <f t="shared" si="96"/>
        <v>168120.3263306781</v>
      </c>
      <c r="BT56" s="417">
        <v>0</v>
      </c>
      <c r="BU56" s="231">
        <v>74854.987115280077</v>
      </c>
      <c r="BV56" s="231">
        <v>0</v>
      </c>
      <c r="BW56" s="231">
        <v>65736.245200358811</v>
      </c>
      <c r="BX56" s="231">
        <v>0</v>
      </c>
      <c r="BY56" s="231">
        <v>78355.106425917445</v>
      </c>
      <c r="BZ56" s="231">
        <v>0</v>
      </c>
      <c r="CA56" s="231">
        <v>50300.516296718051</v>
      </c>
      <c r="CB56" s="414">
        <f t="shared" si="97"/>
        <v>269246.85503827437</v>
      </c>
      <c r="CC56" s="415">
        <f t="shared" si="98"/>
        <v>437367.1813689525</v>
      </c>
      <c r="CD56" s="300">
        <v>34</v>
      </c>
      <c r="CE56" s="414">
        <f t="shared" si="99"/>
        <v>1272434.6289242823</v>
      </c>
      <c r="CF56" s="414">
        <f t="shared" si="100"/>
        <v>1249466.3863294085</v>
      </c>
      <c r="CG56" s="414">
        <f t="shared" si="101"/>
        <v>1409462.0390693806</v>
      </c>
      <c r="CH56" s="414">
        <f t="shared" si="102"/>
        <v>1493066.5895425079</v>
      </c>
      <c r="CI56" s="416">
        <f t="shared" si="103"/>
        <v>5424429.6438655788</v>
      </c>
      <c r="CJ56" s="414">
        <f t="shared" si="104"/>
        <v>530584.86529406649</v>
      </c>
      <c r="CK56" s="414">
        <f t="shared" si="105"/>
        <v>628873.37009911938</v>
      </c>
      <c r="CL56" s="414">
        <f t="shared" si="106"/>
        <v>622173.9115271651</v>
      </c>
      <c r="CM56" s="414">
        <f t="shared" si="107"/>
        <v>637745.90287583228</v>
      </c>
      <c r="CN56" s="416">
        <f t="shared" si="108"/>
        <v>2419378.0497961831</v>
      </c>
      <c r="CO56" s="414">
        <f t="shared" si="109"/>
        <v>1803019.4942183488</v>
      </c>
      <c r="CP56" s="414">
        <f t="shared" si="110"/>
        <v>1878339.7564285279</v>
      </c>
      <c r="CQ56" s="414">
        <f t="shared" si="111"/>
        <v>2031635.9505965456</v>
      </c>
      <c r="CR56" s="414">
        <f t="shared" si="112"/>
        <v>2130812.4924183404</v>
      </c>
      <c r="CS56" s="416">
        <f t="shared" si="113"/>
        <v>7843807.6936617615</v>
      </c>
    </row>
    <row r="57" spans="1:97" ht="15.75" customHeight="1">
      <c r="A57" s="88" t="s">
        <v>222</v>
      </c>
      <c r="B57" s="300">
        <v>35</v>
      </c>
      <c r="C57" s="231">
        <v>18342.674931715599</v>
      </c>
      <c r="D57" s="231">
        <v>41609.717976246116</v>
      </c>
      <c r="E57" s="231">
        <v>17936.22632833747</v>
      </c>
      <c r="F57" s="231">
        <v>36625.874836291783</v>
      </c>
      <c r="G57" s="231">
        <v>20484.596309965556</v>
      </c>
      <c r="H57" s="231">
        <v>46894.928120321973</v>
      </c>
      <c r="I57" s="231">
        <v>21006.142824105616</v>
      </c>
      <c r="J57" s="231">
        <v>24244.054067793859</v>
      </c>
      <c r="K57" s="412">
        <f t="shared" si="87"/>
        <v>227144.21539477797</v>
      </c>
      <c r="L57" s="417">
        <v>0</v>
      </c>
      <c r="M57" s="231">
        <v>32169.924192552582</v>
      </c>
      <c r="N57" s="231">
        <v>0</v>
      </c>
      <c r="O57" s="231">
        <v>68649.351861708055</v>
      </c>
      <c r="P57" s="231">
        <v>0</v>
      </c>
      <c r="Q57" s="231">
        <v>70024.930417135678</v>
      </c>
      <c r="R57" s="231">
        <v>0</v>
      </c>
      <c r="S57" s="231">
        <v>48630.665595777165</v>
      </c>
      <c r="T57" s="414">
        <f t="shared" si="88"/>
        <v>219474.87206717348</v>
      </c>
      <c r="U57" s="415">
        <f t="shared" si="89"/>
        <v>446619.08746195142</v>
      </c>
      <c r="V57" s="300">
        <v>35</v>
      </c>
      <c r="W57" s="231">
        <v>1345.396912267558</v>
      </c>
      <c r="X57" s="231">
        <v>9754.7101515715676</v>
      </c>
      <c r="Y57" s="231">
        <v>225.73037775958522</v>
      </c>
      <c r="Z57" s="231">
        <v>2536.6541284690466</v>
      </c>
      <c r="AA57" s="231">
        <v>2202.3433703161099</v>
      </c>
      <c r="AB57" s="231">
        <v>4419.2995502464782</v>
      </c>
      <c r="AC57" s="231">
        <v>2841.3048267045619</v>
      </c>
      <c r="AD57" s="231">
        <v>3467.2410702023044</v>
      </c>
      <c r="AE57" s="412">
        <f t="shared" si="90"/>
        <v>26792.68038753721</v>
      </c>
      <c r="AF57" s="417">
        <v>0</v>
      </c>
      <c r="AG57" s="231">
        <v>14617.152233387929</v>
      </c>
      <c r="AH57" s="231">
        <v>0</v>
      </c>
      <c r="AI57" s="231">
        <v>10119.600631087233</v>
      </c>
      <c r="AJ57" s="231">
        <v>0</v>
      </c>
      <c r="AK57" s="231">
        <v>11801.237980513213</v>
      </c>
      <c r="AL57" s="231">
        <v>0</v>
      </c>
      <c r="AM57" s="231">
        <v>12137.313814793466</v>
      </c>
      <c r="AN57" s="414">
        <f t="shared" si="91"/>
        <v>48675.304659781839</v>
      </c>
      <c r="AO57" s="415">
        <f t="shared" si="92"/>
        <v>75467.985047319045</v>
      </c>
      <c r="AP57" s="300">
        <v>35</v>
      </c>
      <c r="AQ57" s="231">
        <v>146223.73601280991</v>
      </c>
      <c r="AR57" s="231">
        <v>559269.56865909381</v>
      </c>
      <c r="AS57" s="231">
        <v>121530.97527937109</v>
      </c>
      <c r="AT57" s="231">
        <v>307398.78164380661</v>
      </c>
      <c r="AU57" s="231">
        <v>164183.35807951292</v>
      </c>
      <c r="AV57" s="231">
        <v>406725.31479603361</v>
      </c>
      <c r="AW57" s="231">
        <v>132686.57882652312</v>
      </c>
      <c r="AX57" s="231">
        <v>399606.94336466491</v>
      </c>
      <c r="AY57" s="412">
        <f t="shared" si="93"/>
        <v>2237625.2566618156</v>
      </c>
      <c r="AZ57" s="417">
        <v>0</v>
      </c>
      <c r="BA57" s="231">
        <v>528567.08248019812</v>
      </c>
      <c r="BB57" s="231">
        <v>0</v>
      </c>
      <c r="BC57" s="231">
        <v>474512.93432875641</v>
      </c>
      <c r="BD57" s="231">
        <v>0</v>
      </c>
      <c r="BE57" s="231">
        <v>522374.93137630803</v>
      </c>
      <c r="BF57" s="231">
        <v>0</v>
      </c>
      <c r="BG57" s="231">
        <v>576256.92462557135</v>
      </c>
      <c r="BH57" s="414">
        <f t="shared" si="94"/>
        <v>2101711.8728108341</v>
      </c>
      <c r="BI57" s="415">
        <f t="shared" si="95"/>
        <v>4339337.1294726497</v>
      </c>
      <c r="BJ57" s="300">
        <v>35</v>
      </c>
      <c r="BK57" s="231">
        <v>590.60815312296188</v>
      </c>
      <c r="BL57" s="231">
        <v>10259.642770078735</v>
      </c>
      <c r="BM57" s="231">
        <v>139.7102080865684</v>
      </c>
      <c r="BN57" s="231">
        <v>3403.8022992221463</v>
      </c>
      <c r="BO57" s="231">
        <v>9730.7543427675646</v>
      </c>
      <c r="BP57" s="231">
        <v>5814.4007652418049</v>
      </c>
      <c r="BQ57" s="231">
        <v>1783.8807105713872</v>
      </c>
      <c r="BR57" s="231">
        <v>6465.9289120111152</v>
      </c>
      <c r="BS57" s="412">
        <f t="shared" si="96"/>
        <v>38188.728161102285</v>
      </c>
      <c r="BT57" s="417">
        <v>0</v>
      </c>
      <c r="BU57" s="231">
        <v>10998.338718225645</v>
      </c>
      <c r="BV57" s="231">
        <v>0</v>
      </c>
      <c r="BW57" s="231">
        <v>17696.464615588087</v>
      </c>
      <c r="BX57" s="231">
        <v>0</v>
      </c>
      <c r="BY57" s="231">
        <v>24043.609184476212</v>
      </c>
      <c r="BZ57" s="231">
        <v>0</v>
      </c>
      <c r="CA57" s="231">
        <v>29962.044767534044</v>
      </c>
      <c r="CB57" s="414">
        <f t="shared" si="97"/>
        <v>82700.457285823984</v>
      </c>
      <c r="CC57" s="415">
        <f t="shared" si="98"/>
        <v>120889.18544692628</v>
      </c>
      <c r="CD57" s="300">
        <v>35</v>
      </c>
      <c r="CE57" s="414">
        <f t="shared" si="99"/>
        <v>787396.05556690623</v>
      </c>
      <c r="CF57" s="414">
        <f t="shared" si="100"/>
        <v>489797.75510134432</v>
      </c>
      <c r="CG57" s="414">
        <f t="shared" si="101"/>
        <v>660454.99533440603</v>
      </c>
      <c r="CH57" s="414">
        <f t="shared" si="102"/>
        <v>592102.0746025769</v>
      </c>
      <c r="CI57" s="416">
        <f t="shared" si="103"/>
        <v>2529750.8806052329</v>
      </c>
      <c r="CJ57" s="414">
        <f t="shared" si="104"/>
        <v>586352.49762436422</v>
      </c>
      <c r="CK57" s="414">
        <f t="shared" si="105"/>
        <v>570978.35143713979</v>
      </c>
      <c r="CL57" s="414">
        <f t="shared" si="106"/>
        <v>628244.70895843313</v>
      </c>
      <c r="CM57" s="414">
        <f t="shared" si="107"/>
        <v>666986.94880367594</v>
      </c>
      <c r="CN57" s="416">
        <f t="shared" si="108"/>
        <v>2452562.5068236133</v>
      </c>
      <c r="CO57" s="414">
        <f t="shared" si="109"/>
        <v>1373748.5531912704</v>
      </c>
      <c r="CP57" s="414">
        <f t="shared" si="110"/>
        <v>1060776.1065384841</v>
      </c>
      <c r="CQ57" s="414">
        <f t="shared" si="111"/>
        <v>1288699.7042928394</v>
      </c>
      <c r="CR57" s="414">
        <f t="shared" si="112"/>
        <v>1259089.023406253</v>
      </c>
      <c r="CS57" s="416">
        <f t="shared" si="113"/>
        <v>4982313.3874288462</v>
      </c>
    </row>
    <row r="58" spans="1:97" ht="15.75" customHeight="1">
      <c r="A58" s="88" t="s">
        <v>223</v>
      </c>
      <c r="B58" s="300">
        <v>36</v>
      </c>
      <c r="C58" s="231">
        <v>0</v>
      </c>
      <c r="D58" s="231">
        <v>0</v>
      </c>
      <c r="E58" s="231">
        <v>18247.986885098631</v>
      </c>
      <c r="F58" s="231">
        <v>0</v>
      </c>
      <c r="G58" s="231">
        <v>30832.053428771444</v>
      </c>
      <c r="H58" s="231">
        <v>0</v>
      </c>
      <c r="I58" s="231">
        <v>5737.5728323641442</v>
      </c>
      <c r="J58" s="231">
        <v>0</v>
      </c>
      <c r="K58" s="412">
        <f t="shared" si="87"/>
        <v>54817.613146234224</v>
      </c>
      <c r="L58" s="417">
        <v>0</v>
      </c>
      <c r="M58" s="231">
        <v>0</v>
      </c>
      <c r="N58" s="231">
        <v>0</v>
      </c>
      <c r="O58" s="231">
        <v>440.09674019263116</v>
      </c>
      <c r="P58" s="231">
        <v>0</v>
      </c>
      <c r="Q58" s="231">
        <v>110.64847403284941</v>
      </c>
      <c r="R58" s="231">
        <v>0</v>
      </c>
      <c r="S58" s="231">
        <v>0</v>
      </c>
      <c r="T58" s="414">
        <f t="shared" si="88"/>
        <v>550.74521422548059</v>
      </c>
      <c r="U58" s="415">
        <f t="shared" si="89"/>
        <v>55368.358360459708</v>
      </c>
      <c r="V58" s="300">
        <v>36</v>
      </c>
      <c r="W58" s="231">
        <v>0</v>
      </c>
      <c r="X58" s="231">
        <v>0</v>
      </c>
      <c r="Y58" s="231">
        <v>0</v>
      </c>
      <c r="Z58" s="231">
        <v>0</v>
      </c>
      <c r="AA58" s="231">
        <v>0</v>
      </c>
      <c r="AB58" s="231">
        <v>0</v>
      </c>
      <c r="AC58" s="231">
        <v>0</v>
      </c>
      <c r="AD58" s="231">
        <v>0</v>
      </c>
      <c r="AE58" s="412">
        <f t="shared" si="90"/>
        <v>0</v>
      </c>
      <c r="AF58" s="417">
        <v>0</v>
      </c>
      <c r="AG58" s="231">
        <v>0</v>
      </c>
      <c r="AH58" s="231">
        <v>0</v>
      </c>
      <c r="AI58" s="231">
        <v>0</v>
      </c>
      <c r="AJ58" s="231">
        <v>0</v>
      </c>
      <c r="AK58" s="231">
        <v>0</v>
      </c>
      <c r="AL58" s="231">
        <v>0</v>
      </c>
      <c r="AM58" s="231">
        <v>0</v>
      </c>
      <c r="AN58" s="414">
        <f t="shared" si="91"/>
        <v>0</v>
      </c>
      <c r="AO58" s="415">
        <f t="shared" si="92"/>
        <v>0</v>
      </c>
      <c r="AP58" s="300">
        <v>36</v>
      </c>
      <c r="AQ58" s="231">
        <v>32131.075658580085</v>
      </c>
      <c r="AR58" s="231">
        <v>0</v>
      </c>
      <c r="AS58" s="231">
        <v>13902.83726248363</v>
      </c>
      <c r="AT58" s="231">
        <v>0</v>
      </c>
      <c r="AU58" s="231">
        <v>27940.857791206035</v>
      </c>
      <c r="AV58" s="231">
        <v>0</v>
      </c>
      <c r="AW58" s="231">
        <v>10694.944812324633</v>
      </c>
      <c r="AX58" s="231">
        <v>11199.598417359439</v>
      </c>
      <c r="AY58" s="412">
        <f t="shared" si="93"/>
        <v>95869.31394195382</v>
      </c>
      <c r="AZ58" s="417">
        <v>0</v>
      </c>
      <c r="BA58" s="231">
        <v>14290.844451696035</v>
      </c>
      <c r="BB58" s="231">
        <v>0</v>
      </c>
      <c r="BC58" s="231">
        <v>2200.483700963156</v>
      </c>
      <c r="BD58" s="231">
        <v>0</v>
      </c>
      <c r="BE58" s="231">
        <v>5864.3691237410203</v>
      </c>
      <c r="BF58" s="231">
        <v>0</v>
      </c>
      <c r="BG58" s="231">
        <v>3390.7639895432362</v>
      </c>
      <c r="BH58" s="414">
        <f t="shared" si="94"/>
        <v>25746.46126594345</v>
      </c>
      <c r="BI58" s="415">
        <f t="shared" si="95"/>
        <v>121615.77520789727</v>
      </c>
      <c r="BJ58" s="300">
        <v>36</v>
      </c>
      <c r="BK58" s="231">
        <v>963.74225748266224</v>
      </c>
      <c r="BL58" s="231">
        <v>0</v>
      </c>
      <c r="BM58" s="231">
        <v>0</v>
      </c>
      <c r="BN58" s="231">
        <v>0</v>
      </c>
      <c r="BO58" s="231">
        <v>0</v>
      </c>
      <c r="BP58" s="231">
        <v>0</v>
      </c>
      <c r="BQ58" s="231">
        <v>0</v>
      </c>
      <c r="BR58" s="231">
        <v>0</v>
      </c>
      <c r="BS58" s="412">
        <f t="shared" si="96"/>
        <v>963.74225748266224</v>
      </c>
      <c r="BT58" s="417">
        <v>0</v>
      </c>
      <c r="BU58" s="231">
        <v>0</v>
      </c>
      <c r="BV58" s="231">
        <v>0</v>
      </c>
      <c r="BW58" s="231">
        <v>330.07255514447331</v>
      </c>
      <c r="BX58" s="231">
        <v>0</v>
      </c>
      <c r="BY58" s="231">
        <v>110.64847403284941</v>
      </c>
      <c r="BZ58" s="231">
        <v>0</v>
      </c>
      <c r="CA58" s="231">
        <v>560.42312437392616</v>
      </c>
      <c r="CB58" s="414">
        <f t="shared" si="97"/>
        <v>1001.1441535512489</v>
      </c>
      <c r="CC58" s="415">
        <f t="shared" si="98"/>
        <v>1964.8864110339111</v>
      </c>
      <c r="CD58" s="300">
        <v>36</v>
      </c>
      <c r="CE58" s="414">
        <f t="shared" si="99"/>
        <v>33094.817916062748</v>
      </c>
      <c r="CF58" s="414">
        <f t="shared" si="100"/>
        <v>32150.824147582262</v>
      </c>
      <c r="CG58" s="414">
        <f t="shared" si="101"/>
        <v>58772.911219977483</v>
      </c>
      <c r="CH58" s="414">
        <f t="shared" si="102"/>
        <v>27632.116062048219</v>
      </c>
      <c r="CI58" s="416">
        <f t="shared" si="103"/>
        <v>151650.6693456707</v>
      </c>
      <c r="CJ58" s="414">
        <f t="shared" si="104"/>
        <v>14290.844451696035</v>
      </c>
      <c r="CK58" s="414">
        <f t="shared" si="105"/>
        <v>2970.6529963002608</v>
      </c>
      <c r="CL58" s="414">
        <f t="shared" si="106"/>
        <v>6085.6660718067196</v>
      </c>
      <c r="CM58" s="414">
        <f t="shared" si="107"/>
        <v>3951.1871139171626</v>
      </c>
      <c r="CN58" s="416">
        <f t="shared" si="108"/>
        <v>27298.35063372018</v>
      </c>
      <c r="CO58" s="414">
        <f t="shared" si="109"/>
        <v>47385.662367758785</v>
      </c>
      <c r="CP58" s="414">
        <f t="shared" si="110"/>
        <v>35121.477143882519</v>
      </c>
      <c r="CQ58" s="414">
        <f t="shared" si="111"/>
        <v>64858.577291784204</v>
      </c>
      <c r="CR58" s="414">
        <f t="shared" si="112"/>
        <v>31583.303175965382</v>
      </c>
      <c r="CS58" s="416">
        <f t="shared" si="113"/>
        <v>178949.0199793909</v>
      </c>
    </row>
    <row r="59" spans="1:97" ht="15.75" customHeight="1">
      <c r="A59" s="88" t="s">
        <v>468</v>
      </c>
      <c r="B59" s="300">
        <v>37</v>
      </c>
      <c r="C59" s="231">
        <v>732.54732235394545</v>
      </c>
      <c r="D59" s="231">
        <v>1884.6217460423347</v>
      </c>
      <c r="E59" s="231">
        <v>1228.6751091310025</v>
      </c>
      <c r="F59" s="231">
        <v>2677.8557265115469</v>
      </c>
      <c r="G59" s="231">
        <v>1967.272106989087</v>
      </c>
      <c r="H59" s="231">
        <v>3707.1411581722509</v>
      </c>
      <c r="I59" s="231">
        <v>3942.731990561475</v>
      </c>
      <c r="J59" s="231">
        <v>2811.644415958182</v>
      </c>
      <c r="K59" s="412">
        <f t="shared" si="87"/>
        <v>18952.489575719825</v>
      </c>
      <c r="L59" s="417">
        <v>0</v>
      </c>
      <c r="M59" s="231">
        <v>1120.1013240714792</v>
      </c>
      <c r="N59" s="231">
        <v>0</v>
      </c>
      <c r="O59" s="231">
        <v>3126.1232599685463</v>
      </c>
      <c r="P59" s="231">
        <v>0</v>
      </c>
      <c r="Q59" s="231">
        <v>3035.1166547025978</v>
      </c>
      <c r="R59" s="231">
        <v>0</v>
      </c>
      <c r="S59" s="231">
        <v>3274.9649797945949</v>
      </c>
      <c r="T59" s="414">
        <f t="shared" si="88"/>
        <v>10556.306218537218</v>
      </c>
      <c r="U59" s="415">
        <f t="shared" si="89"/>
        <v>29508.795794257043</v>
      </c>
      <c r="V59" s="300">
        <v>37</v>
      </c>
      <c r="W59" s="231">
        <v>0</v>
      </c>
      <c r="X59" s="231">
        <v>202.01304998702659</v>
      </c>
      <c r="Y59" s="231">
        <v>0</v>
      </c>
      <c r="Z59" s="231">
        <v>202.18843697869912</v>
      </c>
      <c r="AA59" s="231">
        <v>331.65248780640252</v>
      </c>
      <c r="AB59" s="231">
        <v>373.86280443630829</v>
      </c>
      <c r="AC59" s="231">
        <v>327.58501594888503</v>
      </c>
      <c r="AD59" s="231">
        <v>65.009119444119818</v>
      </c>
      <c r="AE59" s="412">
        <f t="shared" si="90"/>
        <v>1502.3109146014413</v>
      </c>
      <c r="AF59" s="417">
        <v>0</v>
      </c>
      <c r="AG59" s="231">
        <v>156.85219559532828</v>
      </c>
      <c r="AH59" s="231">
        <v>0</v>
      </c>
      <c r="AI59" s="231">
        <v>149.38006842891269</v>
      </c>
      <c r="AJ59" s="231">
        <v>0</v>
      </c>
      <c r="AK59" s="231">
        <v>402.16852046735676</v>
      </c>
      <c r="AL59" s="231">
        <v>0</v>
      </c>
      <c r="AM59" s="231">
        <v>823.07299324247094</v>
      </c>
      <c r="AN59" s="414">
        <f t="shared" si="91"/>
        <v>1531.4737777340688</v>
      </c>
      <c r="AO59" s="415">
        <f t="shared" si="92"/>
        <v>3033.78469233551</v>
      </c>
      <c r="AP59" s="300">
        <v>37</v>
      </c>
      <c r="AQ59" s="231">
        <v>10329.097256819332</v>
      </c>
      <c r="AR59" s="231">
        <v>11385.265484994079</v>
      </c>
      <c r="AS59" s="231">
        <v>9013.400371253394</v>
      </c>
      <c r="AT59" s="231">
        <v>10916.864374807959</v>
      </c>
      <c r="AU59" s="231">
        <v>14213.620619843603</v>
      </c>
      <c r="AV59" s="231">
        <v>16573.006468173739</v>
      </c>
      <c r="AW59" s="231">
        <v>21584.866194607061</v>
      </c>
      <c r="AX59" s="231">
        <v>14414.908834365951</v>
      </c>
      <c r="AY59" s="412">
        <f t="shared" si="93"/>
        <v>108431.02960486512</v>
      </c>
      <c r="AZ59" s="417">
        <v>0</v>
      </c>
      <c r="BA59" s="231">
        <v>9577.2364203734851</v>
      </c>
      <c r="BB59" s="231">
        <v>0</v>
      </c>
      <c r="BC59" s="231">
        <v>12526.229427488399</v>
      </c>
      <c r="BD59" s="231">
        <v>0</v>
      </c>
      <c r="BE59" s="231">
        <v>27812.436837556692</v>
      </c>
      <c r="BF59" s="231">
        <v>0</v>
      </c>
      <c r="BG59" s="231">
        <v>33860.975384366</v>
      </c>
      <c r="BH59" s="414">
        <f t="shared" si="94"/>
        <v>83776.87806978458</v>
      </c>
      <c r="BI59" s="415">
        <f t="shared" si="95"/>
        <v>192207.9076746497</v>
      </c>
      <c r="BJ59" s="300">
        <v>37</v>
      </c>
      <c r="BK59" s="231">
        <v>0</v>
      </c>
      <c r="BL59" s="231">
        <v>0</v>
      </c>
      <c r="BM59" s="231">
        <v>0</v>
      </c>
      <c r="BN59" s="231">
        <v>0</v>
      </c>
      <c r="BO59" s="231">
        <v>0</v>
      </c>
      <c r="BP59" s="231">
        <v>0</v>
      </c>
      <c r="BQ59" s="231">
        <v>0</v>
      </c>
      <c r="BR59" s="231">
        <v>83.800818033435704</v>
      </c>
      <c r="BS59" s="412">
        <f t="shared" si="96"/>
        <v>83.800818033435704</v>
      </c>
      <c r="BT59" s="417">
        <v>0</v>
      </c>
      <c r="BU59" s="231">
        <v>0</v>
      </c>
      <c r="BV59" s="231">
        <v>0</v>
      </c>
      <c r="BW59" s="231">
        <v>0</v>
      </c>
      <c r="BX59" s="231">
        <v>0</v>
      </c>
      <c r="BY59" s="231">
        <v>0</v>
      </c>
      <c r="BZ59" s="231">
        <v>0</v>
      </c>
      <c r="CA59" s="231">
        <v>0</v>
      </c>
      <c r="CB59" s="414">
        <f t="shared" si="97"/>
        <v>0</v>
      </c>
      <c r="CC59" s="415">
        <f t="shared" si="98"/>
        <v>83.800818033435704</v>
      </c>
      <c r="CD59" s="300">
        <v>37</v>
      </c>
      <c r="CE59" s="414">
        <f t="shared" si="99"/>
        <v>24533.544860196718</v>
      </c>
      <c r="CF59" s="414">
        <f t="shared" si="100"/>
        <v>24038.984018682604</v>
      </c>
      <c r="CG59" s="414">
        <f t="shared" si="101"/>
        <v>37166.555645421395</v>
      </c>
      <c r="CH59" s="414">
        <f t="shared" si="102"/>
        <v>43230.546388919109</v>
      </c>
      <c r="CI59" s="416">
        <f t="shared" si="103"/>
        <v>128969.63091321982</v>
      </c>
      <c r="CJ59" s="414">
        <f t="shared" si="104"/>
        <v>10854.189940040293</v>
      </c>
      <c r="CK59" s="414">
        <f t="shared" si="105"/>
        <v>15801.732755885858</v>
      </c>
      <c r="CL59" s="414">
        <f t="shared" si="106"/>
        <v>31249.722012726648</v>
      </c>
      <c r="CM59" s="414">
        <f t="shared" si="107"/>
        <v>37959.013357403062</v>
      </c>
      <c r="CN59" s="416">
        <f t="shared" si="108"/>
        <v>95864.658066055868</v>
      </c>
      <c r="CO59" s="414">
        <f t="shared" si="109"/>
        <v>35387.734800237005</v>
      </c>
      <c r="CP59" s="414">
        <f t="shared" si="110"/>
        <v>39840.716774568464</v>
      </c>
      <c r="CQ59" s="414">
        <f t="shared" si="111"/>
        <v>68416.277658148028</v>
      </c>
      <c r="CR59" s="414">
        <f t="shared" si="112"/>
        <v>81189.559746322164</v>
      </c>
      <c r="CS59" s="416">
        <f t="shared" si="113"/>
        <v>224834.28897927571</v>
      </c>
    </row>
    <row r="60" spans="1:97" ht="15.75" customHeight="1">
      <c r="A60" s="932" t="s">
        <v>372</v>
      </c>
      <c r="B60" s="933">
        <v>38</v>
      </c>
      <c r="C60" s="420">
        <v>93602.286653581948</v>
      </c>
      <c r="D60" s="420">
        <v>388863.00921071082</v>
      </c>
      <c r="E60" s="420">
        <v>129479.33907091382</v>
      </c>
      <c r="F60" s="420">
        <v>518768.17631339247</v>
      </c>
      <c r="G60" s="420">
        <v>130398.88008058946</v>
      </c>
      <c r="H60" s="420">
        <v>493724.5933187505</v>
      </c>
      <c r="I60" s="420">
        <v>116330.02443209906</v>
      </c>
      <c r="J60" s="420">
        <v>445470.13324196666</v>
      </c>
      <c r="K60" s="412">
        <f>SUM(C60:J60)</f>
        <v>2316636.4423220051</v>
      </c>
      <c r="L60" s="421">
        <v>0</v>
      </c>
      <c r="M60" s="420">
        <v>0</v>
      </c>
      <c r="N60" s="420">
        <v>0</v>
      </c>
      <c r="O60" s="420">
        <v>0</v>
      </c>
      <c r="P60" s="420">
        <v>0</v>
      </c>
      <c r="Q60" s="420">
        <v>0</v>
      </c>
      <c r="R60" s="420">
        <v>0</v>
      </c>
      <c r="S60" s="420">
        <v>0</v>
      </c>
      <c r="T60" s="414">
        <f>SUM(L60:S60)</f>
        <v>0</v>
      </c>
      <c r="U60" s="415">
        <f>SUM(T60,K60)</f>
        <v>2316636.4423220051</v>
      </c>
      <c r="V60" s="933">
        <v>38</v>
      </c>
      <c r="W60" s="420">
        <v>4946.7765035749335</v>
      </c>
      <c r="X60" s="420">
        <v>76520.449039674757</v>
      </c>
      <c r="Y60" s="420">
        <v>3712.6692206713637</v>
      </c>
      <c r="Z60" s="420">
        <v>66363.962319500628</v>
      </c>
      <c r="AA60" s="420">
        <v>4246.2631168930848</v>
      </c>
      <c r="AB60" s="420">
        <v>68017.414654232867</v>
      </c>
      <c r="AC60" s="420">
        <v>5231.7735855705932</v>
      </c>
      <c r="AD60" s="420">
        <v>71090.570486282755</v>
      </c>
      <c r="AE60" s="412">
        <f>SUM(W60:AD60)</f>
        <v>300129.87892640103</v>
      </c>
      <c r="AF60" s="421">
        <v>0</v>
      </c>
      <c r="AG60" s="420">
        <v>0</v>
      </c>
      <c r="AH60" s="420">
        <v>0</v>
      </c>
      <c r="AI60" s="420">
        <v>0</v>
      </c>
      <c r="AJ60" s="420">
        <v>0</v>
      </c>
      <c r="AK60" s="420">
        <v>0</v>
      </c>
      <c r="AL60" s="420">
        <v>0</v>
      </c>
      <c r="AM60" s="420">
        <v>0</v>
      </c>
      <c r="AN60" s="414">
        <f>SUM(AF60:AM60)</f>
        <v>0</v>
      </c>
      <c r="AO60" s="415">
        <f>SUM(AN60,AE60)</f>
        <v>300129.87892640103</v>
      </c>
      <c r="AP60" s="933">
        <v>38</v>
      </c>
      <c r="AQ60" s="420">
        <v>313424.66753119306</v>
      </c>
      <c r="AR60" s="420">
        <v>1247824.3730267771</v>
      </c>
      <c r="AS60" s="420">
        <v>309079.71262089105</v>
      </c>
      <c r="AT60" s="420">
        <v>1209092.6095319742</v>
      </c>
      <c r="AU60" s="420">
        <v>339315.02543172921</v>
      </c>
      <c r="AV60" s="420">
        <v>1298738.8754977358</v>
      </c>
      <c r="AW60" s="420">
        <v>381919.47174665326</v>
      </c>
      <c r="AX60" s="420">
        <v>1408731.9757617288</v>
      </c>
      <c r="AY60" s="412">
        <f>SUM(AQ60:AX60)</f>
        <v>6508126.711148683</v>
      </c>
      <c r="AZ60" s="421">
        <v>0</v>
      </c>
      <c r="BA60" s="420">
        <v>0</v>
      </c>
      <c r="BB60" s="420">
        <v>0</v>
      </c>
      <c r="BC60" s="420">
        <v>0</v>
      </c>
      <c r="BD60" s="420">
        <v>0</v>
      </c>
      <c r="BE60" s="420">
        <v>0</v>
      </c>
      <c r="BF60" s="420">
        <v>0</v>
      </c>
      <c r="BG60" s="420">
        <v>0</v>
      </c>
      <c r="BH60" s="414">
        <f>SUM(AZ60:BG60)</f>
        <v>0</v>
      </c>
      <c r="BI60" s="415">
        <f>SUM(BH60,AY60)</f>
        <v>6508126.711148683</v>
      </c>
      <c r="BJ60" s="933">
        <v>38</v>
      </c>
      <c r="BK60" s="420">
        <v>2164.2147203140335</v>
      </c>
      <c r="BL60" s="420">
        <v>42743.240726202159</v>
      </c>
      <c r="BM60" s="420">
        <v>2243.070987488949</v>
      </c>
      <c r="BN60" s="420">
        <v>40065.888673078465</v>
      </c>
      <c r="BO60" s="420">
        <v>2933.781789853404</v>
      </c>
      <c r="BP60" s="420">
        <v>41999.402465269784</v>
      </c>
      <c r="BQ60" s="420">
        <v>3769.9544954846915</v>
      </c>
      <c r="BR60" s="420">
        <v>46085.77026112919</v>
      </c>
      <c r="BS60" s="412">
        <f>SUM(BK60:BR60)</f>
        <v>182005.32411882066</v>
      </c>
      <c r="BT60" s="421">
        <v>0</v>
      </c>
      <c r="BU60" s="420">
        <v>0</v>
      </c>
      <c r="BV60" s="420">
        <v>0</v>
      </c>
      <c r="BW60" s="420">
        <v>0</v>
      </c>
      <c r="BX60" s="420">
        <v>0</v>
      </c>
      <c r="BY60" s="420">
        <v>0</v>
      </c>
      <c r="BZ60" s="420">
        <v>0</v>
      </c>
      <c r="CA60" s="420">
        <v>0</v>
      </c>
      <c r="CB60" s="414">
        <f>SUM(BT60:CA60)</f>
        <v>0</v>
      </c>
      <c r="CC60" s="415">
        <f>SUM(CB60,BS60)</f>
        <v>182005.32411882066</v>
      </c>
      <c r="CD60" s="933">
        <v>38</v>
      </c>
      <c r="CE60" s="414">
        <f t="shared" si="99"/>
        <v>2170089.0174120287</v>
      </c>
      <c r="CF60" s="414">
        <f t="shared" si="100"/>
        <v>2278805.4287379109</v>
      </c>
      <c r="CG60" s="414">
        <f t="shared" si="101"/>
        <v>2379374.2363550542</v>
      </c>
      <c r="CH60" s="414">
        <f t="shared" si="102"/>
        <v>2478629.6740109152</v>
      </c>
      <c r="CI60" s="416">
        <f t="shared" si="103"/>
        <v>9306898.3565159105</v>
      </c>
      <c r="CJ60" s="414">
        <f t="shared" si="104"/>
        <v>0</v>
      </c>
      <c r="CK60" s="414">
        <f t="shared" si="105"/>
        <v>0</v>
      </c>
      <c r="CL60" s="414">
        <f t="shared" si="106"/>
        <v>0</v>
      </c>
      <c r="CM60" s="414">
        <f t="shared" si="107"/>
        <v>0</v>
      </c>
      <c r="CN60" s="416">
        <f t="shared" si="108"/>
        <v>0</v>
      </c>
      <c r="CO60" s="414">
        <f t="shared" si="109"/>
        <v>2170089.0174120287</v>
      </c>
      <c r="CP60" s="414">
        <f t="shared" si="110"/>
        <v>2278805.4287379109</v>
      </c>
      <c r="CQ60" s="414">
        <f t="shared" si="111"/>
        <v>2379374.2363550542</v>
      </c>
      <c r="CR60" s="414">
        <f t="shared" si="112"/>
        <v>2478629.6740109152</v>
      </c>
      <c r="CS60" s="416">
        <f t="shared" si="113"/>
        <v>9306898.3565159105</v>
      </c>
    </row>
    <row r="61" spans="1:97" ht="15.75" customHeight="1">
      <c r="A61" s="88" t="s">
        <v>226</v>
      </c>
      <c r="B61" s="933">
        <v>39</v>
      </c>
      <c r="C61" s="231">
        <v>35551.990000000005</v>
      </c>
      <c r="D61" s="231">
        <v>152665.46000000002</v>
      </c>
      <c r="E61" s="231">
        <v>50494.74</v>
      </c>
      <c r="F61" s="231">
        <v>207274.33000000002</v>
      </c>
      <c r="G61" s="231">
        <v>52040.740000000005</v>
      </c>
      <c r="H61" s="231">
        <v>199449.96000000002</v>
      </c>
      <c r="I61" s="231">
        <v>36943.86</v>
      </c>
      <c r="J61" s="231">
        <v>144646.05000000002</v>
      </c>
      <c r="K61" s="412">
        <f t="shared" si="87"/>
        <v>879067.13</v>
      </c>
      <c r="L61" s="417">
        <v>0</v>
      </c>
      <c r="M61" s="231">
        <v>701667.20000000007</v>
      </c>
      <c r="N61" s="231">
        <v>0</v>
      </c>
      <c r="O61" s="231">
        <v>995917.3</v>
      </c>
      <c r="P61" s="231">
        <v>0</v>
      </c>
      <c r="Q61" s="231">
        <v>946384.73999999987</v>
      </c>
      <c r="R61" s="231">
        <v>0</v>
      </c>
      <c r="S61" s="231">
        <v>883336.0207722123</v>
      </c>
      <c r="T61" s="414">
        <f t="shared" si="88"/>
        <v>3527305.2607722119</v>
      </c>
      <c r="U61" s="415">
        <f t="shared" si="89"/>
        <v>4406372.3907722123</v>
      </c>
      <c r="V61" s="933">
        <v>39</v>
      </c>
      <c r="W61" s="231">
        <v>1753.06</v>
      </c>
      <c r="X61" s="231">
        <v>28280.99</v>
      </c>
      <c r="Y61" s="231">
        <v>1364.16</v>
      </c>
      <c r="Z61" s="231">
        <v>25645.600000000002</v>
      </c>
      <c r="AA61" s="231">
        <v>1586.28</v>
      </c>
      <c r="AB61" s="231">
        <v>26512.06</v>
      </c>
      <c r="AC61" s="231">
        <v>1561.71</v>
      </c>
      <c r="AD61" s="231">
        <v>22766.890000000003</v>
      </c>
      <c r="AE61" s="412">
        <f t="shared" si="90"/>
        <v>109470.75000000001</v>
      </c>
      <c r="AF61" s="417">
        <v>0</v>
      </c>
      <c r="AG61" s="231">
        <v>137081.89000000001</v>
      </c>
      <c r="AH61" s="231">
        <v>0</v>
      </c>
      <c r="AI61" s="231">
        <v>126905.69</v>
      </c>
      <c r="AJ61" s="231">
        <v>0</v>
      </c>
      <c r="AK61" s="231">
        <v>129987.65757281872</v>
      </c>
      <c r="AL61" s="231">
        <v>0</v>
      </c>
      <c r="AM61" s="231">
        <v>139375.51</v>
      </c>
      <c r="AN61" s="414">
        <f t="shared" si="91"/>
        <v>533350.74757281877</v>
      </c>
      <c r="AO61" s="415">
        <f t="shared" si="92"/>
        <v>642821.49757281877</v>
      </c>
      <c r="AP61" s="933">
        <v>39</v>
      </c>
      <c r="AQ61" s="231">
        <v>121176.62</v>
      </c>
      <c r="AR61" s="231">
        <v>516255.25</v>
      </c>
      <c r="AS61" s="231">
        <v>124414.19</v>
      </c>
      <c r="AT61" s="231">
        <v>520904.14</v>
      </c>
      <c r="AU61" s="231">
        <v>137726.68</v>
      </c>
      <c r="AV61" s="231">
        <v>563811.17000000004</v>
      </c>
      <c r="AW61" s="231">
        <v>124668.84736006202</v>
      </c>
      <c r="AX61" s="231">
        <v>495291.41937162355</v>
      </c>
      <c r="AY61" s="412">
        <f t="shared" si="93"/>
        <v>2604248.3167316858</v>
      </c>
      <c r="AZ61" s="417">
        <v>0</v>
      </c>
      <c r="BA61" s="231">
        <v>2263770.7600000002</v>
      </c>
      <c r="BB61" s="231">
        <v>0</v>
      </c>
      <c r="BC61" s="231">
        <v>2339169.1799999997</v>
      </c>
      <c r="BD61" s="231">
        <v>0</v>
      </c>
      <c r="BE61" s="231">
        <v>2508271.98</v>
      </c>
      <c r="BF61" s="231">
        <v>0</v>
      </c>
      <c r="BG61" s="231">
        <v>2788355.329956104</v>
      </c>
      <c r="BH61" s="414">
        <f t="shared" si="94"/>
        <v>9899567.2499561049</v>
      </c>
      <c r="BI61" s="415">
        <f t="shared" si="95"/>
        <v>12503815.566687791</v>
      </c>
      <c r="BJ61" s="933">
        <v>39</v>
      </c>
      <c r="BK61" s="231">
        <v>1009.4</v>
      </c>
      <c r="BL61" s="231">
        <v>21303.97</v>
      </c>
      <c r="BM61" s="231">
        <v>1029.79</v>
      </c>
      <c r="BN61" s="231">
        <v>21136.16</v>
      </c>
      <c r="BO61" s="231">
        <v>1312.97</v>
      </c>
      <c r="BP61" s="231">
        <v>22028.739999999998</v>
      </c>
      <c r="BQ61" s="231">
        <v>1389.89</v>
      </c>
      <c r="BR61" s="231">
        <v>20234.57</v>
      </c>
      <c r="BS61" s="412">
        <f t="shared" si="96"/>
        <v>89445.489999999991</v>
      </c>
      <c r="BT61" s="417">
        <v>0</v>
      </c>
      <c r="BU61" s="231">
        <v>79084.329999999987</v>
      </c>
      <c r="BV61" s="231">
        <v>0</v>
      </c>
      <c r="BW61" s="231">
        <v>79788.829999999987</v>
      </c>
      <c r="BX61" s="231">
        <v>0</v>
      </c>
      <c r="BY61" s="231">
        <v>83026.400000000009</v>
      </c>
      <c r="BZ61" s="231">
        <v>0</v>
      </c>
      <c r="CA61" s="231">
        <v>92884.209999999992</v>
      </c>
      <c r="CB61" s="414">
        <f t="shared" si="97"/>
        <v>334783.77</v>
      </c>
      <c r="CC61" s="415">
        <f t="shared" si="98"/>
        <v>424229.26</v>
      </c>
      <c r="CD61" s="933">
        <v>39</v>
      </c>
      <c r="CE61" s="414">
        <f t="shared" si="99"/>
        <v>877996.74</v>
      </c>
      <c r="CF61" s="414">
        <f t="shared" si="100"/>
        <v>952263.1100000001</v>
      </c>
      <c r="CG61" s="414">
        <f t="shared" si="101"/>
        <v>1004468.6000000001</v>
      </c>
      <c r="CH61" s="414">
        <f t="shared" si="102"/>
        <v>847503.23673168558</v>
      </c>
      <c r="CI61" s="416">
        <f t="shared" si="103"/>
        <v>3682231.6867316859</v>
      </c>
      <c r="CJ61" s="414">
        <f t="shared" si="104"/>
        <v>3181604.1800000006</v>
      </c>
      <c r="CK61" s="414">
        <f t="shared" si="105"/>
        <v>3541781</v>
      </c>
      <c r="CL61" s="414">
        <f t="shared" si="106"/>
        <v>3667670.7775728186</v>
      </c>
      <c r="CM61" s="414">
        <f t="shared" si="107"/>
        <v>3903951.0707283164</v>
      </c>
      <c r="CN61" s="416">
        <f t="shared" si="108"/>
        <v>14295007.028301135</v>
      </c>
      <c r="CO61" s="414">
        <f t="shared" si="109"/>
        <v>4059600.9200000009</v>
      </c>
      <c r="CP61" s="414">
        <f t="shared" si="110"/>
        <v>4494044.1100000003</v>
      </c>
      <c r="CQ61" s="414">
        <f t="shared" si="111"/>
        <v>4672139.3775728187</v>
      </c>
      <c r="CR61" s="414">
        <f t="shared" si="112"/>
        <v>4751454.3074600017</v>
      </c>
      <c r="CS61" s="416">
        <f t="shared" si="113"/>
        <v>17977238.715032823</v>
      </c>
    </row>
    <row r="62" spans="1:97" ht="15.75" customHeight="1">
      <c r="A62" s="88" t="s">
        <v>227</v>
      </c>
      <c r="B62" s="933">
        <v>40</v>
      </c>
      <c r="C62" s="231"/>
      <c r="D62" s="231"/>
      <c r="E62" s="231"/>
      <c r="F62" s="231"/>
      <c r="G62" s="231"/>
      <c r="H62" s="231"/>
      <c r="I62" s="231"/>
      <c r="J62" s="231"/>
      <c r="K62" s="412">
        <f t="shared" si="87"/>
        <v>0</v>
      </c>
      <c r="L62" s="417"/>
      <c r="M62" s="231"/>
      <c r="N62" s="231"/>
      <c r="O62" s="231"/>
      <c r="P62" s="231"/>
      <c r="Q62" s="231"/>
      <c r="R62" s="231"/>
      <c r="S62" s="231"/>
      <c r="T62" s="414">
        <f t="shared" si="88"/>
        <v>0</v>
      </c>
      <c r="U62" s="415">
        <f t="shared" si="89"/>
        <v>0</v>
      </c>
      <c r="V62" s="933">
        <v>40</v>
      </c>
      <c r="W62" s="231"/>
      <c r="X62" s="231"/>
      <c r="Y62" s="231"/>
      <c r="Z62" s="231"/>
      <c r="AA62" s="231"/>
      <c r="AB62" s="231"/>
      <c r="AC62" s="231"/>
      <c r="AD62" s="231"/>
      <c r="AE62" s="412">
        <f t="shared" si="90"/>
        <v>0</v>
      </c>
      <c r="AF62" s="417"/>
      <c r="AG62" s="231"/>
      <c r="AH62" s="231"/>
      <c r="AI62" s="231"/>
      <c r="AJ62" s="231"/>
      <c r="AK62" s="231"/>
      <c r="AL62" s="231"/>
      <c r="AM62" s="231"/>
      <c r="AN62" s="414">
        <f t="shared" si="91"/>
        <v>0</v>
      </c>
      <c r="AO62" s="415">
        <f t="shared" si="92"/>
        <v>0</v>
      </c>
      <c r="AP62" s="933">
        <v>40</v>
      </c>
      <c r="AQ62" s="231"/>
      <c r="AR62" s="231"/>
      <c r="AS62" s="231"/>
      <c r="AT62" s="231"/>
      <c r="AU62" s="231"/>
      <c r="AV62" s="231"/>
      <c r="AW62" s="231"/>
      <c r="AX62" s="231"/>
      <c r="AY62" s="412">
        <f t="shared" si="93"/>
        <v>0</v>
      </c>
      <c r="AZ62" s="417"/>
      <c r="BA62" s="231"/>
      <c r="BB62" s="231"/>
      <c r="BC62" s="231"/>
      <c r="BD62" s="231"/>
      <c r="BE62" s="231"/>
      <c r="BF62" s="231"/>
      <c r="BG62" s="231"/>
      <c r="BH62" s="414">
        <f t="shared" si="94"/>
        <v>0</v>
      </c>
      <c r="BI62" s="415">
        <f t="shared" si="95"/>
        <v>0</v>
      </c>
      <c r="BJ62" s="933">
        <v>40</v>
      </c>
      <c r="BK62" s="231"/>
      <c r="BL62" s="231"/>
      <c r="BM62" s="231"/>
      <c r="BN62" s="231"/>
      <c r="BO62" s="231"/>
      <c r="BP62" s="231"/>
      <c r="BQ62" s="231"/>
      <c r="BR62" s="231"/>
      <c r="BS62" s="412">
        <f t="shared" si="96"/>
        <v>0</v>
      </c>
      <c r="BT62" s="417"/>
      <c r="BU62" s="231"/>
      <c r="BV62" s="231"/>
      <c r="BW62" s="231"/>
      <c r="BX62" s="231"/>
      <c r="BY62" s="231"/>
      <c r="BZ62" s="231"/>
      <c r="CA62" s="231"/>
      <c r="CB62" s="414">
        <f t="shared" si="97"/>
        <v>0</v>
      </c>
      <c r="CC62" s="415">
        <f t="shared" si="98"/>
        <v>0</v>
      </c>
      <c r="CD62" s="933">
        <v>40</v>
      </c>
      <c r="CE62" s="414">
        <f t="shared" si="99"/>
        <v>0</v>
      </c>
      <c r="CF62" s="414">
        <f t="shared" si="100"/>
        <v>0</v>
      </c>
      <c r="CG62" s="414">
        <f t="shared" si="101"/>
        <v>0</v>
      </c>
      <c r="CH62" s="414">
        <f t="shared" si="102"/>
        <v>0</v>
      </c>
      <c r="CI62" s="416">
        <f t="shared" si="103"/>
        <v>0</v>
      </c>
      <c r="CJ62" s="414">
        <f t="shared" si="104"/>
        <v>0</v>
      </c>
      <c r="CK62" s="414">
        <f t="shared" si="105"/>
        <v>0</v>
      </c>
      <c r="CL62" s="414">
        <f t="shared" si="106"/>
        <v>0</v>
      </c>
      <c r="CM62" s="414">
        <f t="shared" si="107"/>
        <v>0</v>
      </c>
      <c r="CN62" s="416">
        <f t="shared" si="108"/>
        <v>0</v>
      </c>
      <c r="CO62" s="414">
        <f t="shared" si="109"/>
        <v>0</v>
      </c>
      <c r="CP62" s="414">
        <f t="shared" si="110"/>
        <v>0</v>
      </c>
      <c r="CQ62" s="414">
        <f t="shared" si="111"/>
        <v>0</v>
      </c>
      <c r="CR62" s="414">
        <f t="shared" si="112"/>
        <v>0</v>
      </c>
      <c r="CS62" s="416">
        <f t="shared" si="113"/>
        <v>0</v>
      </c>
    </row>
    <row r="63" spans="1:97" ht="15.75" customHeight="1">
      <c r="A63" s="88" t="s">
        <v>229</v>
      </c>
      <c r="B63" s="933">
        <v>41</v>
      </c>
      <c r="C63" s="231"/>
      <c r="D63" s="231"/>
      <c r="E63" s="231"/>
      <c r="F63" s="231"/>
      <c r="G63" s="231"/>
      <c r="H63" s="231"/>
      <c r="I63" s="231"/>
      <c r="J63" s="231"/>
      <c r="K63" s="412">
        <f t="shared" si="87"/>
        <v>0</v>
      </c>
      <c r="L63" s="417"/>
      <c r="M63" s="231"/>
      <c r="N63" s="231"/>
      <c r="O63" s="231"/>
      <c r="P63" s="231"/>
      <c r="Q63" s="231"/>
      <c r="R63" s="231"/>
      <c r="S63" s="231"/>
      <c r="T63" s="414">
        <f t="shared" si="88"/>
        <v>0</v>
      </c>
      <c r="U63" s="415">
        <f t="shared" si="89"/>
        <v>0</v>
      </c>
      <c r="V63" s="933">
        <v>41</v>
      </c>
      <c r="W63" s="231"/>
      <c r="X63" s="231"/>
      <c r="Y63" s="231"/>
      <c r="Z63" s="231"/>
      <c r="AA63" s="231"/>
      <c r="AB63" s="231"/>
      <c r="AC63" s="231"/>
      <c r="AD63" s="231"/>
      <c r="AE63" s="412">
        <f t="shared" si="90"/>
        <v>0</v>
      </c>
      <c r="AF63" s="417"/>
      <c r="AG63" s="231"/>
      <c r="AH63" s="231"/>
      <c r="AI63" s="231"/>
      <c r="AJ63" s="231"/>
      <c r="AK63" s="231"/>
      <c r="AL63" s="231"/>
      <c r="AM63" s="231"/>
      <c r="AN63" s="414">
        <f t="shared" si="91"/>
        <v>0</v>
      </c>
      <c r="AO63" s="415">
        <f t="shared" si="92"/>
        <v>0</v>
      </c>
      <c r="AP63" s="933">
        <v>41</v>
      </c>
      <c r="AQ63" s="231"/>
      <c r="AR63" s="231"/>
      <c r="AS63" s="231"/>
      <c r="AT63" s="231"/>
      <c r="AU63" s="231"/>
      <c r="AV63" s="231"/>
      <c r="AW63" s="231"/>
      <c r="AX63" s="231"/>
      <c r="AY63" s="412">
        <f t="shared" si="93"/>
        <v>0</v>
      </c>
      <c r="AZ63" s="417"/>
      <c r="BA63" s="231"/>
      <c r="BB63" s="231"/>
      <c r="BC63" s="231"/>
      <c r="BD63" s="231"/>
      <c r="BE63" s="231"/>
      <c r="BF63" s="231"/>
      <c r="BG63" s="231"/>
      <c r="BH63" s="414">
        <f t="shared" si="94"/>
        <v>0</v>
      </c>
      <c r="BI63" s="415">
        <f t="shared" si="95"/>
        <v>0</v>
      </c>
      <c r="BJ63" s="933">
        <v>41</v>
      </c>
      <c r="BK63" s="231"/>
      <c r="BL63" s="231"/>
      <c r="BM63" s="231"/>
      <c r="BN63" s="231"/>
      <c r="BO63" s="231"/>
      <c r="BP63" s="231"/>
      <c r="BQ63" s="231"/>
      <c r="BR63" s="231"/>
      <c r="BS63" s="412">
        <f t="shared" si="96"/>
        <v>0</v>
      </c>
      <c r="BT63" s="417"/>
      <c r="BU63" s="231"/>
      <c r="BV63" s="231"/>
      <c r="BW63" s="231"/>
      <c r="BX63" s="231"/>
      <c r="BY63" s="231"/>
      <c r="BZ63" s="231"/>
      <c r="CA63" s="231"/>
      <c r="CB63" s="414">
        <f t="shared" si="97"/>
        <v>0</v>
      </c>
      <c r="CC63" s="415">
        <f t="shared" si="98"/>
        <v>0</v>
      </c>
      <c r="CD63" s="933">
        <v>41</v>
      </c>
      <c r="CE63" s="414">
        <f t="shared" si="99"/>
        <v>0</v>
      </c>
      <c r="CF63" s="414">
        <f t="shared" si="100"/>
        <v>0</v>
      </c>
      <c r="CG63" s="414">
        <f t="shared" si="101"/>
        <v>0</v>
      </c>
      <c r="CH63" s="414">
        <f t="shared" si="102"/>
        <v>0</v>
      </c>
      <c r="CI63" s="416">
        <f t="shared" si="103"/>
        <v>0</v>
      </c>
      <c r="CJ63" s="414">
        <f t="shared" si="104"/>
        <v>0</v>
      </c>
      <c r="CK63" s="414">
        <f t="shared" si="105"/>
        <v>0</v>
      </c>
      <c r="CL63" s="414">
        <f t="shared" si="106"/>
        <v>0</v>
      </c>
      <c r="CM63" s="414">
        <f t="shared" si="107"/>
        <v>0</v>
      </c>
      <c r="CN63" s="416">
        <f t="shared" si="108"/>
        <v>0</v>
      </c>
      <c r="CO63" s="414">
        <f t="shared" si="109"/>
        <v>0</v>
      </c>
      <c r="CP63" s="414">
        <f t="shared" si="110"/>
        <v>0</v>
      </c>
      <c r="CQ63" s="414">
        <f t="shared" si="111"/>
        <v>0</v>
      </c>
      <c r="CR63" s="414">
        <f t="shared" si="112"/>
        <v>0</v>
      </c>
      <c r="CS63" s="416">
        <f t="shared" si="113"/>
        <v>0</v>
      </c>
    </row>
    <row r="64" spans="1:97" ht="15.75" customHeight="1">
      <c r="A64" s="932" t="s">
        <v>231</v>
      </c>
      <c r="B64" s="933">
        <v>42</v>
      </c>
      <c r="C64" s="231"/>
      <c r="D64" s="231"/>
      <c r="E64" s="231"/>
      <c r="F64" s="231"/>
      <c r="G64" s="231"/>
      <c r="H64" s="231"/>
      <c r="I64" s="231"/>
      <c r="J64" s="231"/>
      <c r="K64" s="412">
        <f t="shared" si="87"/>
        <v>0</v>
      </c>
      <c r="L64" s="417"/>
      <c r="M64" s="231"/>
      <c r="N64" s="231"/>
      <c r="O64" s="231"/>
      <c r="P64" s="231"/>
      <c r="Q64" s="231"/>
      <c r="R64" s="231"/>
      <c r="S64" s="231"/>
      <c r="T64" s="414">
        <f t="shared" si="88"/>
        <v>0</v>
      </c>
      <c r="U64" s="415">
        <f t="shared" si="89"/>
        <v>0</v>
      </c>
      <c r="V64" s="933">
        <v>42</v>
      </c>
      <c r="W64" s="231"/>
      <c r="X64" s="231"/>
      <c r="Y64" s="231"/>
      <c r="Z64" s="231"/>
      <c r="AA64" s="231"/>
      <c r="AB64" s="231"/>
      <c r="AC64" s="231"/>
      <c r="AD64" s="231"/>
      <c r="AE64" s="412">
        <f t="shared" si="90"/>
        <v>0</v>
      </c>
      <c r="AF64" s="417"/>
      <c r="AG64" s="231"/>
      <c r="AH64" s="231"/>
      <c r="AI64" s="231"/>
      <c r="AJ64" s="231"/>
      <c r="AK64" s="231"/>
      <c r="AL64" s="231"/>
      <c r="AM64" s="231"/>
      <c r="AN64" s="414">
        <f t="shared" si="91"/>
        <v>0</v>
      </c>
      <c r="AO64" s="415">
        <f t="shared" si="92"/>
        <v>0</v>
      </c>
      <c r="AP64" s="933">
        <v>42</v>
      </c>
      <c r="AQ64" s="231"/>
      <c r="AR64" s="231"/>
      <c r="AS64" s="231"/>
      <c r="AT64" s="231"/>
      <c r="AU64" s="231"/>
      <c r="AV64" s="231"/>
      <c r="AW64" s="231"/>
      <c r="AX64" s="231"/>
      <c r="AY64" s="412">
        <f t="shared" si="93"/>
        <v>0</v>
      </c>
      <c r="AZ64" s="417"/>
      <c r="BA64" s="231"/>
      <c r="BB64" s="231"/>
      <c r="BC64" s="231"/>
      <c r="BD64" s="231"/>
      <c r="BE64" s="231"/>
      <c r="BF64" s="231"/>
      <c r="BG64" s="231"/>
      <c r="BH64" s="414">
        <f t="shared" si="94"/>
        <v>0</v>
      </c>
      <c r="BI64" s="415">
        <f t="shared" si="95"/>
        <v>0</v>
      </c>
      <c r="BJ64" s="933">
        <v>42</v>
      </c>
      <c r="BK64" s="231"/>
      <c r="BL64" s="231"/>
      <c r="BM64" s="231"/>
      <c r="BN64" s="231"/>
      <c r="BO64" s="231"/>
      <c r="BP64" s="231"/>
      <c r="BQ64" s="231"/>
      <c r="BR64" s="231"/>
      <c r="BS64" s="412">
        <f t="shared" si="96"/>
        <v>0</v>
      </c>
      <c r="BT64" s="417"/>
      <c r="BU64" s="231"/>
      <c r="BV64" s="231"/>
      <c r="BW64" s="231"/>
      <c r="BX64" s="231"/>
      <c r="BY64" s="231"/>
      <c r="BZ64" s="231"/>
      <c r="CA64" s="231"/>
      <c r="CB64" s="414">
        <f t="shared" si="97"/>
        <v>0</v>
      </c>
      <c r="CC64" s="415">
        <f t="shared" si="98"/>
        <v>0</v>
      </c>
      <c r="CD64" s="933">
        <v>42</v>
      </c>
      <c r="CE64" s="414">
        <f t="shared" si="99"/>
        <v>0</v>
      </c>
      <c r="CF64" s="414">
        <f t="shared" si="100"/>
        <v>0</v>
      </c>
      <c r="CG64" s="414">
        <f t="shared" si="101"/>
        <v>0</v>
      </c>
      <c r="CH64" s="414">
        <f t="shared" si="102"/>
        <v>0</v>
      </c>
      <c r="CI64" s="416">
        <f t="shared" si="103"/>
        <v>0</v>
      </c>
      <c r="CJ64" s="414">
        <f t="shared" si="104"/>
        <v>0</v>
      </c>
      <c r="CK64" s="414">
        <f t="shared" si="105"/>
        <v>0</v>
      </c>
      <c r="CL64" s="414">
        <f t="shared" si="106"/>
        <v>0</v>
      </c>
      <c r="CM64" s="414">
        <f t="shared" si="107"/>
        <v>0</v>
      </c>
      <c r="CN64" s="416">
        <f t="shared" si="108"/>
        <v>0</v>
      </c>
      <c r="CO64" s="414">
        <f t="shared" si="109"/>
        <v>0</v>
      </c>
      <c r="CP64" s="414">
        <f t="shared" si="110"/>
        <v>0</v>
      </c>
      <c r="CQ64" s="414">
        <f t="shared" si="111"/>
        <v>0</v>
      </c>
      <c r="CR64" s="414">
        <f t="shared" si="112"/>
        <v>0</v>
      </c>
      <c r="CS64" s="416">
        <f t="shared" si="113"/>
        <v>0</v>
      </c>
    </row>
    <row r="65" spans="1:131" ht="15.75" customHeight="1">
      <c r="A65" s="88"/>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31" s="14" customFormat="1" ht="15.75" customHeight="1">
      <c r="A66" s="16" t="s">
        <v>233</v>
      </c>
      <c r="B66" s="933">
        <v>43</v>
      </c>
      <c r="C66" s="216">
        <f>SUM(C35:C64)-C44-C46</f>
        <v>1375653.1313539105</v>
      </c>
      <c r="D66" s="216">
        <f t="shared" ref="D66:U66" si="138">SUM(D35:D64)-D44-D46</f>
        <v>3168814.6517171324</v>
      </c>
      <c r="E66" s="216">
        <f t="shared" si="138"/>
        <v>2599892.8363520941</v>
      </c>
      <c r="F66" s="216">
        <f t="shared" si="138"/>
        <v>5526539.4631991927</v>
      </c>
      <c r="G66" s="216">
        <f t="shared" si="138"/>
        <v>2454936.989339171</v>
      </c>
      <c r="H66" s="216">
        <f t="shared" si="138"/>
        <v>4950126.5120004173</v>
      </c>
      <c r="I66" s="216">
        <f t="shared" si="138"/>
        <v>1947227.0289292112</v>
      </c>
      <c r="J66" s="216">
        <f t="shared" si="138"/>
        <v>3480264.8909034003</v>
      </c>
      <c r="K66" s="221">
        <f t="shared" si="138"/>
        <v>25503455.503794525</v>
      </c>
      <c r="L66" s="218">
        <f t="shared" si="138"/>
        <v>0</v>
      </c>
      <c r="M66" s="218">
        <f t="shared" si="138"/>
        <v>4136303.2612780323</v>
      </c>
      <c r="N66" s="218">
        <f t="shared" si="138"/>
        <v>0</v>
      </c>
      <c r="O66" s="218">
        <f t="shared" si="138"/>
        <v>8156179.9626751337</v>
      </c>
      <c r="P66" s="218">
        <f t="shared" si="138"/>
        <v>0</v>
      </c>
      <c r="Q66" s="218">
        <f t="shared" si="138"/>
        <v>7289202.0092404038</v>
      </c>
      <c r="R66" s="218">
        <f t="shared" si="138"/>
        <v>0</v>
      </c>
      <c r="S66" s="218">
        <f t="shared" si="138"/>
        <v>6331440.9808029989</v>
      </c>
      <c r="T66" s="219">
        <f t="shared" si="138"/>
        <v>25913126.213996563</v>
      </c>
      <c r="U66" s="218">
        <f t="shared" si="138"/>
        <v>51416581.717791095</v>
      </c>
      <c r="V66" s="933">
        <v>43</v>
      </c>
      <c r="W66" s="216">
        <f>SUM(W35:W64)-W44-W46</f>
        <v>174469.4439976901</v>
      </c>
      <c r="X66" s="216">
        <f t="shared" ref="X66:AO66" si="139">SUM(X35:X64)-X44-X46</f>
        <v>629249.73492326972</v>
      </c>
      <c r="Y66" s="216">
        <f t="shared" si="139"/>
        <v>101755.77985854358</v>
      </c>
      <c r="Z66" s="216">
        <f t="shared" si="139"/>
        <v>533683.88272668154</v>
      </c>
      <c r="AA66" s="216">
        <f t="shared" si="139"/>
        <v>120783.8708170894</v>
      </c>
      <c r="AB66" s="216">
        <f t="shared" si="139"/>
        <v>528135.83785352996</v>
      </c>
      <c r="AC66" s="216">
        <f t="shared" si="139"/>
        <v>206338.53186916982</v>
      </c>
      <c r="AD66" s="216">
        <f t="shared" si="139"/>
        <v>452891.7378375078</v>
      </c>
      <c r="AE66" s="221">
        <f t="shared" si="139"/>
        <v>2747308.8198834821</v>
      </c>
      <c r="AF66" s="218">
        <f t="shared" si="139"/>
        <v>0</v>
      </c>
      <c r="AG66" s="218">
        <f t="shared" si="139"/>
        <v>1495405.1587849581</v>
      </c>
      <c r="AH66" s="218">
        <f t="shared" si="139"/>
        <v>0</v>
      </c>
      <c r="AI66" s="218">
        <f t="shared" si="139"/>
        <v>1311572.6110670019</v>
      </c>
      <c r="AJ66" s="218">
        <f t="shared" si="139"/>
        <v>0</v>
      </c>
      <c r="AK66" s="218">
        <f t="shared" si="139"/>
        <v>1347084.6923271215</v>
      </c>
      <c r="AL66" s="218">
        <f t="shared" si="139"/>
        <v>0</v>
      </c>
      <c r="AM66" s="218">
        <f t="shared" si="139"/>
        <v>1609837.2734037926</v>
      </c>
      <c r="AN66" s="219">
        <f t="shared" si="139"/>
        <v>5763899.7355828732</v>
      </c>
      <c r="AO66" s="218">
        <f t="shared" si="139"/>
        <v>8511208.5554663595</v>
      </c>
      <c r="AP66" s="933">
        <v>43</v>
      </c>
      <c r="AQ66" s="216">
        <f>SUM(AQ35:AQ64)-AQ44-AQ46</f>
        <v>17867178.568811961</v>
      </c>
      <c r="AR66" s="216">
        <f t="shared" ref="AR66:BI66" si="140">SUM(AR35:AR64)-AR44-AR46</f>
        <v>39298976.441096336</v>
      </c>
      <c r="AS66" s="216">
        <f t="shared" si="140"/>
        <v>17182749.790195961</v>
      </c>
      <c r="AT66" s="216">
        <f t="shared" si="140"/>
        <v>39069934.242102206</v>
      </c>
      <c r="AU66" s="216">
        <f t="shared" si="140"/>
        <v>19396887.188438825</v>
      </c>
      <c r="AV66" s="216">
        <f t="shared" si="140"/>
        <v>42365315.377448834</v>
      </c>
      <c r="AW66" s="216">
        <f t="shared" si="140"/>
        <v>22544663.022521503</v>
      </c>
      <c r="AX66" s="216">
        <f t="shared" si="140"/>
        <v>45010286.989323661</v>
      </c>
      <c r="AY66" s="221">
        <f t="shared" si="140"/>
        <v>242735991.61993927</v>
      </c>
      <c r="AZ66" s="218">
        <f t="shared" si="140"/>
        <v>0</v>
      </c>
      <c r="BA66" s="218">
        <f t="shared" si="140"/>
        <v>30406295.867903188</v>
      </c>
      <c r="BB66" s="218">
        <f t="shared" si="140"/>
        <v>0</v>
      </c>
      <c r="BC66" s="218">
        <f t="shared" si="140"/>
        <v>30094428.221014779</v>
      </c>
      <c r="BD66" s="218">
        <f t="shared" si="140"/>
        <v>0</v>
      </c>
      <c r="BE66" s="218">
        <f t="shared" si="140"/>
        <v>32914353.322271004</v>
      </c>
      <c r="BF66" s="218">
        <f t="shared" si="140"/>
        <v>0</v>
      </c>
      <c r="BG66" s="218">
        <f t="shared" si="140"/>
        <v>36556879.365928307</v>
      </c>
      <c r="BH66" s="219">
        <f t="shared" si="140"/>
        <v>129971956.77711737</v>
      </c>
      <c r="BI66" s="218">
        <f t="shared" si="140"/>
        <v>372707948.39705658</v>
      </c>
      <c r="BJ66" s="933">
        <v>43</v>
      </c>
      <c r="BK66" s="216">
        <f>SUM(BK35:BK64)-BK44-BK46</f>
        <v>546196.65837031207</v>
      </c>
      <c r="BL66" s="216">
        <f t="shared" ref="BL66:CR66" si="141">SUM(BL35:BL64)-BL44-BL46</f>
        <v>4516213.8967832634</v>
      </c>
      <c r="BM66" s="216">
        <f t="shared" si="141"/>
        <v>469192.52238915395</v>
      </c>
      <c r="BN66" s="216">
        <f t="shared" si="141"/>
        <v>3657075.7030432718</v>
      </c>
      <c r="BO66" s="216">
        <f t="shared" si="141"/>
        <v>509491.661194666</v>
      </c>
      <c r="BP66" s="216">
        <f t="shared" si="141"/>
        <v>4252624.140178821</v>
      </c>
      <c r="BQ66" s="216">
        <f t="shared" si="141"/>
        <v>677702.09863113379</v>
      </c>
      <c r="BR66" s="216">
        <f t="shared" si="141"/>
        <v>4468733.1228188453</v>
      </c>
      <c r="BS66" s="221">
        <f t="shared" si="141"/>
        <v>19097229.803409465</v>
      </c>
      <c r="BT66" s="218">
        <f t="shared" si="141"/>
        <v>0</v>
      </c>
      <c r="BU66" s="218">
        <f t="shared" si="141"/>
        <v>1563861.9718140692</v>
      </c>
      <c r="BV66" s="218">
        <f t="shared" si="141"/>
        <v>0</v>
      </c>
      <c r="BW66" s="218">
        <f t="shared" si="141"/>
        <v>2248450.4150277823</v>
      </c>
      <c r="BX66" s="218">
        <f t="shared" si="141"/>
        <v>0</v>
      </c>
      <c r="BY66" s="218">
        <f t="shared" si="141"/>
        <v>2008281.644907064</v>
      </c>
      <c r="BZ66" s="218">
        <f t="shared" si="141"/>
        <v>0</v>
      </c>
      <c r="CA66" s="218">
        <f t="shared" si="141"/>
        <v>1976464.5357250217</v>
      </c>
      <c r="CB66" s="219">
        <f t="shared" si="141"/>
        <v>7797058.5674739378</v>
      </c>
      <c r="CC66" s="218">
        <f t="shared" si="141"/>
        <v>26894288.370883398</v>
      </c>
      <c r="CD66" s="933">
        <v>43</v>
      </c>
      <c r="CE66" s="219">
        <f t="shared" ref="CE66:CH66" si="142">SUM(CE35:CE64)-CE44-CE46</f>
        <v>67576752.527053863</v>
      </c>
      <c r="CF66" s="219">
        <f t="shared" si="142"/>
        <v>69140824.21986708</v>
      </c>
      <c r="CG66" s="219">
        <f t="shared" si="142"/>
        <v>74578301.577271372</v>
      </c>
      <c r="CH66" s="219">
        <f t="shared" si="142"/>
        <v>78788107.422834426</v>
      </c>
      <c r="CI66" s="216">
        <f>SUM(BS66,AY66,AE66,K66)</f>
        <v>290083985.74702674</v>
      </c>
      <c r="CJ66" s="219">
        <f t="shared" ref="CJ66:CM66" si="143">SUM(CJ35:CJ64)-CJ44-CJ46</f>
        <v>37601866.259780258</v>
      </c>
      <c r="CK66" s="219">
        <f t="shared" si="143"/>
        <v>41810631.209784709</v>
      </c>
      <c r="CL66" s="219">
        <f t="shared" si="143"/>
        <v>43558921.6687456</v>
      </c>
      <c r="CM66" s="219">
        <f t="shared" si="143"/>
        <v>46474622.155860104</v>
      </c>
      <c r="CN66" s="216">
        <f>SUM(BX66,BD66,AJ66,P66)</f>
        <v>0</v>
      </c>
      <c r="CO66" s="219">
        <f t="shared" si="141"/>
        <v>105178618.78683412</v>
      </c>
      <c r="CP66" s="219">
        <f t="shared" si="141"/>
        <v>110951455.4296518</v>
      </c>
      <c r="CQ66" s="219">
        <f t="shared" si="141"/>
        <v>118137223.24601695</v>
      </c>
      <c r="CR66" s="219">
        <f t="shared" si="141"/>
        <v>125262729.57869454</v>
      </c>
      <c r="CS66" s="216">
        <f>SUM(CC66,BI66,AO66,U66)</f>
        <v>459530027.04119742</v>
      </c>
      <c r="CT66" s="318"/>
      <c r="CU66" s="318"/>
      <c r="CV66" s="318"/>
      <c r="CW66" s="318"/>
      <c r="CX66" s="318"/>
      <c r="CY66" s="318"/>
      <c r="CZ66" s="318"/>
      <c r="DA66" s="318"/>
      <c r="DB66" s="318"/>
      <c r="DC66" s="318"/>
      <c r="DD66" s="318"/>
      <c r="DE66" s="318"/>
      <c r="DF66" s="318"/>
      <c r="DG66" s="318"/>
      <c r="DH66" s="318"/>
      <c r="DI66" s="318"/>
      <c r="DJ66" s="318"/>
      <c r="DK66" s="318"/>
      <c r="DL66" s="318"/>
      <c r="DM66" s="318"/>
      <c r="DN66" s="318"/>
      <c r="DO66" s="318"/>
      <c r="DP66" s="318"/>
      <c r="DQ66" s="318"/>
      <c r="DR66" s="318"/>
      <c r="DS66" s="318"/>
      <c r="DT66" s="318"/>
      <c r="DU66" s="318"/>
      <c r="DV66" s="318"/>
      <c r="DW66" s="318"/>
      <c r="DX66" s="318"/>
      <c r="DY66" s="318"/>
      <c r="DZ66" s="318"/>
      <c r="EA66" s="318"/>
    </row>
    <row r="67" spans="1:131" ht="15.75" customHeight="1">
      <c r="B67" s="933"/>
      <c r="C67" s="178"/>
      <c r="D67" s="178"/>
      <c r="E67" s="178"/>
      <c r="F67" s="178"/>
      <c r="G67" s="178"/>
      <c r="H67" s="178"/>
      <c r="I67" s="178"/>
      <c r="J67" s="178"/>
      <c r="K67" s="381"/>
      <c r="L67" s="382"/>
      <c r="M67" s="178"/>
      <c r="N67" s="178"/>
      <c r="O67" s="178"/>
      <c r="P67" s="178"/>
      <c r="Q67" s="178"/>
      <c r="R67" s="178"/>
      <c r="S67" s="178"/>
      <c r="T67" s="178"/>
      <c r="U67" s="383"/>
      <c r="V67" s="933"/>
      <c r="W67" s="178"/>
      <c r="X67" s="178"/>
      <c r="Y67" s="178"/>
      <c r="Z67" s="178"/>
      <c r="AA67" s="178"/>
      <c r="AB67" s="178"/>
      <c r="AC67" s="178"/>
      <c r="AD67" s="178"/>
      <c r="AE67" s="381"/>
      <c r="AF67" s="382"/>
      <c r="AG67" s="178"/>
      <c r="AH67" s="178"/>
      <c r="AI67" s="178"/>
      <c r="AJ67" s="178"/>
      <c r="AK67" s="178"/>
      <c r="AL67" s="178"/>
      <c r="AM67" s="178"/>
      <c r="AN67" s="178"/>
      <c r="AO67" s="383"/>
      <c r="AP67" s="933"/>
      <c r="AQ67" s="178"/>
      <c r="AR67" s="178"/>
      <c r="AS67" s="178"/>
      <c r="AT67" s="178"/>
      <c r="AU67" s="178"/>
      <c r="AV67" s="178"/>
      <c r="AW67" s="178"/>
      <c r="AX67" s="178"/>
      <c r="AY67" s="381"/>
      <c r="AZ67" s="382"/>
      <c r="BA67" s="178"/>
      <c r="BB67" s="178"/>
      <c r="BC67" s="178"/>
      <c r="BD67" s="178"/>
      <c r="BE67" s="178"/>
      <c r="BF67" s="178"/>
      <c r="BG67" s="178"/>
      <c r="BH67" s="178"/>
      <c r="BI67" s="383"/>
      <c r="BJ67" s="933"/>
      <c r="BK67" s="178"/>
      <c r="BL67" s="178"/>
      <c r="BM67" s="178"/>
      <c r="BN67" s="178"/>
      <c r="BO67" s="178"/>
      <c r="BP67" s="178"/>
      <c r="BQ67" s="178"/>
      <c r="BR67" s="178"/>
      <c r="BS67" s="381"/>
      <c r="BT67" s="382"/>
      <c r="BU67" s="178"/>
      <c r="BV67" s="178"/>
      <c r="BW67" s="178"/>
      <c r="BX67" s="178"/>
      <c r="BY67" s="178"/>
      <c r="BZ67" s="178"/>
      <c r="CA67" s="178"/>
      <c r="CB67" s="178"/>
      <c r="CC67" s="383"/>
      <c r="CD67" s="933"/>
      <c r="CE67" s="178"/>
      <c r="CF67" s="178"/>
      <c r="CG67" s="178"/>
      <c r="CH67" s="178"/>
      <c r="CI67" s="419"/>
      <c r="CJ67" s="178"/>
      <c r="CK67" s="178"/>
      <c r="CL67" s="178"/>
      <c r="CM67" s="178"/>
      <c r="CN67" s="419"/>
      <c r="CO67" s="178"/>
      <c r="CP67" s="178"/>
      <c r="CQ67" s="178"/>
      <c r="CR67" s="178"/>
      <c r="CS67" s="419"/>
    </row>
    <row r="68" spans="1:131" ht="15.75" customHeight="1">
      <c r="A68" s="16"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31" ht="15.75" customHeight="1">
      <c r="A69" s="88" t="s">
        <v>236</v>
      </c>
      <c r="B69" s="933">
        <v>44</v>
      </c>
      <c r="C69" s="420">
        <v>3999.26636031198</v>
      </c>
      <c r="D69" s="420">
        <v>7589.383572038113</v>
      </c>
      <c r="E69" s="420">
        <v>4047.7869954579764</v>
      </c>
      <c r="F69" s="420">
        <v>7764.5683422265865</v>
      </c>
      <c r="G69" s="420">
        <v>7580.8499330219274</v>
      </c>
      <c r="H69" s="420">
        <v>14970.683913059922</v>
      </c>
      <c r="I69" s="420">
        <v>5692.932161151487</v>
      </c>
      <c r="J69" s="420">
        <v>10810.9295639067</v>
      </c>
      <c r="K69" s="412">
        <f>SUM(C69:J69)</f>
        <v>62456.400841174691</v>
      </c>
      <c r="L69" s="421">
        <v>0</v>
      </c>
      <c r="M69" s="420">
        <v>11364.481630119433</v>
      </c>
      <c r="N69" s="420">
        <v>0</v>
      </c>
      <c r="O69" s="420">
        <v>10476.08273534177</v>
      </c>
      <c r="P69" s="420">
        <v>0</v>
      </c>
      <c r="Q69" s="420">
        <v>26087.943625465625</v>
      </c>
      <c r="R69" s="420">
        <v>0</v>
      </c>
      <c r="S69" s="420">
        <v>17585.019596290153</v>
      </c>
      <c r="T69" s="414">
        <f>SUM(L69:S69)</f>
        <v>65513.527587216973</v>
      </c>
      <c r="U69" s="415">
        <f>SUM(T69,K69)</f>
        <v>127969.92842839166</v>
      </c>
      <c r="V69" s="933">
        <v>44</v>
      </c>
      <c r="W69" s="420">
        <v>611.59496588769548</v>
      </c>
      <c r="X69" s="420">
        <v>3457.3283825807057</v>
      </c>
      <c r="Y69" s="420">
        <v>627.5296779070427</v>
      </c>
      <c r="Z69" s="420">
        <v>3252.5443542653943</v>
      </c>
      <c r="AA69" s="420">
        <v>1078.1176791906869</v>
      </c>
      <c r="AB69" s="420">
        <v>6121.7093105467093</v>
      </c>
      <c r="AC69" s="420">
        <v>825.26413563646668</v>
      </c>
      <c r="AD69" s="420">
        <v>4480.0606585336136</v>
      </c>
      <c r="AE69" s="412">
        <f>SUM(W69:AD69)</f>
        <v>20454.149164548318</v>
      </c>
      <c r="AF69" s="421">
        <v>0</v>
      </c>
      <c r="AG69" s="420">
        <v>3428.5459113189295</v>
      </c>
      <c r="AH69" s="420">
        <v>0</v>
      </c>
      <c r="AI69" s="420">
        <v>2848.1800568879794</v>
      </c>
      <c r="AJ69" s="420">
        <v>0</v>
      </c>
      <c r="AK69" s="420">
        <v>6889.2749263875794</v>
      </c>
      <c r="AL69" s="420">
        <v>0</v>
      </c>
      <c r="AM69" s="420">
        <v>4609.3071311234871</v>
      </c>
      <c r="AN69" s="414">
        <f>SUM(AF69:AM69)</f>
        <v>17775.308025717975</v>
      </c>
      <c r="AO69" s="415">
        <f>SUM(AN69,AE69)</f>
        <v>38229.457190266294</v>
      </c>
      <c r="AP69" s="933">
        <v>44</v>
      </c>
      <c r="AQ69" s="420">
        <v>66491.539703345057</v>
      </c>
      <c r="AR69" s="420">
        <v>150029.83042016649</v>
      </c>
      <c r="AS69" s="420">
        <v>70250.456202688321</v>
      </c>
      <c r="AT69" s="420">
        <v>156551.05926017489</v>
      </c>
      <c r="AU69" s="420">
        <v>136703.93795233502</v>
      </c>
      <c r="AV69" s="420">
        <v>303693.98588892067</v>
      </c>
      <c r="AW69" s="420">
        <v>106358.11070460697</v>
      </c>
      <c r="AX69" s="420">
        <v>227314.33553116239</v>
      </c>
      <c r="AY69" s="412">
        <f>SUM(AQ69:AX69)</f>
        <v>1217393.2556633998</v>
      </c>
      <c r="AZ69" s="421">
        <v>0</v>
      </c>
      <c r="BA69" s="420">
        <v>84590.972811001717</v>
      </c>
      <c r="BB69" s="420">
        <v>0</v>
      </c>
      <c r="BC69" s="420">
        <v>71561.781485556916</v>
      </c>
      <c r="BD69" s="420">
        <v>0</v>
      </c>
      <c r="BE69" s="420">
        <v>185686.02451472942</v>
      </c>
      <c r="BF69" s="420">
        <v>0</v>
      </c>
      <c r="BG69" s="420">
        <v>126861.3988304519</v>
      </c>
      <c r="BH69" s="414">
        <f>SUM(AZ69:BG69)</f>
        <v>468700.17764173995</v>
      </c>
      <c r="BI69" s="415">
        <f>SUM(BH69,AY69)</f>
        <v>1686093.4333051397</v>
      </c>
      <c r="BJ69" s="933">
        <v>44</v>
      </c>
      <c r="BK69" s="420">
        <v>1389.2692042128986</v>
      </c>
      <c r="BL69" s="420">
        <v>14280.877752160679</v>
      </c>
      <c r="BM69" s="420">
        <v>1338.9826642292821</v>
      </c>
      <c r="BN69" s="420">
        <v>13512.750569820344</v>
      </c>
      <c r="BO69" s="420">
        <v>2273.1373348870393</v>
      </c>
      <c r="BP69" s="420">
        <v>24206.34991647194</v>
      </c>
      <c r="BQ69" s="420">
        <v>1828.708411538676</v>
      </c>
      <c r="BR69" s="420">
        <v>18486.122347370001</v>
      </c>
      <c r="BS69" s="412">
        <f>SUM(BK69:BR69)</f>
        <v>77316.198200690851</v>
      </c>
      <c r="BT69" s="421">
        <v>0</v>
      </c>
      <c r="BU69" s="420">
        <v>3147.5226190546541</v>
      </c>
      <c r="BV69" s="420">
        <v>0</v>
      </c>
      <c r="BW69" s="420">
        <v>2768.7270462502206</v>
      </c>
      <c r="BX69" s="420">
        <v>0</v>
      </c>
      <c r="BY69" s="420">
        <v>6919.3904241425234</v>
      </c>
      <c r="BZ69" s="420">
        <v>0</v>
      </c>
      <c r="CA69" s="420">
        <v>5359.674621114189</v>
      </c>
      <c r="CB69" s="414">
        <f>SUM(BT69:CA69)</f>
        <v>18195.314710561586</v>
      </c>
      <c r="CC69" s="415">
        <f>SUM(CB69,BS69)</f>
        <v>95511.512911252445</v>
      </c>
      <c r="CD69" s="933">
        <v>44</v>
      </c>
      <c r="CE69" s="414">
        <f t="shared" ref="CE69:CE71" si="144">+C69+D69+W69+X69+AQ69+AR69+BK69+BL69</f>
        <v>247849.09036070365</v>
      </c>
      <c r="CF69" s="414">
        <f t="shared" ref="CF69:CF71" si="145">+E69+F69+Y69+Z69+AS69+AT69+BM69+BN69</f>
        <v>257345.67806676985</v>
      </c>
      <c r="CG69" s="414">
        <f t="shared" ref="CG69:CG71" si="146">+G69+H69+AA69+AB69+AU69+AV69+BO69+BP69</f>
        <v>496628.77192843391</v>
      </c>
      <c r="CH69" s="414">
        <f t="shared" ref="CH69:CH71" si="147">+I69+J69+AC69+AD69+AW69+AX69+BQ69+BR69</f>
        <v>375796.46351390635</v>
      </c>
      <c r="CI69" s="416">
        <f t="shared" ref="CI69:CI71" si="148">SUM(K69,AE69,AY69,BS69)</f>
        <v>1377620.0038698136</v>
      </c>
      <c r="CJ69" s="414">
        <f t="shared" ref="CJ69:CJ71" si="149">L69+M69+AF69+AG69+AZ69+BA69+BT69+BU69</f>
        <v>102531.52297149473</v>
      </c>
      <c r="CK69" s="414">
        <f t="shared" ref="CK69:CK71" si="150">N69+O69+AH69+AI69+BB69+BC69+BV69+BW69</f>
        <v>87654.77132403689</v>
      </c>
      <c r="CL69" s="414">
        <f t="shared" ref="CL69:CL71" si="151">P69+Q69+AJ69+AK69+BD69+BE69+BX69+BY69</f>
        <v>225582.63349072516</v>
      </c>
      <c r="CM69" s="414">
        <f t="shared" ref="CM69:CM71" si="152">+R69+S69+AL69+AM69+BF69+BG69+BZ69+CA69</f>
        <v>154415.40017897973</v>
      </c>
      <c r="CN69" s="416">
        <f t="shared" ref="CN69:CN71" si="153">SUM(T69,AN69,BH69,CB69)</f>
        <v>570184.32796523639</v>
      </c>
      <c r="CO69" s="414">
        <f t="shared" ref="CO69:CO71" si="154">+C69+D69+L69+M69+W69+X69+AF69+AG69+AQ69+AR69+AZ69+BA69+BK69+BL69+BT69+BU69</f>
        <v>350380.61333219829</v>
      </c>
      <c r="CP69" s="414">
        <f t="shared" ref="CP69:CP71" si="155">+E69+F69+N69+O69+Y69+Z69+AH69+AI69+AS69+AT69+BB69+BC69+BM69+BN69+BV69+BW69</f>
        <v>345000.44939080678</v>
      </c>
      <c r="CQ69" s="414">
        <f t="shared" ref="CQ69:CQ71" si="156">+G69+H69+P69+Q69+AA69+AB69+AJ69+AK69+AU69+AV69+BD69+BE69+BO69+BP69+BX69+BY69</f>
        <v>722211.4054191591</v>
      </c>
      <c r="CR69" s="414">
        <f t="shared" ref="CR69:CR71" si="157">+I69+J69+R69+S69+AC69+AD69+AL69+AM69+AW69+AX69+BF69+BG69+BQ69+BR69+BZ69+CA69</f>
        <v>530211.86369288596</v>
      </c>
      <c r="CS69" s="416">
        <f t="shared" ref="CS69:CS71" si="158">SUM(CC69,BI69,AO69,U69)</f>
        <v>1947804.3318350501</v>
      </c>
    </row>
    <row r="70" spans="1:131" ht="15.75" customHeight="1">
      <c r="A70" s="88" t="s">
        <v>238</v>
      </c>
      <c r="B70" s="933">
        <v>45</v>
      </c>
      <c r="C70" s="232">
        <f t="shared" ref="C70:J70" si="159">IF(ABS(C62)&lt;C83, -C62, C83)</f>
        <v>0</v>
      </c>
      <c r="D70" s="232">
        <f t="shared" si="159"/>
        <v>0</v>
      </c>
      <c r="E70" s="232">
        <f t="shared" si="159"/>
        <v>0</v>
      </c>
      <c r="F70" s="232">
        <f t="shared" si="159"/>
        <v>0</v>
      </c>
      <c r="G70" s="232">
        <f t="shared" si="159"/>
        <v>0</v>
      </c>
      <c r="H70" s="232">
        <f t="shared" si="159"/>
        <v>0</v>
      </c>
      <c r="I70" s="232">
        <f t="shared" si="159"/>
        <v>0</v>
      </c>
      <c r="J70" s="232">
        <f t="shared" si="159"/>
        <v>0</v>
      </c>
      <c r="K70" s="412">
        <f t="shared" ref="K70" si="160">SUM(C70:J70)</f>
        <v>0</v>
      </c>
      <c r="L70" s="418">
        <f t="shared" ref="L70:S70" si="161">IF(ABS(L62)&lt;L83, -L62, L83)</f>
        <v>0</v>
      </c>
      <c r="M70" s="232">
        <f t="shared" si="161"/>
        <v>0</v>
      </c>
      <c r="N70" s="232">
        <f t="shared" si="161"/>
        <v>0</v>
      </c>
      <c r="O70" s="232">
        <f t="shared" si="161"/>
        <v>0</v>
      </c>
      <c r="P70" s="232">
        <f t="shared" si="161"/>
        <v>0</v>
      </c>
      <c r="Q70" s="232">
        <f t="shared" si="161"/>
        <v>0</v>
      </c>
      <c r="R70" s="232">
        <f t="shared" si="161"/>
        <v>0</v>
      </c>
      <c r="S70" s="232">
        <f t="shared" si="161"/>
        <v>0</v>
      </c>
      <c r="T70" s="414">
        <f t="shared" ref="T70" si="162">SUM(L70:S70)</f>
        <v>0</v>
      </c>
      <c r="U70" s="415">
        <f t="shared" ref="U70" si="163">SUM(T70,K70)</f>
        <v>0</v>
      </c>
      <c r="V70" s="933">
        <v>45</v>
      </c>
      <c r="W70" s="232">
        <f t="shared" ref="W70:AD70" si="164">IF(ABS(W62)&lt;W83, -W62, W83)</f>
        <v>0</v>
      </c>
      <c r="X70" s="232">
        <f t="shared" si="164"/>
        <v>0</v>
      </c>
      <c r="Y70" s="232">
        <f t="shared" si="164"/>
        <v>0</v>
      </c>
      <c r="Z70" s="232">
        <f t="shared" si="164"/>
        <v>0</v>
      </c>
      <c r="AA70" s="232">
        <f t="shared" si="164"/>
        <v>0</v>
      </c>
      <c r="AB70" s="232">
        <f t="shared" si="164"/>
        <v>0</v>
      </c>
      <c r="AC70" s="232">
        <f t="shared" si="164"/>
        <v>0</v>
      </c>
      <c r="AD70" s="232">
        <f t="shared" si="164"/>
        <v>0</v>
      </c>
      <c r="AE70" s="412">
        <f t="shared" ref="AE70" si="165">SUM(W70:AD70)</f>
        <v>0</v>
      </c>
      <c r="AF70" s="418">
        <f t="shared" ref="AF70:AM70" si="166">IF(ABS(AF62)&lt;AF83, -AF62, AF83)</f>
        <v>0</v>
      </c>
      <c r="AG70" s="232">
        <f t="shared" si="166"/>
        <v>0</v>
      </c>
      <c r="AH70" s="232">
        <f t="shared" si="166"/>
        <v>0</v>
      </c>
      <c r="AI70" s="232">
        <f t="shared" si="166"/>
        <v>0</v>
      </c>
      <c r="AJ70" s="232">
        <f t="shared" si="166"/>
        <v>0</v>
      </c>
      <c r="AK70" s="232">
        <f t="shared" si="166"/>
        <v>0</v>
      </c>
      <c r="AL70" s="232">
        <f t="shared" si="166"/>
        <v>0</v>
      </c>
      <c r="AM70" s="232">
        <f t="shared" si="166"/>
        <v>0</v>
      </c>
      <c r="AN70" s="414">
        <f t="shared" ref="AN70" si="167">SUM(AF70:AM70)</f>
        <v>0</v>
      </c>
      <c r="AO70" s="415">
        <f t="shared" ref="AO70" si="168">SUM(AN70,AE70)</f>
        <v>0</v>
      </c>
      <c r="AP70" s="933">
        <v>45</v>
      </c>
      <c r="AQ70" s="232">
        <f t="shared" ref="AQ70:AX70" si="169">IF(ABS(AQ62)&lt;AQ83, -AQ62, AQ83)</f>
        <v>0</v>
      </c>
      <c r="AR70" s="232">
        <f t="shared" si="169"/>
        <v>0</v>
      </c>
      <c r="AS70" s="232">
        <f t="shared" si="169"/>
        <v>0</v>
      </c>
      <c r="AT70" s="232">
        <f t="shared" si="169"/>
        <v>0</v>
      </c>
      <c r="AU70" s="232">
        <f t="shared" si="169"/>
        <v>0</v>
      </c>
      <c r="AV70" s="232">
        <f t="shared" si="169"/>
        <v>0</v>
      </c>
      <c r="AW70" s="232">
        <f t="shared" si="169"/>
        <v>0</v>
      </c>
      <c r="AX70" s="232">
        <f t="shared" si="169"/>
        <v>0</v>
      </c>
      <c r="AY70" s="412">
        <f t="shared" ref="AY70" si="170">SUM(AQ70:AX70)</f>
        <v>0</v>
      </c>
      <c r="AZ70" s="418">
        <f t="shared" ref="AZ70:BG70" si="171">IF(ABS(AZ62)&lt;AZ83, -AZ62, AZ83)</f>
        <v>0</v>
      </c>
      <c r="BA70" s="232">
        <f t="shared" si="171"/>
        <v>0</v>
      </c>
      <c r="BB70" s="232">
        <f t="shared" si="171"/>
        <v>0</v>
      </c>
      <c r="BC70" s="232">
        <f t="shared" si="171"/>
        <v>0</v>
      </c>
      <c r="BD70" s="232">
        <f t="shared" si="171"/>
        <v>0</v>
      </c>
      <c r="BE70" s="232">
        <f t="shared" si="171"/>
        <v>0</v>
      </c>
      <c r="BF70" s="232">
        <f t="shared" si="171"/>
        <v>0</v>
      </c>
      <c r="BG70" s="232">
        <f t="shared" si="171"/>
        <v>0</v>
      </c>
      <c r="BH70" s="414">
        <f t="shared" ref="BH70" si="172">SUM(AZ70:BG70)</f>
        <v>0</v>
      </c>
      <c r="BI70" s="415">
        <f t="shared" ref="BI70" si="173">SUM(BH70,AY70)</f>
        <v>0</v>
      </c>
      <c r="BJ70" s="933">
        <v>45</v>
      </c>
      <c r="BK70" s="232">
        <f t="shared" ref="BK70:BR70" si="174">IF(ABS(BK62)&lt;BK83, -BK62, BK83)</f>
        <v>0</v>
      </c>
      <c r="BL70" s="232">
        <f t="shared" si="174"/>
        <v>0</v>
      </c>
      <c r="BM70" s="232">
        <f t="shared" si="174"/>
        <v>0</v>
      </c>
      <c r="BN70" s="232">
        <f t="shared" si="174"/>
        <v>0</v>
      </c>
      <c r="BO70" s="232">
        <f t="shared" si="174"/>
        <v>0</v>
      </c>
      <c r="BP70" s="232">
        <f t="shared" si="174"/>
        <v>0</v>
      </c>
      <c r="BQ70" s="232">
        <f t="shared" si="174"/>
        <v>0</v>
      </c>
      <c r="BR70" s="232">
        <f t="shared" si="174"/>
        <v>0</v>
      </c>
      <c r="BS70" s="412">
        <f t="shared" ref="BS70" si="175">SUM(BK70:BR70)</f>
        <v>0</v>
      </c>
      <c r="BT70" s="418">
        <f t="shared" ref="BT70:CA70" si="176">IF(ABS(BT62)&lt;BT83, -BT62, BT83)</f>
        <v>0</v>
      </c>
      <c r="BU70" s="232">
        <f t="shared" si="176"/>
        <v>0</v>
      </c>
      <c r="BV70" s="232">
        <f t="shared" si="176"/>
        <v>0</v>
      </c>
      <c r="BW70" s="232">
        <f t="shared" si="176"/>
        <v>0</v>
      </c>
      <c r="BX70" s="232">
        <f t="shared" si="176"/>
        <v>0</v>
      </c>
      <c r="BY70" s="232">
        <f t="shared" si="176"/>
        <v>0</v>
      </c>
      <c r="BZ70" s="232">
        <f t="shared" si="176"/>
        <v>0</v>
      </c>
      <c r="CA70" s="232">
        <f t="shared" si="176"/>
        <v>0</v>
      </c>
      <c r="CB70" s="414">
        <f t="shared" ref="CB70" si="177">SUM(BT70:CA70)</f>
        <v>0</v>
      </c>
      <c r="CC70" s="415">
        <f t="shared" ref="CC70" si="178">SUM(CB70,BS70)</f>
        <v>0</v>
      </c>
      <c r="CD70" s="933">
        <v>45</v>
      </c>
      <c r="CE70" s="414">
        <f t="shared" si="144"/>
        <v>0</v>
      </c>
      <c r="CF70" s="414">
        <f t="shared" si="145"/>
        <v>0</v>
      </c>
      <c r="CG70" s="414">
        <f t="shared" si="146"/>
        <v>0</v>
      </c>
      <c r="CH70" s="414">
        <f t="shared" si="147"/>
        <v>0</v>
      </c>
      <c r="CI70" s="416">
        <f t="shared" si="148"/>
        <v>0</v>
      </c>
      <c r="CJ70" s="414">
        <f t="shared" si="149"/>
        <v>0</v>
      </c>
      <c r="CK70" s="414">
        <f t="shared" si="150"/>
        <v>0</v>
      </c>
      <c r="CL70" s="414">
        <f t="shared" si="151"/>
        <v>0</v>
      </c>
      <c r="CM70" s="414">
        <f t="shared" si="152"/>
        <v>0</v>
      </c>
      <c r="CN70" s="416">
        <f t="shared" si="153"/>
        <v>0</v>
      </c>
      <c r="CO70" s="414">
        <f t="shared" si="154"/>
        <v>0</v>
      </c>
      <c r="CP70" s="414">
        <f t="shared" si="155"/>
        <v>0</v>
      </c>
      <c r="CQ70" s="414">
        <f t="shared" si="156"/>
        <v>0</v>
      </c>
      <c r="CR70" s="414">
        <f t="shared" si="157"/>
        <v>0</v>
      </c>
      <c r="CS70" s="416">
        <f t="shared" si="158"/>
        <v>0</v>
      </c>
    </row>
    <row r="71" spans="1:131" ht="15.75" customHeight="1">
      <c r="A71" s="88" t="s">
        <v>1342</v>
      </c>
      <c r="B71" s="300">
        <v>46</v>
      </c>
      <c r="C71" s="420">
        <v>32159.832484526276</v>
      </c>
      <c r="D71" s="420">
        <v>61029.519503802541</v>
      </c>
      <c r="E71" s="420">
        <v>35686.697665739703</v>
      </c>
      <c r="F71" s="420">
        <v>68455.134433936051</v>
      </c>
      <c r="G71" s="420">
        <v>34482.763664118596</v>
      </c>
      <c r="H71" s="420">
        <v>68096.659322536449</v>
      </c>
      <c r="I71" s="420">
        <v>36353.380712555692</v>
      </c>
      <c r="J71" s="420">
        <v>69035.398133715091</v>
      </c>
      <c r="K71" s="412">
        <f>SUM(C71:J71)</f>
        <v>405299.38592093036</v>
      </c>
      <c r="L71" s="421">
        <v>0</v>
      </c>
      <c r="M71" s="420">
        <v>139916.27333521517</v>
      </c>
      <c r="N71" s="420">
        <v>0</v>
      </c>
      <c r="O71" s="420">
        <v>136337.12122667319</v>
      </c>
      <c r="P71" s="420">
        <v>0</v>
      </c>
      <c r="Q71" s="420">
        <v>142832.60978229166</v>
      </c>
      <c r="R71" s="420">
        <v>0</v>
      </c>
      <c r="S71" s="420">
        <v>144140.92441123031</v>
      </c>
      <c r="T71" s="414">
        <f>SUM(L71:S71)</f>
        <v>563226.92875541025</v>
      </c>
      <c r="U71" s="415">
        <f>SUM(T71,K71)</f>
        <v>968526.31467634067</v>
      </c>
      <c r="V71" s="300">
        <v>46</v>
      </c>
      <c r="W71" s="420">
        <v>4918.0999411585826</v>
      </c>
      <c r="X71" s="420">
        <v>27801.874546590599</v>
      </c>
      <c r="Y71" s="420">
        <v>5532.5198477282729</v>
      </c>
      <c r="Z71" s="420">
        <v>28675.562015818214</v>
      </c>
      <c r="AA71" s="420">
        <v>4903.998557167185</v>
      </c>
      <c r="AB71" s="420">
        <v>27845.618531043674</v>
      </c>
      <c r="AC71" s="420">
        <v>5269.8926426592907</v>
      </c>
      <c r="AD71" s="420">
        <v>28608.342085368058</v>
      </c>
      <c r="AE71" s="412">
        <f>SUM(W71:AD71)</f>
        <v>133555.90816753387</v>
      </c>
      <c r="AF71" s="421">
        <v>0</v>
      </c>
      <c r="AG71" s="420">
        <v>42211.2844636093</v>
      </c>
      <c r="AH71" s="420">
        <v>0</v>
      </c>
      <c r="AI71" s="420">
        <v>37066.59058555642</v>
      </c>
      <c r="AJ71" s="420">
        <v>0</v>
      </c>
      <c r="AK71" s="420">
        <v>37719.075576470634</v>
      </c>
      <c r="AL71" s="420">
        <v>0</v>
      </c>
      <c r="AM71" s="420">
        <v>37781.578072030083</v>
      </c>
      <c r="AN71" s="414">
        <f>SUM(AF71:AM71)</f>
        <v>154778.52869766642</v>
      </c>
      <c r="AO71" s="415">
        <f>SUM(AN71,AE71)</f>
        <v>288334.43686520029</v>
      </c>
      <c r="AP71" s="300">
        <v>46</v>
      </c>
      <c r="AQ71" s="420">
        <v>534687.2615733936</v>
      </c>
      <c r="AR71" s="420">
        <v>1206454.8292847513</v>
      </c>
      <c r="AS71" s="420">
        <v>619352.44967157103</v>
      </c>
      <c r="AT71" s="420">
        <v>1380208.575040658</v>
      </c>
      <c r="AU71" s="420">
        <v>621820.72274389479</v>
      </c>
      <c r="AV71" s="420">
        <v>1381402.8814902711</v>
      </c>
      <c r="AW71" s="420">
        <v>679171.43237671477</v>
      </c>
      <c r="AX71" s="420">
        <v>1451562.1031595988</v>
      </c>
      <c r="AY71" s="412">
        <f>SUM(AQ71:AX71)</f>
        <v>7874660.2553408537</v>
      </c>
      <c r="AZ71" s="421">
        <v>0</v>
      </c>
      <c r="BA71" s="420">
        <v>1041460.0558768719</v>
      </c>
      <c r="BB71" s="420">
        <v>0</v>
      </c>
      <c r="BC71" s="420">
        <v>931314.45446481346</v>
      </c>
      <c r="BD71" s="420">
        <v>0</v>
      </c>
      <c r="BE71" s="420">
        <v>1016638.9448821119</v>
      </c>
      <c r="BF71" s="420">
        <v>0</v>
      </c>
      <c r="BG71" s="420">
        <v>1039857.7720880574</v>
      </c>
      <c r="BH71" s="414">
        <f>SUM(AZ71:BG71)</f>
        <v>4029271.2273118543</v>
      </c>
      <c r="BI71" s="415">
        <f>SUM(BH71,AY71)</f>
        <v>11903931.482652709</v>
      </c>
      <c r="BJ71" s="300">
        <v>46</v>
      </c>
      <c r="BK71" s="420">
        <v>11171.715224267431</v>
      </c>
      <c r="BL71" s="420">
        <v>114838.72162134713</v>
      </c>
      <c r="BM71" s="420">
        <v>11804.936764616159</v>
      </c>
      <c r="BN71" s="420">
        <v>119133.10773487733</v>
      </c>
      <c r="BO71" s="420">
        <v>10339.74530396069</v>
      </c>
      <c r="BP71" s="420">
        <v>110106.63061733035</v>
      </c>
      <c r="BQ71" s="420">
        <v>11677.590952264547</v>
      </c>
      <c r="BR71" s="420">
        <v>118046.90879311234</v>
      </c>
      <c r="BS71" s="412">
        <f>SUM(BK71:BR71)</f>
        <v>507119.35701177595</v>
      </c>
      <c r="BT71" s="421">
        <v>0</v>
      </c>
      <c r="BU71" s="420">
        <v>38751.405425237608</v>
      </c>
      <c r="BV71" s="420">
        <v>0</v>
      </c>
      <c r="BW71" s="420">
        <v>36032.578635020705</v>
      </c>
      <c r="BX71" s="420">
        <v>0</v>
      </c>
      <c r="BY71" s="420">
        <v>37883.959217779666</v>
      </c>
      <c r="BZ71" s="420">
        <v>0</v>
      </c>
      <c r="CA71" s="420">
        <v>43932.1918409344</v>
      </c>
      <c r="CB71" s="414">
        <f>SUM(BT71:CA71)</f>
        <v>156600.13511897236</v>
      </c>
      <c r="CC71" s="415">
        <f>SUM(CB71,BS71)</f>
        <v>663719.49213074835</v>
      </c>
      <c r="CD71" s="300">
        <v>46</v>
      </c>
      <c r="CE71" s="414">
        <f t="shared" si="144"/>
        <v>1993061.8541798375</v>
      </c>
      <c r="CF71" s="414">
        <f t="shared" si="145"/>
        <v>2268848.9831749443</v>
      </c>
      <c r="CG71" s="414">
        <f t="shared" si="146"/>
        <v>2258999.0202303226</v>
      </c>
      <c r="CH71" s="414">
        <f t="shared" si="147"/>
        <v>2399725.0488559888</v>
      </c>
      <c r="CI71" s="416">
        <f t="shared" si="148"/>
        <v>8920634.9064410944</v>
      </c>
      <c r="CJ71" s="414">
        <f t="shared" si="149"/>
        <v>1262339.0191009338</v>
      </c>
      <c r="CK71" s="414">
        <f t="shared" si="150"/>
        <v>1140750.7449120637</v>
      </c>
      <c r="CL71" s="414">
        <f t="shared" si="151"/>
        <v>1235074.5894586537</v>
      </c>
      <c r="CM71" s="414">
        <f t="shared" si="152"/>
        <v>1265712.466412252</v>
      </c>
      <c r="CN71" s="416">
        <f t="shared" si="153"/>
        <v>4903876.8198839035</v>
      </c>
      <c r="CO71" s="414">
        <f t="shared" si="154"/>
        <v>3255400.8732807715</v>
      </c>
      <c r="CP71" s="414">
        <f t="shared" si="155"/>
        <v>3409599.7280870085</v>
      </c>
      <c r="CQ71" s="414">
        <f t="shared" si="156"/>
        <v>3494073.6096889768</v>
      </c>
      <c r="CR71" s="414">
        <f t="shared" si="157"/>
        <v>3665437.5152682406</v>
      </c>
      <c r="CS71" s="416">
        <f t="shared" si="158"/>
        <v>13824511.726324998</v>
      </c>
    </row>
    <row r="72" spans="1:131" s="14"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c r="CT72" s="318"/>
      <c r="CU72" s="318"/>
      <c r="CV72" s="318"/>
      <c r="CW72" s="318"/>
      <c r="CX72" s="318"/>
      <c r="CY72" s="318"/>
      <c r="CZ72" s="318"/>
      <c r="DA72" s="318"/>
      <c r="DB72" s="318"/>
      <c r="DC72" s="318"/>
      <c r="DD72" s="318"/>
      <c r="DE72" s="318"/>
      <c r="DF72" s="318"/>
      <c r="DG72" s="318"/>
      <c r="DH72" s="318"/>
      <c r="DI72" s="318"/>
      <c r="DJ72" s="318"/>
      <c r="DK72" s="318"/>
      <c r="DL72" s="318"/>
      <c r="DM72" s="318"/>
      <c r="DN72" s="318"/>
      <c r="DO72" s="318"/>
      <c r="DP72" s="318"/>
      <c r="DQ72" s="318"/>
      <c r="DR72" s="318"/>
      <c r="DS72" s="318"/>
      <c r="DT72" s="318"/>
      <c r="DU72" s="318"/>
      <c r="DV72" s="318"/>
      <c r="DW72" s="318"/>
      <c r="DX72" s="318"/>
      <c r="DY72" s="318"/>
      <c r="DZ72" s="318"/>
      <c r="EA72" s="318"/>
    </row>
    <row r="73" spans="1:131" s="14" customFormat="1">
      <c r="A73" s="16" t="s">
        <v>241</v>
      </c>
      <c r="B73" s="300">
        <v>47</v>
      </c>
      <c r="C73" s="216">
        <f t="shared" ref="C73:U73" si="179">SUM(C69:C71)</f>
        <v>36159.098844838256</v>
      </c>
      <c r="D73" s="216">
        <f t="shared" si="179"/>
        <v>68618.903075840659</v>
      </c>
      <c r="E73" s="216">
        <f t="shared" si="179"/>
        <v>39734.484661197683</v>
      </c>
      <c r="F73" s="216">
        <f t="shared" si="179"/>
        <v>76219.702776162638</v>
      </c>
      <c r="G73" s="216">
        <f t="shared" si="179"/>
        <v>42063.613597140524</v>
      </c>
      <c r="H73" s="216">
        <f t="shared" si="179"/>
        <v>83067.343235596374</v>
      </c>
      <c r="I73" s="216">
        <f t="shared" si="179"/>
        <v>42046.312873707182</v>
      </c>
      <c r="J73" s="216">
        <f t="shared" si="179"/>
        <v>79846.327697621789</v>
      </c>
      <c r="K73" s="221">
        <f t="shared" si="179"/>
        <v>467755.78676210507</v>
      </c>
      <c r="L73" s="218">
        <f t="shared" si="179"/>
        <v>0</v>
      </c>
      <c r="M73" s="216">
        <f t="shared" si="179"/>
        <v>151280.75496533461</v>
      </c>
      <c r="N73" s="216">
        <f t="shared" si="179"/>
        <v>0</v>
      </c>
      <c r="O73" s="216">
        <f t="shared" si="179"/>
        <v>146813.20396201496</v>
      </c>
      <c r="P73" s="216">
        <f t="shared" si="179"/>
        <v>0</v>
      </c>
      <c r="Q73" s="216">
        <f t="shared" si="179"/>
        <v>168920.55340775728</v>
      </c>
      <c r="R73" s="216">
        <f t="shared" si="179"/>
        <v>0</v>
      </c>
      <c r="S73" s="216">
        <f t="shared" si="179"/>
        <v>161725.94400752048</v>
      </c>
      <c r="T73" s="219">
        <f t="shared" si="179"/>
        <v>628740.45634262718</v>
      </c>
      <c r="U73" s="218">
        <f t="shared" si="179"/>
        <v>1096496.2431047324</v>
      </c>
      <c r="V73" s="300">
        <v>47</v>
      </c>
      <c r="W73" s="216">
        <f t="shared" ref="W73:AO73" si="180">SUM(W69:W71)</f>
        <v>5529.6949070462779</v>
      </c>
      <c r="X73" s="216">
        <f t="shared" si="180"/>
        <v>31259.202929171304</v>
      </c>
      <c r="Y73" s="216">
        <f t="shared" si="180"/>
        <v>6160.0495256353151</v>
      </c>
      <c r="Z73" s="216">
        <f t="shared" si="180"/>
        <v>31928.106370083609</v>
      </c>
      <c r="AA73" s="216">
        <f t="shared" si="180"/>
        <v>5982.1162363578715</v>
      </c>
      <c r="AB73" s="216">
        <f t="shared" si="180"/>
        <v>33967.327841590384</v>
      </c>
      <c r="AC73" s="216">
        <f t="shared" si="180"/>
        <v>6095.1567782957572</v>
      </c>
      <c r="AD73" s="216">
        <f t="shared" si="180"/>
        <v>33088.402743901672</v>
      </c>
      <c r="AE73" s="221">
        <f t="shared" si="180"/>
        <v>154010.05733208219</v>
      </c>
      <c r="AF73" s="218">
        <f t="shared" si="180"/>
        <v>0</v>
      </c>
      <c r="AG73" s="216">
        <f t="shared" si="180"/>
        <v>45639.830374928228</v>
      </c>
      <c r="AH73" s="216">
        <f t="shared" si="180"/>
        <v>0</v>
      </c>
      <c r="AI73" s="216">
        <f t="shared" si="180"/>
        <v>39914.770642444397</v>
      </c>
      <c r="AJ73" s="216">
        <f t="shared" si="180"/>
        <v>0</v>
      </c>
      <c r="AK73" s="216">
        <f t="shared" si="180"/>
        <v>44608.350502858215</v>
      </c>
      <c r="AL73" s="216">
        <f t="shared" si="180"/>
        <v>0</v>
      </c>
      <c r="AM73" s="216">
        <f t="shared" si="180"/>
        <v>42390.885203153572</v>
      </c>
      <c r="AN73" s="219">
        <f t="shared" si="180"/>
        <v>172553.83672338439</v>
      </c>
      <c r="AO73" s="218">
        <f t="shared" si="180"/>
        <v>326563.89405546658</v>
      </c>
      <c r="AP73" s="300">
        <v>47</v>
      </c>
      <c r="AQ73" s="216">
        <f t="shared" ref="AQ73:BI73" si="181">SUM(AQ69:AQ71)</f>
        <v>601178.80127673864</v>
      </c>
      <c r="AR73" s="216">
        <f t="shared" si="181"/>
        <v>1356484.6597049178</v>
      </c>
      <c r="AS73" s="216">
        <f t="shared" si="181"/>
        <v>689602.9058742593</v>
      </c>
      <c r="AT73" s="216">
        <f t="shared" si="181"/>
        <v>1536759.6343008329</v>
      </c>
      <c r="AU73" s="216">
        <f t="shared" si="181"/>
        <v>758524.66069622978</v>
      </c>
      <c r="AV73" s="216">
        <f t="shared" si="181"/>
        <v>1685096.8673791918</v>
      </c>
      <c r="AW73" s="216">
        <f t="shared" si="181"/>
        <v>785529.54308132175</v>
      </c>
      <c r="AX73" s="216">
        <f t="shared" si="181"/>
        <v>1678876.4386907611</v>
      </c>
      <c r="AY73" s="221">
        <f t="shared" si="181"/>
        <v>9092053.5110042542</v>
      </c>
      <c r="AZ73" s="218">
        <f t="shared" si="181"/>
        <v>0</v>
      </c>
      <c r="BA73" s="216">
        <f t="shared" si="181"/>
        <v>1126051.0286878736</v>
      </c>
      <c r="BB73" s="216">
        <f t="shared" si="181"/>
        <v>0</v>
      </c>
      <c r="BC73" s="216">
        <f t="shared" si="181"/>
        <v>1002876.2359503703</v>
      </c>
      <c r="BD73" s="216">
        <f t="shared" si="181"/>
        <v>0</v>
      </c>
      <c r="BE73" s="216">
        <f t="shared" si="181"/>
        <v>1202324.9693968412</v>
      </c>
      <c r="BF73" s="216">
        <f t="shared" si="181"/>
        <v>0</v>
      </c>
      <c r="BG73" s="216">
        <f t="shared" si="181"/>
        <v>1166719.1709185094</v>
      </c>
      <c r="BH73" s="219">
        <f t="shared" si="181"/>
        <v>4497971.4049535943</v>
      </c>
      <c r="BI73" s="218">
        <f t="shared" si="181"/>
        <v>13590024.915957849</v>
      </c>
      <c r="BJ73" s="300">
        <v>47</v>
      </c>
      <c r="BK73" s="216">
        <f t="shared" ref="BK73:CC73" si="182">SUM(BK69:BK71)</f>
        <v>12560.984428480329</v>
      </c>
      <c r="BL73" s="216">
        <f t="shared" si="182"/>
        <v>129119.59937350781</v>
      </c>
      <c r="BM73" s="216">
        <f t="shared" si="182"/>
        <v>13143.919428845442</v>
      </c>
      <c r="BN73" s="216">
        <f t="shared" si="182"/>
        <v>132645.85830469767</v>
      </c>
      <c r="BO73" s="216">
        <f t="shared" si="182"/>
        <v>12612.882638847728</v>
      </c>
      <c r="BP73" s="216">
        <f t="shared" si="182"/>
        <v>134312.9805338023</v>
      </c>
      <c r="BQ73" s="216">
        <f t="shared" si="182"/>
        <v>13506.299363803224</v>
      </c>
      <c r="BR73" s="216">
        <f t="shared" si="182"/>
        <v>136533.03114048234</v>
      </c>
      <c r="BS73" s="221">
        <f t="shared" si="182"/>
        <v>584435.55521246674</v>
      </c>
      <c r="BT73" s="218">
        <f t="shared" si="182"/>
        <v>0</v>
      </c>
      <c r="BU73" s="216">
        <f t="shared" si="182"/>
        <v>41898.928044292261</v>
      </c>
      <c r="BV73" s="216">
        <f t="shared" si="182"/>
        <v>0</v>
      </c>
      <c r="BW73" s="216">
        <f t="shared" si="182"/>
        <v>38801.305681270926</v>
      </c>
      <c r="BX73" s="216">
        <f t="shared" si="182"/>
        <v>0</v>
      </c>
      <c r="BY73" s="216">
        <f t="shared" si="182"/>
        <v>44803.349641922192</v>
      </c>
      <c r="BZ73" s="216">
        <f t="shared" si="182"/>
        <v>0</v>
      </c>
      <c r="CA73" s="216">
        <f t="shared" si="182"/>
        <v>49291.866462048587</v>
      </c>
      <c r="CB73" s="219">
        <f t="shared" si="182"/>
        <v>174795.44982953396</v>
      </c>
      <c r="CC73" s="218">
        <f t="shared" si="182"/>
        <v>759231.00504200079</v>
      </c>
      <c r="CD73" s="300">
        <v>47</v>
      </c>
      <c r="CE73" s="219">
        <f>SUM(CE69:CE71)</f>
        <v>2240910.9445405412</v>
      </c>
      <c r="CF73" s="219">
        <f>SUM(CF69:CF71)</f>
        <v>2526194.6612417139</v>
      </c>
      <c r="CG73" s="219">
        <f>SUM(CG69:CG71)</f>
        <v>2755627.7921587564</v>
      </c>
      <c r="CH73" s="219">
        <f>SUM(CH69:CH71)</f>
        <v>2775521.5123698954</v>
      </c>
      <c r="CI73" s="216">
        <f>SUM(BS73,AY73,AE73,K73)</f>
        <v>10298254.910310907</v>
      </c>
      <c r="CJ73" s="219">
        <f>SUM(CJ69:CJ71)</f>
        <v>1364870.5420724286</v>
      </c>
      <c r="CK73" s="219">
        <f>SUM(CK69:CK71)</f>
        <v>1228405.5162361006</v>
      </c>
      <c r="CL73" s="219">
        <f>SUM(CL69:CL71)</f>
        <v>1460657.2229493789</v>
      </c>
      <c r="CM73" s="219">
        <f>SUM(CM69:CM71)</f>
        <v>1420127.8665912319</v>
      </c>
      <c r="CN73" s="216">
        <f>SUM(BX73,BD73,AJ73,P73)</f>
        <v>0</v>
      </c>
      <c r="CO73" s="219">
        <f>SUM(CO69:CO71)</f>
        <v>3605781.48661297</v>
      </c>
      <c r="CP73" s="219">
        <f>SUM(CP69:CP71)</f>
        <v>3754600.1774778152</v>
      </c>
      <c r="CQ73" s="219">
        <f>SUM(CQ69:CQ71)</f>
        <v>4216285.0151081355</v>
      </c>
      <c r="CR73" s="219">
        <f>SUM(CR69:CR71)</f>
        <v>4195649.3789611263</v>
      </c>
      <c r="CS73" s="216">
        <f>SUM(CC73,BI73,AO73,U73)</f>
        <v>15772316.05816005</v>
      </c>
      <c r="CT73" s="318"/>
      <c r="CU73" s="318"/>
      <c r="CV73" s="318"/>
      <c r="CW73" s="318"/>
      <c r="CX73" s="318"/>
      <c r="CY73" s="318"/>
      <c r="CZ73" s="318"/>
      <c r="DA73" s="318"/>
      <c r="DB73" s="318"/>
      <c r="DC73" s="318"/>
      <c r="DD73" s="318"/>
      <c r="DE73" s="318"/>
      <c r="DF73" s="318"/>
      <c r="DG73" s="318"/>
      <c r="DH73" s="318"/>
      <c r="DI73" s="318"/>
      <c r="DJ73" s="318"/>
      <c r="DK73" s="318"/>
      <c r="DL73" s="318"/>
      <c r="DM73" s="318"/>
      <c r="DN73" s="318"/>
      <c r="DO73" s="318"/>
      <c r="DP73" s="318"/>
      <c r="DQ73" s="318"/>
      <c r="DR73" s="318"/>
      <c r="DS73" s="318"/>
      <c r="DT73" s="318"/>
      <c r="DU73" s="318"/>
      <c r="DV73" s="318"/>
      <c r="DW73" s="318"/>
      <c r="DX73" s="318"/>
      <c r="DY73" s="318"/>
      <c r="DZ73" s="318"/>
      <c r="EA73" s="318"/>
    </row>
    <row r="74" spans="1:131" ht="15.75" customHeight="1">
      <c r="B74" s="300"/>
      <c r="C74" s="178"/>
      <c r="D74" s="178"/>
      <c r="E74" s="178"/>
      <c r="F74" s="178"/>
      <c r="G74" s="178"/>
      <c r="H74" s="178"/>
      <c r="I74" s="178"/>
      <c r="J74" s="178"/>
      <c r="K74" s="381"/>
      <c r="L74" s="382"/>
      <c r="M74" s="178"/>
      <c r="N74" s="178"/>
      <c r="O74" s="178"/>
      <c r="P74" s="178"/>
      <c r="Q74" s="178"/>
      <c r="R74" s="178"/>
      <c r="S74" s="178"/>
      <c r="T74" s="178"/>
      <c r="U74" s="383"/>
      <c r="V74" s="300"/>
      <c r="W74" s="178"/>
      <c r="X74" s="178"/>
      <c r="Y74" s="178"/>
      <c r="Z74" s="178"/>
      <c r="AA74" s="178"/>
      <c r="AB74" s="178"/>
      <c r="AC74" s="178"/>
      <c r="AD74" s="178"/>
      <c r="AE74" s="381"/>
      <c r="AF74" s="382"/>
      <c r="AG74" s="178"/>
      <c r="AH74" s="178"/>
      <c r="AI74" s="178"/>
      <c r="AJ74" s="178"/>
      <c r="AK74" s="178"/>
      <c r="AL74" s="178"/>
      <c r="AM74" s="178"/>
      <c r="AN74" s="178"/>
      <c r="AO74" s="383"/>
      <c r="AP74" s="300"/>
      <c r="AQ74" s="178"/>
      <c r="AR74" s="178"/>
      <c r="AS74" s="178"/>
      <c r="AT74" s="178"/>
      <c r="AU74" s="178"/>
      <c r="AV74" s="178"/>
      <c r="AW74" s="178"/>
      <c r="AX74" s="178"/>
      <c r="AY74" s="381"/>
      <c r="AZ74" s="382"/>
      <c r="BA74" s="178"/>
      <c r="BB74" s="178"/>
      <c r="BC74" s="178"/>
      <c r="BD74" s="178"/>
      <c r="BE74" s="178"/>
      <c r="BF74" s="178"/>
      <c r="BG74" s="178"/>
      <c r="BH74" s="178"/>
      <c r="BI74" s="383"/>
      <c r="BJ74" s="300"/>
      <c r="BK74" s="178"/>
      <c r="BL74" s="178"/>
      <c r="BM74" s="178"/>
      <c r="BN74" s="178"/>
      <c r="BO74" s="178"/>
      <c r="BP74" s="178"/>
      <c r="BQ74" s="178"/>
      <c r="BR74" s="178"/>
      <c r="BS74" s="381"/>
      <c r="BT74" s="382"/>
      <c r="BU74" s="178"/>
      <c r="BV74" s="178"/>
      <c r="BW74" s="178"/>
      <c r="BX74" s="178"/>
      <c r="BY74" s="178"/>
      <c r="BZ74" s="178"/>
      <c r="CA74" s="178"/>
      <c r="CB74" s="178"/>
      <c r="CC74" s="383"/>
      <c r="CD74" s="300"/>
      <c r="CE74" s="178"/>
      <c r="CF74" s="178"/>
      <c r="CG74" s="178"/>
      <c r="CH74" s="178"/>
      <c r="CI74" s="419"/>
      <c r="CJ74" s="178"/>
      <c r="CK74" s="178"/>
      <c r="CL74" s="178"/>
      <c r="CM74" s="178"/>
      <c r="CN74" s="419"/>
      <c r="CO74" s="178"/>
      <c r="CP74" s="178"/>
      <c r="CQ74" s="178"/>
      <c r="CR74" s="178"/>
      <c r="CS74" s="419"/>
    </row>
    <row r="75" spans="1:131"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31" s="14" customFormat="1" ht="15.75" customHeight="1">
      <c r="A76" s="88" t="s">
        <v>244</v>
      </c>
      <c r="B76" s="300">
        <v>48</v>
      </c>
      <c r="C76" s="420"/>
      <c r="D76" s="420"/>
      <c r="E76" s="420"/>
      <c r="F76" s="420"/>
      <c r="G76" s="420"/>
      <c r="H76" s="420"/>
      <c r="I76" s="420"/>
      <c r="J76" s="420"/>
      <c r="K76" s="412">
        <f t="shared" ref="K76:K86" si="183">SUM(C76:J76)</f>
        <v>0</v>
      </c>
      <c r="L76" s="421"/>
      <c r="M76" s="420"/>
      <c r="N76" s="420"/>
      <c r="O76" s="420"/>
      <c r="P76" s="420"/>
      <c r="Q76" s="420"/>
      <c r="R76" s="420"/>
      <c r="S76" s="420"/>
      <c r="T76" s="414">
        <f t="shared" ref="T76:T86" si="184">SUM(L76:S76)</f>
        <v>0</v>
      </c>
      <c r="U76" s="415">
        <f t="shared" ref="U76:U86" si="185">SUM(T76,K76)</f>
        <v>0</v>
      </c>
      <c r="V76" s="300">
        <v>48</v>
      </c>
      <c r="W76" s="420"/>
      <c r="X76" s="420"/>
      <c r="Y76" s="420"/>
      <c r="Z76" s="420"/>
      <c r="AA76" s="420"/>
      <c r="AB76" s="420"/>
      <c r="AC76" s="420"/>
      <c r="AD76" s="420"/>
      <c r="AE76" s="412">
        <f t="shared" ref="AE76:AE86" si="186">SUM(W76:AD76)</f>
        <v>0</v>
      </c>
      <c r="AF76" s="421"/>
      <c r="AG76" s="420"/>
      <c r="AH76" s="420"/>
      <c r="AI76" s="420"/>
      <c r="AJ76" s="420"/>
      <c r="AK76" s="420"/>
      <c r="AL76" s="420"/>
      <c r="AM76" s="420"/>
      <c r="AN76" s="414">
        <f t="shared" ref="AN76:AN86" si="187">SUM(AF76:AM76)</f>
        <v>0</v>
      </c>
      <c r="AO76" s="415">
        <f t="shared" ref="AO76:AO86" si="188">SUM(AN76,AE76)</f>
        <v>0</v>
      </c>
      <c r="AP76" s="300">
        <v>48</v>
      </c>
      <c r="AQ76" s="420"/>
      <c r="AR76" s="420"/>
      <c r="AS76" s="420"/>
      <c r="AT76" s="420"/>
      <c r="AU76" s="420"/>
      <c r="AV76" s="420"/>
      <c r="AW76" s="420"/>
      <c r="AX76" s="420"/>
      <c r="AY76" s="412">
        <f t="shared" ref="AY76:AY86" si="189">SUM(AQ76:AX76)</f>
        <v>0</v>
      </c>
      <c r="AZ76" s="421"/>
      <c r="BA76" s="420"/>
      <c r="BB76" s="420"/>
      <c r="BC76" s="420"/>
      <c r="BD76" s="420"/>
      <c r="BE76" s="420"/>
      <c r="BF76" s="420"/>
      <c r="BG76" s="420"/>
      <c r="BH76" s="414">
        <f t="shared" ref="BH76:BH86" si="190">SUM(AZ76:BG76)</f>
        <v>0</v>
      </c>
      <c r="BI76" s="415">
        <f t="shared" ref="BI76:BI86" si="191">SUM(BH76,AY76)</f>
        <v>0</v>
      </c>
      <c r="BJ76" s="300">
        <v>48</v>
      </c>
      <c r="BK76" s="420"/>
      <c r="BL76" s="420"/>
      <c r="BM76" s="420"/>
      <c r="BN76" s="420"/>
      <c r="BO76" s="420"/>
      <c r="BP76" s="420"/>
      <c r="BQ76" s="420"/>
      <c r="BR76" s="420"/>
      <c r="BS76" s="412">
        <f t="shared" ref="BS76:BS86" si="192">SUM(BK76:BR76)</f>
        <v>0</v>
      </c>
      <c r="BT76" s="421"/>
      <c r="BU76" s="420"/>
      <c r="BV76" s="420"/>
      <c r="BW76" s="420"/>
      <c r="BX76" s="420"/>
      <c r="BY76" s="420"/>
      <c r="BZ76" s="420"/>
      <c r="CA76" s="420"/>
      <c r="CB76" s="414">
        <f t="shared" ref="CB76:CB86" si="193">SUM(BT76:CA76)</f>
        <v>0</v>
      </c>
      <c r="CC76" s="415">
        <f t="shared" ref="CC76:CC86" si="194">SUM(CB76,BS76)</f>
        <v>0</v>
      </c>
      <c r="CD76" s="300">
        <v>48</v>
      </c>
      <c r="CE76" s="414">
        <f t="shared" ref="CE76:CE86" si="195">+C76+D76+W76+X76+AQ76+AR76+BK76+BL76</f>
        <v>0</v>
      </c>
      <c r="CF76" s="414">
        <f t="shared" ref="CF76:CF86" si="196">+E76+F76+Y76+Z76+AS76+AT76+BM76+BN76</f>
        <v>0</v>
      </c>
      <c r="CG76" s="414">
        <f t="shared" ref="CG76:CG86" si="197">+G76+H76+AA76+AB76+AU76+AV76+BO76+BP76</f>
        <v>0</v>
      </c>
      <c r="CH76" s="414">
        <f t="shared" ref="CH76:CH86" si="198">+I76+J76+AC76+AD76+AW76+AX76+BQ76+BR76</f>
        <v>0</v>
      </c>
      <c r="CI76" s="416">
        <f t="shared" ref="CI76:CI86" si="199">SUM(K76,AE76,AY76,BS76)</f>
        <v>0</v>
      </c>
      <c r="CJ76" s="414">
        <f t="shared" ref="CJ76:CJ86" si="200">L76+M76+AF76+AG76+AZ76+BA76+BT76+BU76</f>
        <v>0</v>
      </c>
      <c r="CK76" s="414">
        <f t="shared" ref="CK76:CK86" si="201">N76+O76+AH76+AI76+BB76+BC76+BV76+BW76</f>
        <v>0</v>
      </c>
      <c r="CL76" s="414">
        <f t="shared" ref="CL76:CL86" si="202">P76+Q76+AJ76+AK76+BD76+BE76+BX76+BY76</f>
        <v>0</v>
      </c>
      <c r="CM76" s="414">
        <f t="shared" ref="CM76:CM86" si="203">+R76+S76+AL76+AM76+BF76+BG76+BZ76+CA76</f>
        <v>0</v>
      </c>
      <c r="CN76" s="416">
        <f t="shared" ref="CN76:CN86" si="204">SUM(T76,AN76,BH76,CB76)</f>
        <v>0</v>
      </c>
      <c r="CO76" s="414">
        <f t="shared" ref="CO76:CO86" si="205">+C76+D76+L76+M76+W76+X76+AF76+AG76+AQ76+AR76+AZ76+BA76+BK76+BL76+BT76+BU76</f>
        <v>0</v>
      </c>
      <c r="CP76" s="414">
        <f t="shared" ref="CP76:CP86" si="206">+E76+F76+N76+O76+Y76+Z76+AH76+AI76+AS76+AT76+BB76+BC76+BM76+BN76+BV76+BW76</f>
        <v>0</v>
      </c>
      <c r="CQ76" s="414">
        <f t="shared" ref="CQ76:CQ86" si="207">+G76+H76+P76+Q76+AA76+AB76+AJ76+AK76+AU76+AV76+BD76+BE76+BO76+BP76+BX76+BY76</f>
        <v>0</v>
      </c>
      <c r="CR76" s="414">
        <f t="shared" ref="CR76:CR86" si="208">+I76+J76+R76+S76+AC76+AD76+AL76+AM76+AW76+AX76+BF76+BG76+BQ76+BR76+BZ76+CA76</f>
        <v>0</v>
      </c>
      <c r="CS76" s="416">
        <f t="shared" ref="CS76:CS86" si="209">SUM(CC76,BI76,AO76,U76)</f>
        <v>0</v>
      </c>
      <c r="CT76" s="318"/>
      <c r="CU76" s="318"/>
      <c r="CV76" s="318"/>
      <c r="CW76" s="318"/>
      <c r="CX76" s="318"/>
      <c r="CY76" s="318"/>
      <c r="CZ76" s="318"/>
      <c r="DA76" s="318"/>
      <c r="DB76" s="318"/>
      <c r="DC76" s="318"/>
      <c r="DD76" s="318"/>
      <c r="DE76" s="318"/>
      <c r="DF76" s="318"/>
      <c r="DG76" s="318"/>
      <c r="DH76" s="318"/>
      <c r="DI76" s="318"/>
      <c r="DJ76" s="318"/>
      <c r="DK76" s="318"/>
      <c r="DL76" s="318"/>
      <c r="DM76" s="318"/>
      <c r="DN76" s="318"/>
      <c r="DO76" s="318"/>
      <c r="DP76" s="318"/>
      <c r="DQ76" s="318"/>
      <c r="DR76" s="318"/>
      <c r="DS76" s="318"/>
      <c r="DT76" s="318"/>
      <c r="DU76" s="318"/>
      <c r="DV76" s="318"/>
      <c r="DW76" s="318"/>
      <c r="DX76" s="318"/>
      <c r="DY76" s="318"/>
      <c r="DZ76" s="318"/>
      <c r="EA76" s="318"/>
    </row>
    <row r="77" spans="1:131" ht="15.75" customHeight="1">
      <c r="A77" s="88" t="s">
        <v>246</v>
      </c>
      <c r="B77" s="300">
        <v>49</v>
      </c>
      <c r="C77" s="420"/>
      <c r="D77" s="420"/>
      <c r="E77" s="420"/>
      <c r="F77" s="420"/>
      <c r="G77" s="420"/>
      <c r="H77" s="420"/>
      <c r="I77" s="420"/>
      <c r="J77" s="420"/>
      <c r="K77" s="412">
        <f t="shared" si="183"/>
        <v>0</v>
      </c>
      <c r="L77" s="421"/>
      <c r="M77" s="420"/>
      <c r="N77" s="420"/>
      <c r="O77" s="420"/>
      <c r="P77" s="420"/>
      <c r="Q77" s="420"/>
      <c r="R77" s="420"/>
      <c r="S77" s="420"/>
      <c r="T77" s="414">
        <f t="shared" si="184"/>
        <v>0</v>
      </c>
      <c r="U77" s="415">
        <f t="shared" si="185"/>
        <v>0</v>
      </c>
      <c r="V77" s="300">
        <v>49</v>
      </c>
      <c r="W77" s="420"/>
      <c r="X77" s="420"/>
      <c r="Y77" s="420"/>
      <c r="Z77" s="420"/>
      <c r="AA77" s="420"/>
      <c r="AB77" s="420"/>
      <c r="AC77" s="420"/>
      <c r="AD77" s="420"/>
      <c r="AE77" s="412">
        <f t="shared" si="186"/>
        <v>0</v>
      </c>
      <c r="AF77" s="421"/>
      <c r="AG77" s="420"/>
      <c r="AH77" s="420"/>
      <c r="AI77" s="420"/>
      <c r="AJ77" s="420"/>
      <c r="AK77" s="420"/>
      <c r="AL77" s="420"/>
      <c r="AM77" s="420"/>
      <c r="AN77" s="414">
        <f t="shared" si="187"/>
        <v>0</v>
      </c>
      <c r="AO77" s="415">
        <f t="shared" si="188"/>
        <v>0</v>
      </c>
      <c r="AP77" s="300">
        <v>49</v>
      </c>
      <c r="AQ77" s="420"/>
      <c r="AR77" s="420"/>
      <c r="AS77" s="420"/>
      <c r="AT77" s="420"/>
      <c r="AU77" s="420"/>
      <c r="AV77" s="420"/>
      <c r="AW77" s="420"/>
      <c r="AX77" s="420"/>
      <c r="AY77" s="412">
        <f t="shared" si="189"/>
        <v>0</v>
      </c>
      <c r="AZ77" s="421"/>
      <c r="BA77" s="420"/>
      <c r="BB77" s="420"/>
      <c r="BC77" s="420"/>
      <c r="BD77" s="420"/>
      <c r="BE77" s="420"/>
      <c r="BF77" s="420"/>
      <c r="BG77" s="420"/>
      <c r="BH77" s="414">
        <f t="shared" si="190"/>
        <v>0</v>
      </c>
      <c r="BI77" s="415">
        <f t="shared" si="191"/>
        <v>0</v>
      </c>
      <c r="BJ77" s="300">
        <v>49</v>
      </c>
      <c r="BK77" s="420"/>
      <c r="BL77" s="420"/>
      <c r="BM77" s="420"/>
      <c r="BN77" s="420"/>
      <c r="BO77" s="420"/>
      <c r="BP77" s="420"/>
      <c r="BQ77" s="420"/>
      <c r="BR77" s="420"/>
      <c r="BS77" s="412">
        <f t="shared" si="192"/>
        <v>0</v>
      </c>
      <c r="BT77" s="421"/>
      <c r="BU77" s="420"/>
      <c r="BV77" s="420"/>
      <c r="BW77" s="420"/>
      <c r="BX77" s="420"/>
      <c r="BY77" s="420"/>
      <c r="BZ77" s="420"/>
      <c r="CA77" s="420"/>
      <c r="CB77" s="414">
        <f t="shared" si="193"/>
        <v>0</v>
      </c>
      <c r="CC77" s="415">
        <f t="shared" si="194"/>
        <v>0</v>
      </c>
      <c r="CD77" s="300">
        <v>49</v>
      </c>
      <c r="CE77" s="414">
        <f t="shared" si="195"/>
        <v>0</v>
      </c>
      <c r="CF77" s="414">
        <f t="shared" si="196"/>
        <v>0</v>
      </c>
      <c r="CG77" s="414">
        <f t="shared" si="197"/>
        <v>0</v>
      </c>
      <c r="CH77" s="414">
        <f t="shared" si="198"/>
        <v>0</v>
      </c>
      <c r="CI77" s="416">
        <f t="shared" si="199"/>
        <v>0</v>
      </c>
      <c r="CJ77" s="414">
        <f t="shared" si="200"/>
        <v>0</v>
      </c>
      <c r="CK77" s="414">
        <f t="shared" si="201"/>
        <v>0</v>
      </c>
      <c r="CL77" s="414">
        <f t="shared" si="202"/>
        <v>0</v>
      </c>
      <c r="CM77" s="414">
        <f t="shared" si="203"/>
        <v>0</v>
      </c>
      <c r="CN77" s="416">
        <f t="shared" si="204"/>
        <v>0</v>
      </c>
      <c r="CO77" s="414">
        <f t="shared" si="205"/>
        <v>0</v>
      </c>
      <c r="CP77" s="414">
        <f t="shared" si="206"/>
        <v>0</v>
      </c>
      <c r="CQ77" s="414">
        <f t="shared" si="207"/>
        <v>0</v>
      </c>
      <c r="CR77" s="414">
        <f t="shared" si="208"/>
        <v>0</v>
      </c>
      <c r="CS77" s="416">
        <f t="shared" si="209"/>
        <v>0</v>
      </c>
    </row>
    <row r="78" spans="1:131" ht="15.75" customHeight="1">
      <c r="A78" s="88" t="s">
        <v>248</v>
      </c>
      <c r="B78" s="300">
        <v>50</v>
      </c>
      <c r="C78" s="420"/>
      <c r="D78" s="420"/>
      <c r="E78" s="420"/>
      <c r="F78" s="420"/>
      <c r="G78" s="420"/>
      <c r="H78" s="420"/>
      <c r="I78" s="420"/>
      <c r="J78" s="420"/>
      <c r="K78" s="412">
        <f t="shared" si="183"/>
        <v>0</v>
      </c>
      <c r="L78" s="421"/>
      <c r="M78" s="420"/>
      <c r="N78" s="420"/>
      <c r="O78" s="420"/>
      <c r="P78" s="420"/>
      <c r="Q78" s="420"/>
      <c r="R78" s="420"/>
      <c r="S78" s="420"/>
      <c r="T78" s="414">
        <f t="shared" si="184"/>
        <v>0</v>
      </c>
      <c r="U78" s="415">
        <f t="shared" si="185"/>
        <v>0</v>
      </c>
      <c r="V78" s="300">
        <v>50</v>
      </c>
      <c r="W78" s="420"/>
      <c r="X78" s="420"/>
      <c r="Y78" s="420"/>
      <c r="Z78" s="420"/>
      <c r="AA78" s="420"/>
      <c r="AB78" s="420"/>
      <c r="AC78" s="420"/>
      <c r="AD78" s="420"/>
      <c r="AE78" s="412">
        <f t="shared" si="186"/>
        <v>0</v>
      </c>
      <c r="AF78" s="421"/>
      <c r="AG78" s="420"/>
      <c r="AH78" s="420"/>
      <c r="AI78" s="420"/>
      <c r="AJ78" s="420"/>
      <c r="AK78" s="420"/>
      <c r="AL78" s="420"/>
      <c r="AM78" s="420"/>
      <c r="AN78" s="414">
        <f t="shared" si="187"/>
        <v>0</v>
      </c>
      <c r="AO78" s="415">
        <f t="shared" si="188"/>
        <v>0</v>
      </c>
      <c r="AP78" s="300">
        <v>50</v>
      </c>
      <c r="AQ78" s="420"/>
      <c r="AR78" s="420"/>
      <c r="AS78" s="420"/>
      <c r="AT78" s="420"/>
      <c r="AU78" s="420"/>
      <c r="AV78" s="420"/>
      <c r="AW78" s="420"/>
      <c r="AX78" s="420"/>
      <c r="AY78" s="412">
        <f t="shared" si="189"/>
        <v>0</v>
      </c>
      <c r="AZ78" s="421"/>
      <c r="BA78" s="420"/>
      <c r="BB78" s="420"/>
      <c r="BC78" s="420"/>
      <c r="BD78" s="420"/>
      <c r="BE78" s="420"/>
      <c r="BF78" s="420"/>
      <c r="BG78" s="420"/>
      <c r="BH78" s="414">
        <f t="shared" si="190"/>
        <v>0</v>
      </c>
      <c r="BI78" s="415">
        <f t="shared" si="191"/>
        <v>0</v>
      </c>
      <c r="BJ78" s="300">
        <v>50</v>
      </c>
      <c r="BK78" s="420"/>
      <c r="BL78" s="420"/>
      <c r="BM78" s="420"/>
      <c r="BN78" s="420"/>
      <c r="BO78" s="420"/>
      <c r="BP78" s="420"/>
      <c r="BQ78" s="420"/>
      <c r="BR78" s="420"/>
      <c r="BS78" s="412">
        <f t="shared" si="192"/>
        <v>0</v>
      </c>
      <c r="BT78" s="421"/>
      <c r="BU78" s="420"/>
      <c r="BV78" s="420"/>
      <c r="BW78" s="420"/>
      <c r="BX78" s="420"/>
      <c r="BY78" s="420"/>
      <c r="BZ78" s="420"/>
      <c r="CA78" s="420"/>
      <c r="CB78" s="414">
        <f t="shared" si="193"/>
        <v>0</v>
      </c>
      <c r="CC78" s="415">
        <f t="shared" si="194"/>
        <v>0</v>
      </c>
      <c r="CD78" s="300">
        <v>50</v>
      </c>
      <c r="CE78" s="414">
        <f t="shared" si="195"/>
        <v>0</v>
      </c>
      <c r="CF78" s="414">
        <f t="shared" si="196"/>
        <v>0</v>
      </c>
      <c r="CG78" s="414">
        <f t="shared" si="197"/>
        <v>0</v>
      </c>
      <c r="CH78" s="414">
        <f t="shared" si="198"/>
        <v>0</v>
      </c>
      <c r="CI78" s="416">
        <f t="shared" si="199"/>
        <v>0</v>
      </c>
      <c r="CJ78" s="414">
        <f t="shared" si="200"/>
        <v>0</v>
      </c>
      <c r="CK78" s="414">
        <f t="shared" si="201"/>
        <v>0</v>
      </c>
      <c r="CL78" s="414">
        <f t="shared" si="202"/>
        <v>0</v>
      </c>
      <c r="CM78" s="414">
        <f t="shared" si="203"/>
        <v>0</v>
      </c>
      <c r="CN78" s="416">
        <f t="shared" si="204"/>
        <v>0</v>
      </c>
      <c r="CO78" s="414">
        <f t="shared" si="205"/>
        <v>0</v>
      </c>
      <c r="CP78" s="414">
        <f t="shared" si="206"/>
        <v>0</v>
      </c>
      <c r="CQ78" s="414">
        <f t="shared" si="207"/>
        <v>0</v>
      </c>
      <c r="CR78" s="414">
        <f t="shared" si="208"/>
        <v>0</v>
      </c>
      <c r="CS78" s="416">
        <f t="shared" si="209"/>
        <v>0</v>
      </c>
    </row>
    <row r="79" spans="1:131" ht="15.75" customHeight="1">
      <c r="A79" s="88" t="s">
        <v>250</v>
      </c>
      <c r="B79" s="300">
        <v>51</v>
      </c>
      <c r="C79" s="420">
        <v>10077.068284086099</v>
      </c>
      <c r="D79" s="420">
        <v>19123.191505449835</v>
      </c>
      <c r="E79" s="420">
        <v>10263.193267692233</v>
      </c>
      <c r="F79" s="420">
        <v>19687.1193138116</v>
      </c>
      <c r="G79" s="420">
        <v>10092.071688598664</v>
      </c>
      <c r="H79" s="420">
        <v>19929.851746547491</v>
      </c>
      <c r="I79" s="420">
        <v>10562.488957526059</v>
      </c>
      <c r="J79" s="420">
        <v>20058.261877524237</v>
      </c>
      <c r="K79" s="412">
        <f t="shared" si="183"/>
        <v>119793.24664123621</v>
      </c>
      <c r="L79" s="421">
        <v>0</v>
      </c>
      <c r="M79" s="420">
        <v>43841.827880546785</v>
      </c>
      <c r="N79" s="420">
        <v>0</v>
      </c>
      <c r="O79" s="420">
        <v>39209.406199931414</v>
      </c>
      <c r="P79" s="420">
        <v>0</v>
      </c>
      <c r="Q79" s="420">
        <v>41802.825070325503</v>
      </c>
      <c r="R79" s="420">
        <v>0</v>
      </c>
      <c r="S79" s="420">
        <v>41880.201856862885</v>
      </c>
      <c r="T79" s="414">
        <f t="shared" si="184"/>
        <v>166734.26100766659</v>
      </c>
      <c r="U79" s="415">
        <f t="shared" si="185"/>
        <v>286527.50764890283</v>
      </c>
      <c r="V79" s="300">
        <v>51</v>
      </c>
      <c r="W79" s="420">
        <v>1541.0537029028587</v>
      </c>
      <c r="X79" s="420">
        <v>8711.5313292253177</v>
      </c>
      <c r="Y79" s="420">
        <v>1591.106047032484</v>
      </c>
      <c r="Z79" s="420">
        <v>8246.8497865684058</v>
      </c>
      <c r="AA79" s="420">
        <v>1435.2534350723911</v>
      </c>
      <c r="AB79" s="420">
        <v>8149.5781824785254</v>
      </c>
      <c r="AC79" s="420">
        <v>1531.1693645650864</v>
      </c>
      <c r="AD79" s="420">
        <v>8312.1649609182878</v>
      </c>
      <c r="AE79" s="412">
        <f t="shared" si="186"/>
        <v>39518.70680876336</v>
      </c>
      <c r="AF79" s="421">
        <v>0</v>
      </c>
      <c r="AG79" s="420">
        <v>13226.623493870458</v>
      </c>
      <c r="AH79" s="420">
        <v>0</v>
      </c>
      <c r="AI79" s="420">
        <v>10660.038833439135</v>
      </c>
      <c r="AJ79" s="420">
        <v>0</v>
      </c>
      <c r="AK79" s="420">
        <v>11039.243213023443</v>
      </c>
      <c r="AL79" s="420">
        <v>0</v>
      </c>
      <c r="AM79" s="420">
        <v>10977.452257855537</v>
      </c>
      <c r="AN79" s="414">
        <f t="shared" si="187"/>
        <v>45903.357798188576</v>
      </c>
      <c r="AO79" s="415">
        <f t="shared" si="188"/>
        <v>85422.064606951928</v>
      </c>
      <c r="AP79" s="300">
        <v>51</v>
      </c>
      <c r="AQ79" s="420">
        <v>167540.67509830999</v>
      </c>
      <c r="AR79" s="420">
        <v>378034.5467352008</v>
      </c>
      <c r="AS79" s="420">
        <v>178120.54091797976</v>
      </c>
      <c r="AT79" s="420">
        <v>396936.34552707663</v>
      </c>
      <c r="AU79" s="420">
        <v>181988.29341273522</v>
      </c>
      <c r="AV79" s="420">
        <v>404295.23128226696</v>
      </c>
      <c r="AW79" s="420">
        <v>197333.52480938716</v>
      </c>
      <c r="AX79" s="420">
        <v>421751.93572825467</v>
      </c>
      <c r="AY79" s="412">
        <f t="shared" si="189"/>
        <v>2326001.0935112112</v>
      </c>
      <c r="AZ79" s="421">
        <v>0</v>
      </c>
      <c r="BA79" s="420">
        <v>326334.53869105113</v>
      </c>
      <c r="BB79" s="420">
        <v>0</v>
      </c>
      <c r="BC79" s="420">
        <v>267838.18241450662</v>
      </c>
      <c r="BD79" s="420">
        <v>0</v>
      </c>
      <c r="BE79" s="420">
        <v>297539.75676397776</v>
      </c>
      <c r="BF79" s="420">
        <v>0</v>
      </c>
      <c r="BG79" s="420">
        <v>302131.08161586442</v>
      </c>
      <c r="BH79" s="414">
        <f t="shared" si="190"/>
        <v>1193843.5594854001</v>
      </c>
      <c r="BI79" s="415">
        <f t="shared" si="191"/>
        <v>3519844.6529966113</v>
      </c>
      <c r="BJ79" s="300">
        <v>51</v>
      </c>
      <c r="BK79" s="420">
        <v>3500.5822004661932</v>
      </c>
      <c r="BL79" s="420">
        <v>35983.944878825947</v>
      </c>
      <c r="BM79" s="420">
        <v>3395.0002508765283</v>
      </c>
      <c r="BN79" s="420">
        <v>34261.677018035261</v>
      </c>
      <c r="BO79" s="420">
        <v>3026.1336320326486</v>
      </c>
      <c r="BP79" s="420">
        <v>32224.911564626862</v>
      </c>
      <c r="BQ79" s="420">
        <v>3392.9286098335256</v>
      </c>
      <c r="BR79" s="420">
        <v>34298.575432537211</v>
      </c>
      <c r="BS79" s="412">
        <f t="shared" si="192"/>
        <v>150083.75358723418</v>
      </c>
      <c r="BT79" s="421">
        <v>0</v>
      </c>
      <c r="BU79" s="420">
        <v>12142.493551927346</v>
      </c>
      <c r="BV79" s="420">
        <v>0</v>
      </c>
      <c r="BW79" s="420">
        <v>10362.665717303496</v>
      </c>
      <c r="BX79" s="420">
        <v>0</v>
      </c>
      <c r="BY79" s="420">
        <v>11087.499714288142</v>
      </c>
      <c r="BZ79" s="420">
        <v>0</v>
      </c>
      <c r="CA79" s="420">
        <v>12764.515489463643</v>
      </c>
      <c r="CB79" s="414">
        <f t="shared" si="193"/>
        <v>46357.174472982624</v>
      </c>
      <c r="CC79" s="415">
        <f t="shared" si="194"/>
        <v>196440.9280602168</v>
      </c>
      <c r="CD79" s="300">
        <v>51</v>
      </c>
      <c r="CE79" s="414">
        <f t="shared" si="195"/>
        <v>624512.59373446694</v>
      </c>
      <c r="CF79" s="414">
        <f t="shared" si="196"/>
        <v>652501.83212907286</v>
      </c>
      <c r="CG79" s="414">
        <f t="shared" si="197"/>
        <v>661141.32494435878</v>
      </c>
      <c r="CH79" s="414">
        <f t="shared" si="198"/>
        <v>697241.04974054615</v>
      </c>
      <c r="CI79" s="416">
        <f t="shared" si="199"/>
        <v>2635396.800548445</v>
      </c>
      <c r="CJ79" s="414">
        <f t="shared" si="200"/>
        <v>395545.48361739569</v>
      </c>
      <c r="CK79" s="414">
        <f t="shared" si="201"/>
        <v>328070.29316518072</v>
      </c>
      <c r="CL79" s="414">
        <f t="shared" si="202"/>
        <v>361469.32476161484</v>
      </c>
      <c r="CM79" s="414">
        <f t="shared" si="203"/>
        <v>367753.25122004648</v>
      </c>
      <c r="CN79" s="416">
        <f t="shared" si="204"/>
        <v>1452838.3527642377</v>
      </c>
      <c r="CO79" s="414">
        <f t="shared" si="205"/>
        <v>1020058.0773518628</v>
      </c>
      <c r="CP79" s="414">
        <f t="shared" si="206"/>
        <v>980572.1252942537</v>
      </c>
      <c r="CQ79" s="414">
        <f t="shared" si="207"/>
        <v>1022610.6497059736</v>
      </c>
      <c r="CR79" s="414">
        <f t="shared" si="208"/>
        <v>1064994.3009605927</v>
      </c>
      <c r="CS79" s="416">
        <f t="shared" si="209"/>
        <v>4088235.1533126831</v>
      </c>
    </row>
    <row r="80" spans="1:131" ht="15.75" customHeight="1">
      <c r="A80" s="88" t="s">
        <v>252</v>
      </c>
      <c r="B80" s="300">
        <v>52</v>
      </c>
      <c r="C80" s="420"/>
      <c r="D80" s="420"/>
      <c r="E80" s="420"/>
      <c r="F80" s="420"/>
      <c r="G80" s="420"/>
      <c r="H80" s="420"/>
      <c r="I80" s="420"/>
      <c r="J80" s="420"/>
      <c r="K80" s="412">
        <f t="shared" si="183"/>
        <v>0</v>
      </c>
      <c r="L80" s="421"/>
      <c r="M80" s="420"/>
      <c r="N80" s="420"/>
      <c r="O80" s="420"/>
      <c r="P80" s="420"/>
      <c r="Q80" s="420"/>
      <c r="R80" s="420"/>
      <c r="S80" s="420"/>
      <c r="T80" s="414">
        <f t="shared" si="184"/>
        <v>0</v>
      </c>
      <c r="U80" s="415">
        <f t="shared" si="185"/>
        <v>0</v>
      </c>
      <c r="V80" s="300">
        <v>52</v>
      </c>
      <c r="W80" s="420"/>
      <c r="X80" s="420"/>
      <c r="Y80" s="420"/>
      <c r="Z80" s="420"/>
      <c r="AA80" s="420"/>
      <c r="AB80" s="420"/>
      <c r="AC80" s="420"/>
      <c r="AD80" s="420"/>
      <c r="AE80" s="412">
        <f t="shared" si="186"/>
        <v>0</v>
      </c>
      <c r="AF80" s="421"/>
      <c r="AG80" s="420"/>
      <c r="AH80" s="420"/>
      <c r="AI80" s="420"/>
      <c r="AJ80" s="420"/>
      <c r="AK80" s="420"/>
      <c r="AL80" s="420"/>
      <c r="AM80" s="420"/>
      <c r="AN80" s="414">
        <f t="shared" si="187"/>
        <v>0</v>
      </c>
      <c r="AO80" s="415">
        <f t="shared" si="188"/>
        <v>0</v>
      </c>
      <c r="AP80" s="300">
        <v>52</v>
      </c>
      <c r="AQ80" s="420"/>
      <c r="AR80" s="420"/>
      <c r="AS80" s="420"/>
      <c r="AT80" s="420"/>
      <c r="AU80" s="420"/>
      <c r="AV80" s="420"/>
      <c r="AW80" s="420"/>
      <c r="AX80" s="420"/>
      <c r="AY80" s="412">
        <f t="shared" si="189"/>
        <v>0</v>
      </c>
      <c r="AZ80" s="421"/>
      <c r="BA80" s="420"/>
      <c r="BB80" s="420"/>
      <c r="BC80" s="420"/>
      <c r="BD80" s="420"/>
      <c r="BE80" s="420"/>
      <c r="BF80" s="420"/>
      <c r="BG80" s="420"/>
      <c r="BH80" s="414">
        <f t="shared" si="190"/>
        <v>0</v>
      </c>
      <c r="BI80" s="415">
        <f t="shared" si="191"/>
        <v>0</v>
      </c>
      <c r="BJ80" s="300">
        <v>52</v>
      </c>
      <c r="BK80" s="420"/>
      <c r="BL80" s="420"/>
      <c r="BM80" s="420"/>
      <c r="BN80" s="420"/>
      <c r="BO80" s="420"/>
      <c r="BP80" s="420"/>
      <c r="BQ80" s="420"/>
      <c r="BR80" s="420"/>
      <c r="BS80" s="412">
        <f t="shared" si="192"/>
        <v>0</v>
      </c>
      <c r="BT80" s="421"/>
      <c r="BU80" s="420"/>
      <c r="BV80" s="420"/>
      <c r="BW80" s="420"/>
      <c r="BX80" s="420"/>
      <c r="BY80" s="420"/>
      <c r="BZ80" s="420"/>
      <c r="CA80" s="420"/>
      <c r="CB80" s="414">
        <f t="shared" si="193"/>
        <v>0</v>
      </c>
      <c r="CC80" s="415">
        <f t="shared" si="194"/>
        <v>0</v>
      </c>
      <c r="CD80" s="300">
        <v>52</v>
      </c>
      <c r="CE80" s="414">
        <f t="shared" si="195"/>
        <v>0</v>
      </c>
      <c r="CF80" s="414">
        <f t="shared" si="196"/>
        <v>0</v>
      </c>
      <c r="CG80" s="414">
        <f t="shared" si="197"/>
        <v>0</v>
      </c>
      <c r="CH80" s="414">
        <f t="shared" si="198"/>
        <v>0</v>
      </c>
      <c r="CI80" s="416">
        <f t="shared" si="199"/>
        <v>0</v>
      </c>
      <c r="CJ80" s="414">
        <f t="shared" si="200"/>
        <v>0</v>
      </c>
      <c r="CK80" s="414">
        <f t="shared" si="201"/>
        <v>0</v>
      </c>
      <c r="CL80" s="414">
        <f t="shared" si="202"/>
        <v>0</v>
      </c>
      <c r="CM80" s="414">
        <f t="shared" si="203"/>
        <v>0</v>
      </c>
      <c r="CN80" s="416">
        <f t="shared" si="204"/>
        <v>0</v>
      </c>
      <c r="CO80" s="414">
        <f t="shared" si="205"/>
        <v>0</v>
      </c>
      <c r="CP80" s="414">
        <f t="shared" si="206"/>
        <v>0</v>
      </c>
      <c r="CQ80" s="414">
        <f t="shared" si="207"/>
        <v>0</v>
      </c>
      <c r="CR80" s="414">
        <f t="shared" si="208"/>
        <v>0</v>
      </c>
      <c r="CS80" s="416">
        <f t="shared" si="209"/>
        <v>0</v>
      </c>
    </row>
    <row r="81" spans="1:131" ht="15.75" customHeight="1">
      <c r="A81" s="88" t="s">
        <v>254</v>
      </c>
      <c r="B81" s="300">
        <v>53</v>
      </c>
      <c r="C81" s="420">
        <v>37815.356490386846</v>
      </c>
      <c r="D81" s="420">
        <v>71761.973187631957</v>
      </c>
      <c r="E81" s="420">
        <v>74970.07306044962</v>
      </c>
      <c r="F81" s="420">
        <v>143809.50789969123</v>
      </c>
      <c r="G81" s="420">
        <v>72131.321577583585</v>
      </c>
      <c r="H81" s="420">
        <v>142445.13809269189</v>
      </c>
      <c r="I81" s="420">
        <v>78740.751028981249</v>
      </c>
      <c r="J81" s="420">
        <v>149529.39699377152</v>
      </c>
      <c r="K81" s="412">
        <f t="shared" si="183"/>
        <v>771203.51833118801</v>
      </c>
      <c r="L81" s="421">
        <v>0</v>
      </c>
      <c r="M81" s="420">
        <v>164521.49610926391</v>
      </c>
      <c r="N81" s="420">
        <v>0</v>
      </c>
      <c r="O81" s="420">
        <v>286414.95592985977</v>
      </c>
      <c r="P81" s="420">
        <v>0</v>
      </c>
      <c r="Q81" s="420">
        <v>298778.39863202668</v>
      </c>
      <c r="R81" s="420">
        <v>0</v>
      </c>
      <c r="S81" s="420">
        <v>312206.57940712298</v>
      </c>
      <c r="T81" s="414">
        <f t="shared" si="184"/>
        <v>1061921.4300782734</v>
      </c>
      <c r="U81" s="415">
        <f t="shared" si="185"/>
        <v>1833124.9484094614</v>
      </c>
      <c r="V81" s="300">
        <v>53</v>
      </c>
      <c r="W81" s="420">
        <v>5782.9810717996315</v>
      </c>
      <c r="X81" s="420">
        <v>32691.022180733919</v>
      </c>
      <c r="Y81" s="420">
        <v>11622.633763358022</v>
      </c>
      <c r="Z81" s="420">
        <v>60241.185651628017</v>
      </c>
      <c r="AA81" s="420">
        <v>10258.223510985914</v>
      </c>
      <c r="AB81" s="420">
        <v>58247.688159619313</v>
      </c>
      <c r="AC81" s="420">
        <v>11414.490107704849</v>
      </c>
      <c r="AD81" s="420">
        <v>61965.140444775119</v>
      </c>
      <c r="AE81" s="412">
        <f t="shared" si="186"/>
        <v>252223.36489060477</v>
      </c>
      <c r="AF81" s="421">
        <v>0</v>
      </c>
      <c r="AG81" s="420">
        <v>49634.424267494018</v>
      </c>
      <c r="AH81" s="420">
        <v>0</v>
      </c>
      <c r="AI81" s="420">
        <v>77868.931172321711</v>
      </c>
      <c r="AJ81" s="420">
        <v>0</v>
      </c>
      <c r="AK81" s="420">
        <v>78901.06479042639</v>
      </c>
      <c r="AL81" s="420">
        <v>0</v>
      </c>
      <c r="AM81" s="420">
        <v>81834.200125003874</v>
      </c>
      <c r="AN81" s="414">
        <f t="shared" si="187"/>
        <v>288238.62035524601</v>
      </c>
      <c r="AO81" s="415">
        <f t="shared" si="188"/>
        <v>540461.98524585075</v>
      </c>
      <c r="AP81" s="300">
        <v>53</v>
      </c>
      <c r="AQ81" s="420">
        <v>628715.63205421448</v>
      </c>
      <c r="AR81" s="420">
        <v>1418618.0690121127</v>
      </c>
      <c r="AS81" s="420">
        <v>1301126.2301981812</v>
      </c>
      <c r="AT81" s="420">
        <v>2899521.2355778064</v>
      </c>
      <c r="AU81" s="420">
        <v>1300729.5747155361</v>
      </c>
      <c r="AV81" s="420">
        <v>2889629.6260806755</v>
      </c>
      <c r="AW81" s="420">
        <v>1471072.7754764536</v>
      </c>
      <c r="AX81" s="420">
        <v>3144056.6992031788</v>
      </c>
      <c r="AY81" s="412">
        <f t="shared" si="189"/>
        <v>15053469.842318159</v>
      </c>
      <c r="AZ81" s="421">
        <v>0</v>
      </c>
      <c r="BA81" s="420">
        <v>1224607.8490126266</v>
      </c>
      <c r="BB81" s="420">
        <v>0</v>
      </c>
      <c r="BC81" s="420">
        <v>1956491.2771547874</v>
      </c>
      <c r="BD81" s="420">
        <v>0</v>
      </c>
      <c r="BE81" s="420">
        <v>2126613.4981487221</v>
      </c>
      <c r="BF81" s="420">
        <v>0</v>
      </c>
      <c r="BG81" s="420">
        <v>2252312.7239513518</v>
      </c>
      <c r="BH81" s="414">
        <f t="shared" si="190"/>
        <v>7560025.3482674873</v>
      </c>
      <c r="BI81" s="415">
        <f t="shared" si="191"/>
        <v>22613495.190585647</v>
      </c>
      <c r="BJ81" s="300">
        <v>53</v>
      </c>
      <c r="BK81" s="420">
        <v>13136.336889130967</v>
      </c>
      <c r="BL81" s="420">
        <v>135033.88735314511</v>
      </c>
      <c r="BM81" s="420">
        <v>24799.632064776451</v>
      </c>
      <c r="BN81" s="420">
        <v>250273.02538493488</v>
      </c>
      <c r="BO81" s="420">
        <v>21628.762149548027</v>
      </c>
      <c r="BP81" s="420">
        <v>230321.93295884636</v>
      </c>
      <c r="BQ81" s="420">
        <v>25293.446270128326</v>
      </c>
      <c r="BR81" s="420">
        <v>255687.42364060195</v>
      </c>
      <c r="BS81" s="412">
        <f t="shared" si="192"/>
        <v>956174.44671111205</v>
      </c>
      <c r="BT81" s="421">
        <v>0</v>
      </c>
      <c r="BU81" s="420">
        <v>45566.102104665762</v>
      </c>
      <c r="BV81" s="420">
        <v>0</v>
      </c>
      <c r="BW81" s="420">
        <v>75696.694553424299</v>
      </c>
      <c r="BX81" s="420">
        <v>0</v>
      </c>
      <c r="BY81" s="420">
        <v>79245.969713650979</v>
      </c>
      <c r="BZ81" s="420">
        <v>0</v>
      </c>
      <c r="CA81" s="420">
        <v>95156.315921663467</v>
      </c>
      <c r="CB81" s="414">
        <f t="shared" si="193"/>
        <v>295665.0822934045</v>
      </c>
      <c r="CC81" s="415">
        <f t="shared" si="194"/>
        <v>1251839.5290045165</v>
      </c>
      <c r="CD81" s="300">
        <v>53</v>
      </c>
      <c r="CE81" s="414">
        <f t="shared" si="195"/>
        <v>2343555.2582391556</v>
      </c>
      <c r="CF81" s="414">
        <f t="shared" si="196"/>
        <v>4766363.523600826</v>
      </c>
      <c r="CG81" s="414">
        <f t="shared" si="197"/>
        <v>4725392.2672454864</v>
      </c>
      <c r="CH81" s="414">
        <f t="shared" si="198"/>
        <v>5197760.1231655963</v>
      </c>
      <c r="CI81" s="416">
        <f t="shared" si="199"/>
        <v>17033071.172251064</v>
      </c>
      <c r="CJ81" s="414">
        <f t="shared" si="200"/>
        <v>1484329.8714940501</v>
      </c>
      <c r="CK81" s="414">
        <f t="shared" si="201"/>
        <v>2396471.8588103931</v>
      </c>
      <c r="CL81" s="414">
        <f t="shared" si="202"/>
        <v>2583538.9312848262</v>
      </c>
      <c r="CM81" s="414">
        <f t="shared" si="203"/>
        <v>2741509.8194051422</v>
      </c>
      <c r="CN81" s="416">
        <f t="shared" si="204"/>
        <v>9205850.4809944108</v>
      </c>
      <c r="CO81" s="414">
        <f t="shared" si="205"/>
        <v>3827885.1297332053</v>
      </c>
      <c r="CP81" s="414">
        <f t="shared" si="206"/>
        <v>7162835.3824112192</v>
      </c>
      <c r="CQ81" s="414">
        <f t="shared" si="207"/>
        <v>7308931.1985303117</v>
      </c>
      <c r="CR81" s="414">
        <f t="shared" si="208"/>
        <v>7939269.9425707376</v>
      </c>
      <c r="CS81" s="416">
        <f t="shared" si="209"/>
        <v>26238921.653245475</v>
      </c>
    </row>
    <row r="82" spans="1:131" ht="15.75" customHeight="1">
      <c r="A82" s="88" t="s">
        <v>256</v>
      </c>
      <c r="B82" s="300">
        <v>54</v>
      </c>
      <c r="C82" s="420"/>
      <c r="D82" s="420"/>
      <c r="E82" s="420"/>
      <c r="F82" s="420"/>
      <c r="G82" s="420"/>
      <c r="H82" s="420"/>
      <c r="I82" s="420"/>
      <c r="J82" s="420"/>
      <c r="K82" s="412">
        <f t="shared" si="183"/>
        <v>0</v>
      </c>
      <c r="L82" s="421"/>
      <c r="M82" s="420"/>
      <c r="N82" s="420"/>
      <c r="O82" s="420"/>
      <c r="P82" s="420"/>
      <c r="Q82" s="420"/>
      <c r="R82" s="420"/>
      <c r="S82" s="420"/>
      <c r="T82" s="414">
        <f t="shared" si="184"/>
        <v>0</v>
      </c>
      <c r="U82" s="415">
        <f t="shared" si="185"/>
        <v>0</v>
      </c>
      <c r="V82" s="300">
        <v>54</v>
      </c>
      <c r="W82" s="420"/>
      <c r="X82" s="420"/>
      <c r="Y82" s="420"/>
      <c r="Z82" s="420"/>
      <c r="AA82" s="420"/>
      <c r="AB82" s="420"/>
      <c r="AC82" s="420"/>
      <c r="AD82" s="420"/>
      <c r="AE82" s="412">
        <f t="shared" si="186"/>
        <v>0</v>
      </c>
      <c r="AF82" s="421"/>
      <c r="AG82" s="420"/>
      <c r="AH82" s="420"/>
      <c r="AI82" s="420"/>
      <c r="AJ82" s="420"/>
      <c r="AK82" s="420"/>
      <c r="AL82" s="420"/>
      <c r="AM82" s="420"/>
      <c r="AN82" s="414">
        <f t="shared" si="187"/>
        <v>0</v>
      </c>
      <c r="AO82" s="415">
        <f t="shared" si="188"/>
        <v>0</v>
      </c>
      <c r="AP82" s="300">
        <v>54</v>
      </c>
      <c r="AQ82" s="420"/>
      <c r="AR82" s="420"/>
      <c r="AS82" s="420"/>
      <c r="AT82" s="420"/>
      <c r="AU82" s="420"/>
      <c r="AV82" s="420"/>
      <c r="AW82" s="420"/>
      <c r="AX82" s="420"/>
      <c r="AY82" s="412">
        <f t="shared" si="189"/>
        <v>0</v>
      </c>
      <c r="AZ82" s="421"/>
      <c r="BA82" s="420"/>
      <c r="BB82" s="420"/>
      <c r="BC82" s="420"/>
      <c r="BD82" s="420"/>
      <c r="BE82" s="420"/>
      <c r="BF82" s="420"/>
      <c r="BG82" s="420"/>
      <c r="BH82" s="414">
        <f t="shared" si="190"/>
        <v>0</v>
      </c>
      <c r="BI82" s="415">
        <f t="shared" si="191"/>
        <v>0</v>
      </c>
      <c r="BJ82" s="300">
        <v>54</v>
      </c>
      <c r="BK82" s="420"/>
      <c r="BL82" s="420"/>
      <c r="BM82" s="420"/>
      <c r="BN82" s="420"/>
      <c r="BO82" s="420"/>
      <c r="BP82" s="420"/>
      <c r="BQ82" s="420"/>
      <c r="BR82" s="420"/>
      <c r="BS82" s="412">
        <f t="shared" si="192"/>
        <v>0</v>
      </c>
      <c r="BT82" s="421"/>
      <c r="BU82" s="420"/>
      <c r="BV82" s="420"/>
      <c r="BW82" s="420"/>
      <c r="BX82" s="420"/>
      <c r="BY82" s="420"/>
      <c r="BZ82" s="420"/>
      <c r="CA82" s="420"/>
      <c r="CB82" s="414">
        <f t="shared" si="193"/>
        <v>0</v>
      </c>
      <c r="CC82" s="415">
        <f t="shared" si="194"/>
        <v>0</v>
      </c>
      <c r="CD82" s="300">
        <v>54</v>
      </c>
      <c r="CE82" s="414">
        <f t="shared" si="195"/>
        <v>0</v>
      </c>
      <c r="CF82" s="414">
        <f t="shared" si="196"/>
        <v>0</v>
      </c>
      <c r="CG82" s="414">
        <f t="shared" si="197"/>
        <v>0</v>
      </c>
      <c r="CH82" s="414">
        <f t="shared" si="198"/>
        <v>0</v>
      </c>
      <c r="CI82" s="416">
        <f t="shared" si="199"/>
        <v>0</v>
      </c>
      <c r="CJ82" s="414">
        <f t="shared" si="200"/>
        <v>0</v>
      </c>
      <c r="CK82" s="414">
        <f t="shared" si="201"/>
        <v>0</v>
      </c>
      <c r="CL82" s="414">
        <f t="shared" si="202"/>
        <v>0</v>
      </c>
      <c r="CM82" s="414">
        <f t="shared" si="203"/>
        <v>0</v>
      </c>
      <c r="CN82" s="416">
        <f t="shared" si="204"/>
        <v>0</v>
      </c>
      <c r="CO82" s="414">
        <f t="shared" si="205"/>
        <v>0</v>
      </c>
      <c r="CP82" s="414">
        <f t="shared" si="206"/>
        <v>0</v>
      </c>
      <c r="CQ82" s="414">
        <f t="shared" si="207"/>
        <v>0</v>
      </c>
      <c r="CR82" s="414">
        <f t="shared" si="208"/>
        <v>0</v>
      </c>
      <c r="CS82" s="416">
        <f t="shared" si="209"/>
        <v>0</v>
      </c>
    </row>
    <row r="83" spans="1:131" ht="15.75" customHeight="1">
      <c r="A83" s="88" t="s">
        <v>258</v>
      </c>
      <c r="B83" s="300">
        <v>55</v>
      </c>
      <c r="C83" s="420"/>
      <c r="D83" s="420"/>
      <c r="E83" s="420"/>
      <c r="F83" s="420"/>
      <c r="G83" s="420"/>
      <c r="H83" s="420"/>
      <c r="I83" s="420"/>
      <c r="J83" s="420"/>
      <c r="K83" s="412">
        <f t="shared" si="183"/>
        <v>0</v>
      </c>
      <c r="L83" s="421"/>
      <c r="M83" s="420"/>
      <c r="N83" s="420"/>
      <c r="O83" s="420"/>
      <c r="P83" s="420"/>
      <c r="Q83" s="420"/>
      <c r="R83" s="420"/>
      <c r="S83" s="420"/>
      <c r="T83" s="414">
        <f t="shared" si="184"/>
        <v>0</v>
      </c>
      <c r="U83" s="415">
        <f t="shared" si="185"/>
        <v>0</v>
      </c>
      <c r="V83" s="300">
        <v>55</v>
      </c>
      <c r="W83" s="420"/>
      <c r="X83" s="420"/>
      <c r="Y83" s="420"/>
      <c r="Z83" s="420"/>
      <c r="AA83" s="420"/>
      <c r="AB83" s="420"/>
      <c r="AC83" s="420"/>
      <c r="AD83" s="420"/>
      <c r="AE83" s="412">
        <f t="shared" si="186"/>
        <v>0</v>
      </c>
      <c r="AF83" s="421"/>
      <c r="AG83" s="420"/>
      <c r="AH83" s="420"/>
      <c r="AI83" s="420"/>
      <c r="AJ83" s="420"/>
      <c r="AK83" s="420"/>
      <c r="AL83" s="420"/>
      <c r="AM83" s="420"/>
      <c r="AN83" s="414">
        <f t="shared" si="187"/>
        <v>0</v>
      </c>
      <c r="AO83" s="415">
        <f t="shared" si="188"/>
        <v>0</v>
      </c>
      <c r="AP83" s="300">
        <v>55</v>
      </c>
      <c r="AQ83" s="420"/>
      <c r="AR83" s="420"/>
      <c r="AS83" s="420"/>
      <c r="AT83" s="420"/>
      <c r="AU83" s="420"/>
      <c r="AV83" s="420"/>
      <c r="AW83" s="420"/>
      <c r="AX83" s="420"/>
      <c r="AY83" s="412">
        <f t="shared" si="189"/>
        <v>0</v>
      </c>
      <c r="AZ83" s="421"/>
      <c r="BA83" s="420"/>
      <c r="BB83" s="420"/>
      <c r="BC83" s="420"/>
      <c r="BD83" s="420"/>
      <c r="BE83" s="420"/>
      <c r="BF83" s="420"/>
      <c r="BG83" s="420"/>
      <c r="BH83" s="414">
        <f t="shared" si="190"/>
        <v>0</v>
      </c>
      <c r="BI83" s="415">
        <f t="shared" si="191"/>
        <v>0</v>
      </c>
      <c r="BJ83" s="300">
        <v>55</v>
      </c>
      <c r="BK83" s="420"/>
      <c r="BL83" s="420"/>
      <c r="BM83" s="420"/>
      <c r="BN83" s="420"/>
      <c r="BO83" s="420"/>
      <c r="BP83" s="420"/>
      <c r="BQ83" s="420"/>
      <c r="BR83" s="420"/>
      <c r="BS83" s="412">
        <f t="shared" si="192"/>
        <v>0</v>
      </c>
      <c r="BT83" s="421"/>
      <c r="BU83" s="420"/>
      <c r="BV83" s="420"/>
      <c r="BW83" s="420"/>
      <c r="BX83" s="420"/>
      <c r="BY83" s="420"/>
      <c r="BZ83" s="420"/>
      <c r="CA83" s="420"/>
      <c r="CB83" s="414">
        <f t="shared" si="193"/>
        <v>0</v>
      </c>
      <c r="CC83" s="415">
        <f t="shared" si="194"/>
        <v>0</v>
      </c>
      <c r="CD83" s="300">
        <v>55</v>
      </c>
      <c r="CE83" s="414">
        <f t="shared" si="195"/>
        <v>0</v>
      </c>
      <c r="CF83" s="414">
        <f t="shared" si="196"/>
        <v>0</v>
      </c>
      <c r="CG83" s="414">
        <f t="shared" si="197"/>
        <v>0</v>
      </c>
      <c r="CH83" s="414">
        <f t="shared" si="198"/>
        <v>0</v>
      </c>
      <c r="CI83" s="416">
        <f t="shared" si="199"/>
        <v>0</v>
      </c>
      <c r="CJ83" s="414">
        <f t="shared" si="200"/>
        <v>0</v>
      </c>
      <c r="CK83" s="414">
        <f t="shared" si="201"/>
        <v>0</v>
      </c>
      <c r="CL83" s="414">
        <f t="shared" si="202"/>
        <v>0</v>
      </c>
      <c r="CM83" s="414">
        <f t="shared" si="203"/>
        <v>0</v>
      </c>
      <c r="CN83" s="416">
        <f t="shared" si="204"/>
        <v>0</v>
      </c>
      <c r="CO83" s="414">
        <f t="shared" si="205"/>
        <v>0</v>
      </c>
      <c r="CP83" s="414">
        <f t="shared" si="206"/>
        <v>0</v>
      </c>
      <c r="CQ83" s="414">
        <f t="shared" si="207"/>
        <v>0</v>
      </c>
      <c r="CR83" s="414">
        <f t="shared" si="208"/>
        <v>0</v>
      </c>
      <c r="CS83" s="416">
        <f t="shared" si="209"/>
        <v>0</v>
      </c>
    </row>
    <row r="84" spans="1:131" ht="15.75" customHeight="1">
      <c r="A84" s="88" t="s">
        <v>260</v>
      </c>
      <c r="B84" s="300">
        <v>56</v>
      </c>
      <c r="C84" s="420"/>
      <c r="D84" s="420"/>
      <c r="E84" s="420"/>
      <c r="F84" s="420"/>
      <c r="G84" s="420"/>
      <c r="H84" s="420"/>
      <c r="I84" s="420"/>
      <c r="J84" s="420"/>
      <c r="K84" s="412">
        <f t="shared" si="183"/>
        <v>0</v>
      </c>
      <c r="L84" s="421"/>
      <c r="M84" s="420"/>
      <c r="N84" s="420"/>
      <c r="O84" s="420"/>
      <c r="P84" s="420"/>
      <c r="Q84" s="420"/>
      <c r="R84" s="420"/>
      <c r="S84" s="420"/>
      <c r="T84" s="414">
        <f t="shared" si="184"/>
        <v>0</v>
      </c>
      <c r="U84" s="415">
        <f t="shared" si="185"/>
        <v>0</v>
      </c>
      <c r="V84" s="300">
        <v>56</v>
      </c>
      <c r="W84" s="420"/>
      <c r="X84" s="420"/>
      <c r="Y84" s="420"/>
      <c r="Z84" s="420"/>
      <c r="AA84" s="420"/>
      <c r="AB84" s="420"/>
      <c r="AC84" s="420"/>
      <c r="AD84" s="420"/>
      <c r="AE84" s="412">
        <f t="shared" si="186"/>
        <v>0</v>
      </c>
      <c r="AF84" s="421"/>
      <c r="AG84" s="420"/>
      <c r="AH84" s="420"/>
      <c r="AI84" s="420"/>
      <c r="AJ84" s="420"/>
      <c r="AK84" s="420"/>
      <c r="AL84" s="420"/>
      <c r="AM84" s="420"/>
      <c r="AN84" s="414">
        <f t="shared" si="187"/>
        <v>0</v>
      </c>
      <c r="AO84" s="415">
        <f t="shared" si="188"/>
        <v>0</v>
      </c>
      <c r="AP84" s="300">
        <v>56</v>
      </c>
      <c r="AQ84" s="420"/>
      <c r="AR84" s="420"/>
      <c r="AS84" s="420"/>
      <c r="AT84" s="420"/>
      <c r="AU84" s="420"/>
      <c r="AV84" s="420"/>
      <c r="AW84" s="420"/>
      <c r="AX84" s="420"/>
      <c r="AY84" s="412">
        <f t="shared" si="189"/>
        <v>0</v>
      </c>
      <c r="AZ84" s="421"/>
      <c r="BA84" s="420"/>
      <c r="BB84" s="420"/>
      <c r="BC84" s="420"/>
      <c r="BD84" s="420"/>
      <c r="BE84" s="420"/>
      <c r="BF84" s="420"/>
      <c r="BG84" s="420"/>
      <c r="BH84" s="414">
        <f t="shared" si="190"/>
        <v>0</v>
      </c>
      <c r="BI84" s="415">
        <f t="shared" si="191"/>
        <v>0</v>
      </c>
      <c r="BJ84" s="300">
        <v>56</v>
      </c>
      <c r="BK84" s="420"/>
      <c r="BL84" s="420"/>
      <c r="BM84" s="420"/>
      <c r="BN84" s="420"/>
      <c r="BO84" s="420"/>
      <c r="BP84" s="420"/>
      <c r="BQ84" s="420"/>
      <c r="BR84" s="420"/>
      <c r="BS84" s="412">
        <f t="shared" si="192"/>
        <v>0</v>
      </c>
      <c r="BT84" s="421"/>
      <c r="BU84" s="420"/>
      <c r="BV84" s="420"/>
      <c r="BW84" s="420"/>
      <c r="BX84" s="420"/>
      <c r="BY84" s="420"/>
      <c r="BZ84" s="420"/>
      <c r="CA84" s="420"/>
      <c r="CB84" s="414">
        <f t="shared" si="193"/>
        <v>0</v>
      </c>
      <c r="CC84" s="415">
        <f t="shared" si="194"/>
        <v>0</v>
      </c>
      <c r="CD84" s="300">
        <v>56</v>
      </c>
      <c r="CE84" s="414">
        <f t="shared" si="195"/>
        <v>0</v>
      </c>
      <c r="CF84" s="414">
        <f t="shared" si="196"/>
        <v>0</v>
      </c>
      <c r="CG84" s="414">
        <f t="shared" si="197"/>
        <v>0</v>
      </c>
      <c r="CH84" s="414">
        <f t="shared" si="198"/>
        <v>0</v>
      </c>
      <c r="CI84" s="416">
        <f t="shared" si="199"/>
        <v>0</v>
      </c>
      <c r="CJ84" s="414">
        <f t="shared" si="200"/>
        <v>0</v>
      </c>
      <c r="CK84" s="414">
        <f t="shared" si="201"/>
        <v>0</v>
      </c>
      <c r="CL84" s="414">
        <f t="shared" si="202"/>
        <v>0</v>
      </c>
      <c r="CM84" s="414">
        <f t="shared" si="203"/>
        <v>0</v>
      </c>
      <c r="CN84" s="416">
        <f t="shared" si="204"/>
        <v>0</v>
      </c>
      <c r="CO84" s="414">
        <f t="shared" si="205"/>
        <v>0</v>
      </c>
      <c r="CP84" s="414">
        <f t="shared" si="206"/>
        <v>0</v>
      </c>
      <c r="CQ84" s="414">
        <f t="shared" si="207"/>
        <v>0</v>
      </c>
      <c r="CR84" s="414">
        <f t="shared" si="208"/>
        <v>0</v>
      </c>
      <c r="CS84" s="416">
        <f t="shared" si="209"/>
        <v>0</v>
      </c>
    </row>
    <row r="85" spans="1:131" ht="15.75" customHeight="1">
      <c r="A85" s="88" t="s">
        <v>262</v>
      </c>
      <c r="B85" s="300">
        <v>57</v>
      </c>
      <c r="C85" s="420"/>
      <c r="D85" s="420"/>
      <c r="E85" s="420"/>
      <c r="F85" s="420"/>
      <c r="G85" s="420"/>
      <c r="H85" s="420"/>
      <c r="I85" s="420"/>
      <c r="J85" s="420"/>
      <c r="K85" s="412">
        <f t="shared" si="183"/>
        <v>0</v>
      </c>
      <c r="L85" s="421"/>
      <c r="M85" s="420"/>
      <c r="N85" s="420"/>
      <c r="O85" s="420"/>
      <c r="P85" s="420"/>
      <c r="Q85" s="420"/>
      <c r="R85" s="420"/>
      <c r="S85" s="420"/>
      <c r="T85" s="414">
        <f t="shared" si="184"/>
        <v>0</v>
      </c>
      <c r="U85" s="415">
        <f t="shared" si="185"/>
        <v>0</v>
      </c>
      <c r="V85" s="300">
        <v>57</v>
      </c>
      <c r="W85" s="420"/>
      <c r="X85" s="420"/>
      <c r="Y85" s="420"/>
      <c r="Z85" s="420"/>
      <c r="AA85" s="420"/>
      <c r="AB85" s="420"/>
      <c r="AC85" s="420"/>
      <c r="AD85" s="420"/>
      <c r="AE85" s="412">
        <f t="shared" si="186"/>
        <v>0</v>
      </c>
      <c r="AF85" s="421"/>
      <c r="AG85" s="420"/>
      <c r="AH85" s="420"/>
      <c r="AI85" s="420"/>
      <c r="AJ85" s="420"/>
      <c r="AK85" s="420"/>
      <c r="AL85" s="420"/>
      <c r="AM85" s="420"/>
      <c r="AN85" s="414">
        <f t="shared" si="187"/>
        <v>0</v>
      </c>
      <c r="AO85" s="415">
        <f t="shared" si="188"/>
        <v>0</v>
      </c>
      <c r="AP85" s="300">
        <v>57</v>
      </c>
      <c r="AQ85" s="420"/>
      <c r="AR85" s="420"/>
      <c r="AS85" s="420"/>
      <c r="AT85" s="420"/>
      <c r="AU85" s="420"/>
      <c r="AV85" s="420"/>
      <c r="AW85" s="420"/>
      <c r="AX85" s="420"/>
      <c r="AY85" s="412">
        <f t="shared" si="189"/>
        <v>0</v>
      </c>
      <c r="AZ85" s="421"/>
      <c r="BA85" s="420"/>
      <c r="BB85" s="420"/>
      <c r="BC85" s="420"/>
      <c r="BD85" s="420"/>
      <c r="BE85" s="420"/>
      <c r="BF85" s="420"/>
      <c r="BG85" s="420"/>
      <c r="BH85" s="414">
        <f t="shared" si="190"/>
        <v>0</v>
      </c>
      <c r="BI85" s="415">
        <f t="shared" si="191"/>
        <v>0</v>
      </c>
      <c r="BJ85" s="300">
        <v>57</v>
      </c>
      <c r="BK85" s="420"/>
      <c r="BL85" s="420"/>
      <c r="BM85" s="420"/>
      <c r="BN85" s="420"/>
      <c r="BO85" s="420"/>
      <c r="BP85" s="420"/>
      <c r="BQ85" s="420"/>
      <c r="BR85" s="420"/>
      <c r="BS85" s="412">
        <f t="shared" si="192"/>
        <v>0</v>
      </c>
      <c r="BT85" s="421"/>
      <c r="BU85" s="420"/>
      <c r="BV85" s="420"/>
      <c r="BW85" s="420"/>
      <c r="BX85" s="420"/>
      <c r="BY85" s="420"/>
      <c r="BZ85" s="420"/>
      <c r="CA85" s="420"/>
      <c r="CB85" s="414">
        <f t="shared" si="193"/>
        <v>0</v>
      </c>
      <c r="CC85" s="415">
        <f t="shared" si="194"/>
        <v>0</v>
      </c>
      <c r="CD85" s="300">
        <v>57</v>
      </c>
      <c r="CE85" s="414">
        <f t="shared" si="195"/>
        <v>0</v>
      </c>
      <c r="CF85" s="414">
        <f t="shared" si="196"/>
        <v>0</v>
      </c>
      <c r="CG85" s="414">
        <f t="shared" si="197"/>
        <v>0</v>
      </c>
      <c r="CH85" s="414">
        <f t="shared" si="198"/>
        <v>0</v>
      </c>
      <c r="CI85" s="416">
        <f t="shared" si="199"/>
        <v>0</v>
      </c>
      <c r="CJ85" s="414">
        <f t="shared" si="200"/>
        <v>0</v>
      </c>
      <c r="CK85" s="414">
        <f t="shared" si="201"/>
        <v>0</v>
      </c>
      <c r="CL85" s="414">
        <f t="shared" si="202"/>
        <v>0</v>
      </c>
      <c r="CM85" s="414">
        <f t="shared" si="203"/>
        <v>0</v>
      </c>
      <c r="CN85" s="416">
        <f t="shared" si="204"/>
        <v>0</v>
      </c>
      <c r="CO85" s="414">
        <f t="shared" si="205"/>
        <v>0</v>
      </c>
      <c r="CP85" s="414">
        <f t="shared" si="206"/>
        <v>0</v>
      </c>
      <c r="CQ85" s="414">
        <f t="shared" si="207"/>
        <v>0</v>
      </c>
      <c r="CR85" s="414">
        <f t="shared" si="208"/>
        <v>0</v>
      </c>
      <c r="CS85" s="416">
        <f t="shared" si="209"/>
        <v>0</v>
      </c>
    </row>
    <row r="86" spans="1:131" ht="15.75" customHeight="1">
      <c r="A86" s="88" t="s">
        <v>264</v>
      </c>
      <c r="B86" s="300">
        <v>58</v>
      </c>
      <c r="C86" s="420">
        <v>56187.232326429992</v>
      </c>
      <c r="D86" s="420">
        <v>106626.17079179277</v>
      </c>
      <c r="E86" s="420">
        <v>33876.412331806554</v>
      </c>
      <c r="F86" s="420">
        <v>64982.598895374678</v>
      </c>
      <c r="G86" s="420">
        <v>36886.331781421286</v>
      </c>
      <c r="H86" s="420">
        <v>72843.232446337002</v>
      </c>
      <c r="I86" s="420">
        <v>37309.940769251683</v>
      </c>
      <c r="J86" s="420">
        <v>70851.914316211667</v>
      </c>
      <c r="K86" s="412">
        <f t="shared" si="183"/>
        <v>479563.8336586256</v>
      </c>
      <c r="L86" s="421">
        <v>0</v>
      </c>
      <c r="M86" s="420">
        <v>244451.1537775138</v>
      </c>
      <c r="N86" s="420">
        <v>0</v>
      </c>
      <c r="O86" s="420">
        <v>129421.12430986526</v>
      </c>
      <c r="P86" s="420">
        <v>0</v>
      </c>
      <c r="Q86" s="420">
        <v>152788.53762867494</v>
      </c>
      <c r="R86" s="420">
        <v>0</v>
      </c>
      <c r="S86" s="420">
        <v>147933.67898107966</v>
      </c>
      <c r="T86" s="414">
        <f t="shared" si="184"/>
        <v>674594.49469713378</v>
      </c>
      <c r="U86" s="415">
        <f t="shared" si="185"/>
        <v>1154158.3283557594</v>
      </c>
      <c r="V86" s="300">
        <v>58</v>
      </c>
      <c r="W86" s="420">
        <v>8592.5330653210785</v>
      </c>
      <c r="X86" s="420">
        <v>48573.337097174153</v>
      </c>
      <c r="Y86" s="420">
        <v>5251.8707489002891</v>
      </c>
      <c r="Z86" s="420">
        <v>27220.931782285505</v>
      </c>
      <c r="AA86" s="420">
        <v>5245.824249971809</v>
      </c>
      <c r="AB86" s="420">
        <v>29786.554633489341</v>
      </c>
      <c r="AC86" s="420">
        <v>5408.558392755619</v>
      </c>
      <c r="AD86" s="420">
        <v>29361.108314829253</v>
      </c>
      <c r="AE86" s="412">
        <f t="shared" si="186"/>
        <v>159440.71828472705</v>
      </c>
      <c r="AF86" s="421">
        <v>0</v>
      </c>
      <c r="AG86" s="420">
        <v>73748.37067621552</v>
      </c>
      <c r="AH86" s="420">
        <v>0</v>
      </c>
      <c r="AI86" s="420">
        <v>35186.307182915989</v>
      </c>
      <c r="AJ86" s="420">
        <v>0</v>
      </c>
      <c r="AK86" s="420">
        <v>40348.225848554917</v>
      </c>
      <c r="AL86" s="420">
        <v>0</v>
      </c>
      <c r="AM86" s="420">
        <v>38775.718032448203</v>
      </c>
      <c r="AN86" s="414">
        <f t="shared" si="187"/>
        <v>188058.62174013464</v>
      </c>
      <c r="AO86" s="415">
        <f t="shared" si="188"/>
        <v>347499.34002486168</v>
      </c>
      <c r="AP86" s="300">
        <v>58</v>
      </c>
      <c r="AQ86" s="420">
        <v>934165.23243589408</v>
      </c>
      <c r="AR86" s="420">
        <v>2107826.8307828312</v>
      </c>
      <c r="AS86" s="420">
        <v>587934.4499822245</v>
      </c>
      <c r="AT86" s="420">
        <v>1310194.494035803</v>
      </c>
      <c r="AU86" s="420">
        <v>665163.78185665805</v>
      </c>
      <c r="AV86" s="420">
        <v>1477691.4491770614</v>
      </c>
      <c r="AW86" s="420">
        <v>697042.34977494681</v>
      </c>
      <c r="AX86" s="420">
        <v>1489756.799236834</v>
      </c>
      <c r="AY86" s="412">
        <f t="shared" si="189"/>
        <v>9269775.3872822523</v>
      </c>
      <c r="AZ86" s="421">
        <v>0</v>
      </c>
      <c r="BA86" s="420">
        <v>1819560.4142654021</v>
      </c>
      <c r="BB86" s="420">
        <v>0</v>
      </c>
      <c r="BC86" s="420">
        <v>884071.50377240009</v>
      </c>
      <c r="BD86" s="420">
        <v>0</v>
      </c>
      <c r="BE86" s="420">
        <v>1087502.2022047713</v>
      </c>
      <c r="BF86" s="420">
        <v>0</v>
      </c>
      <c r="BG86" s="420">
        <v>1067219.3651483906</v>
      </c>
      <c r="BH86" s="414">
        <f t="shared" si="190"/>
        <v>4858353.485390964</v>
      </c>
      <c r="BI86" s="415">
        <f t="shared" si="191"/>
        <v>14128128.872673217</v>
      </c>
      <c r="BJ86" s="300">
        <v>58</v>
      </c>
      <c r="BK86" s="420">
        <v>19518.377749406845</v>
      </c>
      <c r="BL86" s="420">
        <v>200637.54793851805</v>
      </c>
      <c r="BM86" s="420">
        <v>11206.10567934292</v>
      </c>
      <c r="BN86" s="420">
        <v>113089.82180973074</v>
      </c>
      <c r="BO86" s="420">
        <v>11060.461381004434</v>
      </c>
      <c r="BP86" s="420">
        <v>117781.44431362413</v>
      </c>
      <c r="BQ86" s="420">
        <v>11984.861331096543</v>
      </c>
      <c r="BR86" s="420">
        <v>121153.05615972921</v>
      </c>
      <c r="BS86" s="412">
        <f t="shared" si="192"/>
        <v>606431.67636245291</v>
      </c>
      <c r="BT86" s="421">
        <v>0</v>
      </c>
      <c r="BU86" s="420">
        <v>67703.531125391615</v>
      </c>
      <c r="BV86" s="420">
        <v>0</v>
      </c>
      <c r="BW86" s="420">
        <v>34204.747736859652</v>
      </c>
      <c r="BX86" s="420">
        <v>0</v>
      </c>
      <c r="BY86" s="420">
        <v>40524.602451019127</v>
      </c>
      <c r="BZ86" s="420">
        <v>0</v>
      </c>
      <c r="CA86" s="420">
        <v>45088.171810181913</v>
      </c>
      <c r="CB86" s="414">
        <f t="shared" si="193"/>
        <v>187521.05312345229</v>
      </c>
      <c r="CC86" s="415">
        <f t="shared" si="194"/>
        <v>793952.72948590526</v>
      </c>
      <c r="CD86" s="300">
        <v>58</v>
      </c>
      <c r="CE86" s="414">
        <f t="shared" si="195"/>
        <v>3482127.2621873682</v>
      </c>
      <c r="CF86" s="414">
        <f t="shared" si="196"/>
        <v>2153756.6852654684</v>
      </c>
      <c r="CG86" s="414">
        <f t="shared" si="197"/>
        <v>2416459.0798395677</v>
      </c>
      <c r="CH86" s="414">
        <f t="shared" si="198"/>
        <v>2462868.5882956549</v>
      </c>
      <c r="CI86" s="416">
        <f t="shared" si="199"/>
        <v>10515211.615588058</v>
      </c>
      <c r="CJ86" s="414">
        <f t="shared" si="200"/>
        <v>2205463.4698445234</v>
      </c>
      <c r="CK86" s="414">
        <f t="shared" si="201"/>
        <v>1082883.683002041</v>
      </c>
      <c r="CL86" s="414">
        <f t="shared" si="202"/>
        <v>1321163.5681330205</v>
      </c>
      <c r="CM86" s="414">
        <f t="shared" si="203"/>
        <v>1299016.9339721003</v>
      </c>
      <c r="CN86" s="416">
        <f t="shared" si="204"/>
        <v>5908527.6549516851</v>
      </c>
      <c r="CO86" s="414">
        <f t="shared" si="205"/>
        <v>5687590.7320318911</v>
      </c>
      <c r="CP86" s="414">
        <f t="shared" si="206"/>
        <v>3236640.3682675096</v>
      </c>
      <c r="CQ86" s="414">
        <f t="shared" si="207"/>
        <v>3737622.647972588</v>
      </c>
      <c r="CR86" s="414">
        <f t="shared" si="208"/>
        <v>3761885.5222677547</v>
      </c>
      <c r="CS86" s="416">
        <f t="shared" si="209"/>
        <v>16423739.270539744</v>
      </c>
    </row>
    <row r="87" spans="1:131" ht="15.75" customHeight="1">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t="s">
        <v>1315</v>
      </c>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t="s">
        <v>1315</v>
      </c>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t="s">
        <v>1315</v>
      </c>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t="s">
        <v>1315</v>
      </c>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131" s="14" customFormat="1" ht="15.75" customHeight="1">
      <c r="A88" s="16" t="s">
        <v>266</v>
      </c>
      <c r="B88" s="300">
        <v>59</v>
      </c>
      <c r="C88" s="216">
        <f t="shared" ref="C88:U88" si="210">SUM(C76:C86)</f>
        <v>104079.65710090293</v>
      </c>
      <c r="D88" s="216">
        <f t="shared" si="210"/>
        <v>197511.33548487455</v>
      </c>
      <c r="E88" s="216">
        <f t="shared" si="210"/>
        <v>119109.6786599484</v>
      </c>
      <c r="F88" s="216">
        <f t="shared" si="210"/>
        <v>228479.22610887751</v>
      </c>
      <c r="G88" s="216">
        <f t="shared" si="210"/>
        <v>119109.72504760354</v>
      </c>
      <c r="H88" s="216">
        <f t="shared" si="210"/>
        <v>235218.2222855764</v>
      </c>
      <c r="I88" s="216">
        <f t="shared" si="210"/>
        <v>126613.18075575899</v>
      </c>
      <c r="J88" s="216">
        <f t="shared" si="210"/>
        <v>240439.5731875074</v>
      </c>
      <c r="K88" s="221">
        <f t="shared" si="210"/>
        <v>1370560.59863105</v>
      </c>
      <c r="L88" s="218">
        <f t="shared" si="210"/>
        <v>0</v>
      </c>
      <c r="M88" s="216">
        <f t="shared" si="210"/>
        <v>452814.47776732454</v>
      </c>
      <c r="N88" s="216">
        <f t="shared" si="210"/>
        <v>0</v>
      </c>
      <c r="O88" s="216">
        <f t="shared" si="210"/>
        <v>455045.48643965647</v>
      </c>
      <c r="P88" s="216">
        <f t="shared" si="210"/>
        <v>0</v>
      </c>
      <c r="Q88" s="216">
        <f t="shared" si="210"/>
        <v>493369.76133102714</v>
      </c>
      <c r="R88" s="216">
        <f t="shared" si="210"/>
        <v>0</v>
      </c>
      <c r="S88" s="216">
        <f t="shared" si="210"/>
        <v>502020.46024506551</v>
      </c>
      <c r="T88" s="219">
        <f t="shared" si="210"/>
        <v>1903250.1857830738</v>
      </c>
      <c r="U88" s="220">
        <f t="shared" si="210"/>
        <v>3273810.7844141237</v>
      </c>
      <c r="V88" s="300">
        <v>59</v>
      </c>
      <c r="W88" s="216">
        <f t="shared" ref="W88:AO88" si="211">SUM(W76:W86)</f>
        <v>15916.567840023568</v>
      </c>
      <c r="X88" s="216">
        <f t="shared" si="211"/>
        <v>89975.890607133391</v>
      </c>
      <c r="Y88" s="216">
        <f t="shared" si="211"/>
        <v>18465.610559290795</v>
      </c>
      <c r="Z88" s="216">
        <f t="shared" si="211"/>
        <v>95708.967220481936</v>
      </c>
      <c r="AA88" s="216">
        <f t="shared" si="211"/>
        <v>16939.301196030116</v>
      </c>
      <c r="AB88" s="216">
        <f t="shared" si="211"/>
        <v>96183.820975587179</v>
      </c>
      <c r="AC88" s="216">
        <f t="shared" si="211"/>
        <v>18354.217865025556</v>
      </c>
      <c r="AD88" s="216">
        <f t="shared" si="211"/>
        <v>99638.413720522658</v>
      </c>
      <c r="AE88" s="221">
        <f t="shared" si="211"/>
        <v>451182.78998409514</v>
      </c>
      <c r="AF88" s="218">
        <f t="shared" si="211"/>
        <v>0</v>
      </c>
      <c r="AG88" s="216">
        <f t="shared" si="211"/>
        <v>136609.41843758</v>
      </c>
      <c r="AH88" s="216">
        <f t="shared" si="211"/>
        <v>0</v>
      </c>
      <c r="AI88" s="216">
        <f t="shared" si="211"/>
        <v>123715.27718867683</v>
      </c>
      <c r="AJ88" s="216">
        <f t="shared" si="211"/>
        <v>0</v>
      </c>
      <c r="AK88" s="216">
        <f t="shared" si="211"/>
        <v>130288.53385200474</v>
      </c>
      <c r="AL88" s="216">
        <f t="shared" si="211"/>
        <v>0</v>
      </c>
      <c r="AM88" s="216">
        <f t="shared" si="211"/>
        <v>131587.37041530761</v>
      </c>
      <c r="AN88" s="219">
        <f t="shared" si="211"/>
        <v>522200.59989356925</v>
      </c>
      <c r="AO88" s="220">
        <f t="shared" si="211"/>
        <v>973383.38987766439</v>
      </c>
      <c r="AP88" s="300">
        <v>59</v>
      </c>
      <c r="AQ88" s="216">
        <f t="shared" ref="AQ88:BI88" si="212">SUM(AQ76:AQ86)</f>
        <v>1730421.5395884186</v>
      </c>
      <c r="AR88" s="216">
        <f t="shared" si="212"/>
        <v>3904479.4465301447</v>
      </c>
      <c r="AS88" s="216">
        <f t="shared" si="212"/>
        <v>2067181.2210983855</v>
      </c>
      <c r="AT88" s="216">
        <f t="shared" si="212"/>
        <v>4606652.0751406858</v>
      </c>
      <c r="AU88" s="216">
        <f t="shared" si="212"/>
        <v>2147881.6499849292</v>
      </c>
      <c r="AV88" s="216">
        <f t="shared" si="212"/>
        <v>4771616.306540004</v>
      </c>
      <c r="AW88" s="216">
        <f t="shared" si="212"/>
        <v>2365448.6500607878</v>
      </c>
      <c r="AX88" s="216">
        <f t="shared" si="212"/>
        <v>5055565.434168268</v>
      </c>
      <c r="AY88" s="221">
        <f t="shared" si="212"/>
        <v>26649246.323111624</v>
      </c>
      <c r="AZ88" s="218">
        <f t="shared" si="212"/>
        <v>0</v>
      </c>
      <c r="BA88" s="216">
        <f t="shared" si="212"/>
        <v>3370502.8019690798</v>
      </c>
      <c r="BB88" s="216">
        <f t="shared" si="212"/>
        <v>0</v>
      </c>
      <c r="BC88" s="216">
        <f t="shared" si="212"/>
        <v>3108400.9633416943</v>
      </c>
      <c r="BD88" s="216">
        <f t="shared" si="212"/>
        <v>0</v>
      </c>
      <c r="BE88" s="216">
        <f t="shared" si="212"/>
        <v>3511655.4571174714</v>
      </c>
      <c r="BF88" s="216">
        <f t="shared" si="212"/>
        <v>0</v>
      </c>
      <c r="BG88" s="216">
        <f t="shared" si="212"/>
        <v>3621663.1707156068</v>
      </c>
      <c r="BH88" s="219">
        <f t="shared" si="212"/>
        <v>13612222.393143851</v>
      </c>
      <c r="BI88" s="220">
        <f t="shared" si="212"/>
        <v>40261468.716255471</v>
      </c>
      <c r="BJ88" s="300">
        <v>59</v>
      </c>
      <c r="BK88" s="216">
        <f t="shared" ref="BK88:CC88" si="213">SUM(BK76:BK86)</f>
        <v>36155.296839004004</v>
      </c>
      <c r="BL88" s="216">
        <f t="shared" si="213"/>
        <v>371655.38017048908</v>
      </c>
      <c r="BM88" s="216">
        <f t="shared" si="213"/>
        <v>39400.737994995899</v>
      </c>
      <c r="BN88" s="216">
        <f t="shared" si="213"/>
        <v>397624.5242127009</v>
      </c>
      <c r="BO88" s="216">
        <f t="shared" si="213"/>
        <v>35715.357162585111</v>
      </c>
      <c r="BP88" s="216">
        <f t="shared" si="213"/>
        <v>380328.28883709735</v>
      </c>
      <c r="BQ88" s="216">
        <f t="shared" si="213"/>
        <v>40671.236211058393</v>
      </c>
      <c r="BR88" s="216">
        <f t="shared" si="213"/>
        <v>411139.05523286836</v>
      </c>
      <c r="BS88" s="221">
        <f t="shared" si="213"/>
        <v>1712689.8766607991</v>
      </c>
      <c r="BT88" s="218">
        <f t="shared" si="213"/>
        <v>0</v>
      </c>
      <c r="BU88" s="216">
        <f t="shared" si="213"/>
        <v>125412.12678198473</v>
      </c>
      <c r="BV88" s="216">
        <f t="shared" si="213"/>
        <v>0</v>
      </c>
      <c r="BW88" s="216">
        <f t="shared" si="213"/>
        <v>120264.10800758743</v>
      </c>
      <c r="BX88" s="216">
        <f t="shared" si="213"/>
        <v>0</v>
      </c>
      <c r="BY88" s="216">
        <f t="shared" si="213"/>
        <v>130858.07187895826</v>
      </c>
      <c r="BZ88" s="216">
        <f t="shared" si="213"/>
        <v>0</v>
      </c>
      <c r="CA88" s="216">
        <f t="shared" si="213"/>
        <v>153009.00322130905</v>
      </c>
      <c r="CB88" s="219">
        <f t="shared" si="213"/>
        <v>529543.3098898395</v>
      </c>
      <c r="CC88" s="220">
        <f t="shared" si="213"/>
        <v>2242233.1865506386</v>
      </c>
      <c r="CD88" s="300">
        <v>59</v>
      </c>
      <c r="CE88" s="219">
        <f t="shared" ref="CE88:CH88" si="214">SUM(CE76:CE86)</f>
        <v>6450195.1141609903</v>
      </c>
      <c r="CF88" s="219">
        <f t="shared" si="214"/>
        <v>7572622.0409953669</v>
      </c>
      <c r="CG88" s="219">
        <f t="shared" si="214"/>
        <v>7802992.6720294124</v>
      </c>
      <c r="CH88" s="219">
        <f t="shared" si="214"/>
        <v>8357869.7612017971</v>
      </c>
      <c r="CI88" s="216">
        <f>SUM(CI76:CI86)</f>
        <v>30183679.588387568</v>
      </c>
      <c r="CJ88" s="219">
        <f t="shared" ref="CJ88:CM88" si="215">SUM(CJ76:CJ86)</f>
        <v>4085338.8249559691</v>
      </c>
      <c r="CK88" s="219">
        <f t="shared" si="215"/>
        <v>3807425.8349776147</v>
      </c>
      <c r="CL88" s="219">
        <f t="shared" si="215"/>
        <v>4266171.8241794612</v>
      </c>
      <c r="CM88" s="219">
        <f t="shared" si="215"/>
        <v>4408280.0045972895</v>
      </c>
      <c r="CN88" s="216">
        <f>SUM(CN76:CN86)</f>
        <v>16567216.488710333</v>
      </c>
      <c r="CO88" s="219">
        <f t="shared" ref="CO88:CR88" si="216">SUM(CO76:CO86)</f>
        <v>10535533.939116959</v>
      </c>
      <c r="CP88" s="219">
        <f t="shared" si="216"/>
        <v>11380047.875972982</v>
      </c>
      <c r="CQ88" s="219">
        <f t="shared" si="216"/>
        <v>12069164.496208873</v>
      </c>
      <c r="CR88" s="219">
        <f t="shared" si="216"/>
        <v>12766149.765799085</v>
      </c>
      <c r="CS88" s="216">
        <f>SUM(CS76:CS86)</f>
        <v>46750896.0770979</v>
      </c>
      <c r="CT88" s="318"/>
      <c r="CU88" s="318"/>
      <c r="CV88" s="318"/>
      <c r="CW88" s="318"/>
      <c r="CX88" s="318"/>
      <c r="CY88" s="318"/>
      <c r="CZ88" s="318"/>
      <c r="DA88" s="318"/>
      <c r="DB88" s="318"/>
      <c r="DC88" s="318"/>
      <c r="DD88" s="318"/>
      <c r="DE88" s="318"/>
      <c r="DF88" s="318"/>
      <c r="DG88" s="318"/>
      <c r="DH88" s="318"/>
      <c r="DI88" s="318"/>
      <c r="DJ88" s="318"/>
      <c r="DK88" s="318"/>
      <c r="DL88" s="318"/>
      <c r="DM88" s="318"/>
      <c r="DN88" s="318"/>
      <c r="DO88" s="318"/>
      <c r="DP88" s="318"/>
      <c r="DQ88" s="318"/>
      <c r="DR88" s="318"/>
      <c r="DS88" s="318"/>
      <c r="DT88" s="318"/>
      <c r="DU88" s="318"/>
      <c r="DV88" s="318"/>
      <c r="DW88" s="318"/>
      <c r="DX88" s="318"/>
      <c r="DY88" s="318"/>
      <c r="DZ88" s="318"/>
      <c r="EA88" s="318"/>
    </row>
    <row r="89" spans="1:131" ht="15.75" customHeight="1">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t="s">
        <v>1315</v>
      </c>
      <c r="U89" s="422"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t="s">
        <v>1315</v>
      </c>
      <c r="AO89" s="422"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t="s">
        <v>1315</v>
      </c>
      <c r="BI89" s="422"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t="s">
        <v>1315</v>
      </c>
      <c r="CC89" s="422" t="s">
        <v>1315</v>
      </c>
      <c r="CD89" s="300"/>
      <c r="CE89" s="380" t="s">
        <v>1315</v>
      </c>
      <c r="CF89" s="380"/>
      <c r="CG89" s="380"/>
      <c r="CH89" s="380"/>
      <c r="CI89" s="187"/>
      <c r="CJ89" s="380" t="s">
        <v>1315</v>
      </c>
      <c r="CK89" s="380"/>
      <c r="CL89" s="380"/>
      <c r="CM89" s="380"/>
      <c r="CN89" s="187"/>
      <c r="CO89" s="380" t="s">
        <v>1315</v>
      </c>
      <c r="CP89" s="380"/>
      <c r="CQ89" s="380"/>
      <c r="CR89" s="380"/>
      <c r="CS89" s="187"/>
    </row>
    <row r="90" spans="1:131" s="14" customFormat="1" ht="15.75" customHeight="1">
      <c r="A90" s="16" t="s">
        <v>268</v>
      </c>
      <c r="B90" s="300">
        <v>60</v>
      </c>
      <c r="C90" s="216">
        <f t="shared" ref="C90:U90" si="217">C88+C66+C73-C70</f>
        <v>1515891.8872996517</v>
      </c>
      <c r="D90" s="216">
        <f t="shared" si="217"/>
        <v>3434944.8902778476</v>
      </c>
      <c r="E90" s="216">
        <f t="shared" si="217"/>
        <v>2758736.9996732404</v>
      </c>
      <c r="F90" s="216">
        <f t="shared" si="217"/>
        <v>5831238.3920842335</v>
      </c>
      <c r="G90" s="216">
        <f t="shared" si="217"/>
        <v>2616110.3279839153</v>
      </c>
      <c r="H90" s="216">
        <f t="shared" si="217"/>
        <v>5268412.0775215896</v>
      </c>
      <c r="I90" s="216">
        <f t="shared" si="217"/>
        <v>2115886.5225586775</v>
      </c>
      <c r="J90" s="216">
        <f t="shared" si="217"/>
        <v>3800550.7917885291</v>
      </c>
      <c r="K90" s="221">
        <f t="shared" si="217"/>
        <v>27341771.889187679</v>
      </c>
      <c r="L90" s="218">
        <f t="shared" si="217"/>
        <v>0</v>
      </c>
      <c r="M90" s="216">
        <f t="shared" si="217"/>
        <v>4740398.4940106915</v>
      </c>
      <c r="N90" s="216">
        <f t="shared" si="217"/>
        <v>0</v>
      </c>
      <c r="O90" s="216">
        <f t="shared" si="217"/>
        <v>8758038.6530768052</v>
      </c>
      <c r="P90" s="216">
        <f t="shared" si="217"/>
        <v>0</v>
      </c>
      <c r="Q90" s="216">
        <f t="shared" si="217"/>
        <v>7951492.3239791887</v>
      </c>
      <c r="R90" s="216">
        <f t="shared" si="217"/>
        <v>0</v>
      </c>
      <c r="S90" s="216">
        <f t="shared" si="217"/>
        <v>6995187.3850555848</v>
      </c>
      <c r="T90" s="219">
        <f t="shared" si="217"/>
        <v>28445116.856122263</v>
      </c>
      <c r="U90" s="220">
        <f t="shared" si="217"/>
        <v>55786888.745309956</v>
      </c>
      <c r="V90" s="300">
        <v>60</v>
      </c>
      <c r="W90" s="216">
        <f t="shared" ref="W90:AO90" si="218">W88+W66+W73-W70</f>
        <v>195915.70674475995</v>
      </c>
      <c r="X90" s="216">
        <f t="shared" si="218"/>
        <v>750484.82845957438</v>
      </c>
      <c r="Y90" s="216">
        <f t="shared" si="218"/>
        <v>126381.4399434697</v>
      </c>
      <c r="Z90" s="216">
        <f t="shared" si="218"/>
        <v>661320.95631724712</v>
      </c>
      <c r="AA90" s="216">
        <f t="shared" si="218"/>
        <v>143705.28824947737</v>
      </c>
      <c r="AB90" s="216">
        <f t="shared" si="218"/>
        <v>658286.98667070759</v>
      </c>
      <c r="AC90" s="216">
        <f t="shared" si="218"/>
        <v>230787.90651249114</v>
      </c>
      <c r="AD90" s="216">
        <f t="shared" si="218"/>
        <v>585618.5543019321</v>
      </c>
      <c r="AE90" s="221">
        <f t="shared" si="218"/>
        <v>3352501.6671996596</v>
      </c>
      <c r="AF90" s="218">
        <f t="shared" si="218"/>
        <v>0</v>
      </c>
      <c r="AG90" s="216">
        <f t="shared" si="218"/>
        <v>1677654.4075974664</v>
      </c>
      <c r="AH90" s="216">
        <f t="shared" si="218"/>
        <v>0</v>
      </c>
      <c r="AI90" s="216">
        <f t="shared" si="218"/>
        <v>1475202.6588981233</v>
      </c>
      <c r="AJ90" s="216">
        <f t="shared" si="218"/>
        <v>0</v>
      </c>
      <c r="AK90" s="216">
        <f t="shared" si="218"/>
        <v>1521981.5766819844</v>
      </c>
      <c r="AL90" s="216">
        <f t="shared" si="218"/>
        <v>0</v>
      </c>
      <c r="AM90" s="216">
        <f t="shared" si="218"/>
        <v>1783815.5290222538</v>
      </c>
      <c r="AN90" s="219">
        <f t="shared" si="218"/>
        <v>6458654.1721998267</v>
      </c>
      <c r="AO90" s="220">
        <f t="shared" si="218"/>
        <v>9811155.8393994905</v>
      </c>
      <c r="AP90" s="300">
        <v>60</v>
      </c>
      <c r="AQ90" s="216">
        <f t="shared" ref="AQ90:BI90" si="219">AQ88+AQ66+AQ73-AQ70</f>
        <v>20198778.909677118</v>
      </c>
      <c r="AR90" s="216">
        <f t="shared" si="219"/>
        <v>44559940.5473314</v>
      </c>
      <c r="AS90" s="216">
        <f t="shared" si="219"/>
        <v>19939533.917168606</v>
      </c>
      <c r="AT90" s="216">
        <f t="shared" si="219"/>
        <v>45213345.951543726</v>
      </c>
      <c r="AU90" s="216">
        <f t="shared" si="219"/>
        <v>22303293.499119986</v>
      </c>
      <c r="AV90" s="216">
        <f t="shared" si="219"/>
        <v>48822028.551368028</v>
      </c>
      <c r="AW90" s="216">
        <f t="shared" si="219"/>
        <v>25695641.215663612</v>
      </c>
      <c r="AX90" s="216">
        <f t="shared" si="219"/>
        <v>51744728.862182684</v>
      </c>
      <c r="AY90" s="221">
        <f t="shared" si="219"/>
        <v>278477291.45405513</v>
      </c>
      <c r="AZ90" s="218">
        <f t="shared" si="219"/>
        <v>0</v>
      </c>
      <c r="BA90" s="216">
        <f t="shared" si="219"/>
        <v>34902849.698560141</v>
      </c>
      <c r="BB90" s="216">
        <f t="shared" si="219"/>
        <v>0</v>
      </c>
      <c r="BC90" s="216">
        <f t="shared" si="219"/>
        <v>34205705.420306846</v>
      </c>
      <c r="BD90" s="216">
        <f t="shared" si="219"/>
        <v>0</v>
      </c>
      <c r="BE90" s="216">
        <f t="shared" si="219"/>
        <v>37628333.748785317</v>
      </c>
      <c r="BF90" s="216">
        <f t="shared" si="219"/>
        <v>0</v>
      </c>
      <c r="BG90" s="216">
        <f t="shared" si="219"/>
        <v>41345261.707562424</v>
      </c>
      <c r="BH90" s="219">
        <f t="shared" si="219"/>
        <v>148082150.57521483</v>
      </c>
      <c r="BI90" s="220">
        <f t="shared" si="219"/>
        <v>426559442.02926993</v>
      </c>
      <c r="BJ90" s="300">
        <v>60</v>
      </c>
      <c r="BK90" s="216">
        <f t="shared" ref="BK90:CC90" si="220">BK88+BK66+BK73-BK70</f>
        <v>594912.93963779649</v>
      </c>
      <c r="BL90" s="216">
        <f t="shared" si="220"/>
        <v>5016988.8763272604</v>
      </c>
      <c r="BM90" s="216">
        <f t="shared" si="220"/>
        <v>521737.17981299531</v>
      </c>
      <c r="BN90" s="216">
        <f t="shared" si="220"/>
        <v>4187346.0855606701</v>
      </c>
      <c r="BO90" s="216">
        <f t="shared" si="220"/>
        <v>557819.90099609876</v>
      </c>
      <c r="BP90" s="216">
        <f t="shared" si="220"/>
        <v>4767265.4095497206</v>
      </c>
      <c r="BQ90" s="216">
        <f t="shared" si="220"/>
        <v>731879.63420599548</v>
      </c>
      <c r="BR90" s="216">
        <f t="shared" si="220"/>
        <v>5016405.2091921959</v>
      </c>
      <c r="BS90" s="221">
        <f t="shared" si="220"/>
        <v>21394355.23528273</v>
      </c>
      <c r="BT90" s="218">
        <f t="shared" si="220"/>
        <v>0</v>
      </c>
      <c r="BU90" s="216">
        <f t="shared" si="220"/>
        <v>1731173.0266403463</v>
      </c>
      <c r="BV90" s="216">
        <f t="shared" si="220"/>
        <v>0</v>
      </c>
      <c r="BW90" s="216">
        <f t="shared" si="220"/>
        <v>2407515.8287166408</v>
      </c>
      <c r="BX90" s="216">
        <f t="shared" si="220"/>
        <v>0</v>
      </c>
      <c r="BY90" s="216">
        <f t="shared" si="220"/>
        <v>2183943.0664279447</v>
      </c>
      <c r="BZ90" s="216">
        <f t="shared" si="220"/>
        <v>0</v>
      </c>
      <c r="CA90" s="216">
        <f t="shared" si="220"/>
        <v>2178765.4054083792</v>
      </c>
      <c r="CB90" s="219">
        <f t="shared" si="220"/>
        <v>8501397.3271933105</v>
      </c>
      <c r="CC90" s="220">
        <f t="shared" si="220"/>
        <v>29895752.562476039</v>
      </c>
      <c r="CD90" s="300">
        <v>60</v>
      </c>
      <c r="CE90" s="219">
        <f t="shared" ref="CE90:CS90" si="221">CE88+CE66+CE73-CE70</f>
        <v>76267858.585755393</v>
      </c>
      <c r="CF90" s="219">
        <f t="shared" si="221"/>
        <v>79239640.92210415</v>
      </c>
      <c r="CG90" s="219">
        <f t="shared" si="221"/>
        <v>85136922.041459531</v>
      </c>
      <c r="CH90" s="219">
        <f t="shared" si="221"/>
        <v>89921498.696406126</v>
      </c>
      <c r="CI90" s="216">
        <f t="shared" si="221"/>
        <v>330565920.24572521</v>
      </c>
      <c r="CJ90" s="219">
        <f t="shared" si="221"/>
        <v>43052075.626808658</v>
      </c>
      <c r="CK90" s="219">
        <f t="shared" si="221"/>
        <v>46846462.560998425</v>
      </c>
      <c r="CL90" s="219">
        <f t="shared" si="221"/>
        <v>49285750.715874441</v>
      </c>
      <c r="CM90" s="219">
        <f t="shared" si="221"/>
        <v>52303030.027048625</v>
      </c>
      <c r="CN90" s="216">
        <f t="shared" si="221"/>
        <v>16567216.488710333</v>
      </c>
      <c r="CO90" s="219">
        <f t="shared" si="221"/>
        <v>119319934.21256405</v>
      </c>
      <c r="CP90" s="219">
        <f t="shared" si="221"/>
        <v>126086103.4831026</v>
      </c>
      <c r="CQ90" s="219">
        <f t="shared" si="221"/>
        <v>134422672.75733396</v>
      </c>
      <c r="CR90" s="219">
        <f t="shared" si="221"/>
        <v>142224528.72345474</v>
      </c>
      <c r="CS90" s="216">
        <f t="shared" si="221"/>
        <v>522053239.17645538</v>
      </c>
      <c r="CT90" s="318"/>
      <c r="CU90" s="318"/>
      <c r="CV90" s="318"/>
      <c r="CW90" s="318"/>
      <c r="CX90" s="318"/>
      <c r="CY90" s="318"/>
      <c r="CZ90" s="318"/>
      <c r="DA90" s="318"/>
      <c r="DB90" s="318"/>
      <c r="DC90" s="318"/>
      <c r="DD90" s="318"/>
      <c r="DE90" s="318"/>
      <c r="DF90" s="318"/>
      <c r="DG90" s="318"/>
      <c r="DH90" s="318"/>
      <c r="DI90" s="318"/>
      <c r="DJ90" s="318"/>
      <c r="DK90" s="318"/>
      <c r="DL90" s="318"/>
      <c r="DM90" s="318"/>
      <c r="DN90" s="318"/>
      <c r="DO90" s="318"/>
      <c r="DP90" s="318"/>
      <c r="DQ90" s="318"/>
      <c r="DR90" s="318"/>
      <c r="DS90" s="318"/>
      <c r="DT90" s="318"/>
      <c r="DU90" s="318"/>
      <c r="DV90" s="318"/>
      <c r="DW90" s="318"/>
      <c r="DX90" s="318"/>
      <c r="DY90" s="318"/>
      <c r="DZ90" s="318"/>
      <c r="EA90" s="318"/>
    </row>
    <row r="91" spans="1:131" ht="15.75" customHeight="1">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t="s">
        <v>1315</v>
      </c>
      <c r="U91" s="422"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422"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422"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422" t="s">
        <v>1315</v>
      </c>
      <c r="CD91" s="300"/>
      <c r="CE91" s="380" t="s">
        <v>1315</v>
      </c>
      <c r="CF91" s="380"/>
      <c r="CG91" s="380"/>
      <c r="CH91" s="380"/>
      <c r="CI91" s="187"/>
      <c r="CJ91" s="380" t="s">
        <v>1315</v>
      </c>
      <c r="CK91" s="380"/>
      <c r="CL91" s="380"/>
      <c r="CM91" s="380"/>
      <c r="CN91" s="187"/>
      <c r="CO91" s="380" t="s">
        <v>1315</v>
      </c>
      <c r="CP91" s="380"/>
      <c r="CQ91" s="380"/>
      <c r="CR91" s="380"/>
      <c r="CS91" s="187"/>
    </row>
    <row r="92" spans="1:131" s="14" customFormat="1" ht="15.75" customHeight="1">
      <c r="A92" s="16" t="s">
        <v>270</v>
      </c>
      <c r="B92" s="300">
        <v>61</v>
      </c>
      <c r="C92" s="216">
        <f t="shared" ref="C92:J92" si="222">C32-C90</f>
        <v>-365581.72729962179</v>
      </c>
      <c r="D92" s="216">
        <f t="shared" si="222"/>
        <v>-1252008.2602776075</v>
      </c>
      <c r="E92" s="216">
        <f t="shared" si="222"/>
        <v>-1578187.6196732104</v>
      </c>
      <c r="F92" s="216">
        <f t="shared" si="222"/>
        <v>-3569976.2620839733</v>
      </c>
      <c r="G92" s="216">
        <f t="shared" si="222"/>
        <v>-1417555.4179838754</v>
      </c>
      <c r="H92" s="216">
        <f t="shared" si="222"/>
        <v>-2901502.4475213094</v>
      </c>
      <c r="I92" s="216">
        <f t="shared" si="222"/>
        <v>-861084.01255863742</v>
      </c>
      <c r="J92" s="216">
        <f t="shared" si="222"/>
        <v>-1415734.9017882491</v>
      </c>
      <c r="K92" s="221">
        <f>SUM(C92:J92)</f>
        <v>-13361630.649186485</v>
      </c>
      <c r="L92" s="218">
        <f t="shared" ref="L92:U92" si="223">L32-L90</f>
        <v>0</v>
      </c>
      <c r="M92" s="216">
        <f t="shared" si="223"/>
        <v>904483.84261916578</v>
      </c>
      <c r="N92" s="216">
        <f t="shared" si="223"/>
        <v>0</v>
      </c>
      <c r="O92" s="216">
        <f t="shared" si="223"/>
        <v>-3468746.8631746154</v>
      </c>
      <c r="P92" s="216">
        <f t="shared" si="223"/>
        <v>0</v>
      </c>
      <c r="Q92" s="216">
        <f t="shared" si="223"/>
        <v>-1997900.8043755591</v>
      </c>
      <c r="R92" s="216">
        <f t="shared" si="223"/>
        <v>0</v>
      </c>
      <c r="S92" s="216">
        <f t="shared" si="223"/>
        <v>-947053.4843996698</v>
      </c>
      <c r="T92" s="219">
        <f t="shared" si="223"/>
        <v>-5509217.309330672</v>
      </c>
      <c r="U92" s="220">
        <f t="shared" si="223"/>
        <v>-18870847.958517164</v>
      </c>
      <c r="V92" s="300">
        <v>61</v>
      </c>
      <c r="W92" s="216">
        <f t="shared" ref="W92:AD92" si="224">W32-W90</f>
        <v>-20002.466744759964</v>
      </c>
      <c r="X92" s="216">
        <f t="shared" si="224"/>
        <v>243947.55154044461</v>
      </c>
      <c r="Y92" s="216">
        <f t="shared" si="224"/>
        <v>56496.470056530306</v>
      </c>
      <c r="Z92" s="216">
        <f t="shared" si="224"/>
        <v>286552.16368277092</v>
      </c>
      <c r="AA92" s="216">
        <f t="shared" si="224"/>
        <v>26748.32175052262</v>
      </c>
      <c r="AB92" s="216">
        <f t="shared" si="224"/>
        <v>309573.45332931145</v>
      </c>
      <c r="AC92" s="216">
        <f t="shared" si="224"/>
        <v>-48740.376512491144</v>
      </c>
      <c r="AD92" s="216">
        <f t="shared" si="224"/>
        <v>402651.67569808685</v>
      </c>
      <c r="AE92" s="221">
        <f>SUM(W92:AD92)</f>
        <v>1257226.7928004155</v>
      </c>
      <c r="AF92" s="218">
        <f t="shared" ref="AF92:AM92" si="225">AF32-AF90</f>
        <v>0</v>
      </c>
      <c r="AG92" s="216">
        <f t="shared" si="225"/>
        <v>128140.16933285748</v>
      </c>
      <c r="AH92" s="216">
        <f t="shared" si="225"/>
        <v>0</v>
      </c>
      <c r="AI92" s="216">
        <f t="shared" si="225"/>
        <v>-46283.418353272136</v>
      </c>
      <c r="AJ92" s="216">
        <f t="shared" si="225"/>
        <v>0</v>
      </c>
      <c r="AK92" s="216">
        <f t="shared" si="225"/>
        <v>20089.190435472177</v>
      </c>
      <c r="AL92" s="216">
        <f t="shared" si="225"/>
        <v>0</v>
      </c>
      <c r="AM92" s="216">
        <f t="shared" si="225"/>
        <v>-245562.88171401876</v>
      </c>
      <c r="AN92" s="219">
        <f>SUM(AF92:AM92)</f>
        <v>-143616.94029896124</v>
      </c>
      <c r="AO92" s="220">
        <f>AO32-AO90</f>
        <v>1113609.852501452</v>
      </c>
      <c r="AP92" s="300">
        <v>61</v>
      </c>
      <c r="AQ92" s="216">
        <f t="shared" ref="AQ92:AX92" si="226">AQ32-AQ90</f>
        <v>-1071057.2596789189</v>
      </c>
      <c r="AR92" s="216">
        <f t="shared" si="226"/>
        <v>-1413732.9073249996</v>
      </c>
      <c r="AS92" s="216">
        <f t="shared" si="226"/>
        <v>533225.04282939434</v>
      </c>
      <c r="AT92" s="216">
        <f t="shared" si="226"/>
        <v>400343.09846567363</v>
      </c>
      <c r="AU92" s="216">
        <f t="shared" si="226"/>
        <v>-687272.43911938369</v>
      </c>
      <c r="AV92" s="216">
        <f t="shared" si="226"/>
        <v>-807106.59135092795</v>
      </c>
      <c r="AW92" s="216">
        <f t="shared" si="226"/>
        <v>-2233781.5356624126</v>
      </c>
      <c r="AX92" s="216">
        <f t="shared" si="226"/>
        <v>-1600767.0321627855</v>
      </c>
      <c r="AY92" s="221">
        <f>SUM(AQ92:AX92)</f>
        <v>-6880149.6240043603</v>
      </c>
      <c r="AZ92" s="218">
        <f t="shared" ref="AZ92:BG92" si="227">AZ32-AZ90</f>
        <v>0</v>
      </c>
      <c r="BA92" s="216">
        <f t="shared" si="227"/>
        <v>10691291.853825226</v>
      </c>
      <c r="BB92" s="216">
        <f t="shared" si="227"/>
        <v>0</v>
      </c>
      <c r="BC92" s="216">
        <f t="shared" si="227"/>
        <v>3637947.8819219619</v>
      </c>
      <c r="BD92" s="216">
        <f t="shared" si="227"/>
        <v>0</v>
      </c>
      <c r="BE92" s="216">
        <f t="shared" si="227"/>
        <v>5190312.0105260015</v>
      </c>
      <c r="BF92" s="216">
        <f t="shared" si="227"/>
        <v>0</v>
      </c>
      <c r="BG92" s="216">
        <f t="shared" si="227"/>
        <v>1880346.8367321491</v>
      </c>
      <c r="BH92" s="219">
        <f>SUM(AZ92:BG92)</f>
        <v>21399898.583005339</v>
      </c>
      <c r="BI92" s="220">
        <f>BI32-BI90</f>
        <v>14519748.959000945</v>
      </c>
      <c r="BJ92" s="300">
        <v>61</v>
      </c>
      <c r="BK92" s="216">
        <f t="shared" ref="BK92:BR92" si="228">BK32-BK90</f>
        <v>-194580.16377414746</v>
      </c>
      <c r="BL92" s="216">
        <f t="shared" si="228"/>
        <v>-576623.2269714484</v>
      </c>
      <c r="BM92" s="216">
        <f t="shared" si="228"/>
        <v>-130345.89547848998</v>
      </c>
      <c r="BN92" s="216">
        <f t="shared" si="228"/>
        <v>139733.54618268646</v>
      </c>
      <c r="BO92" s="216">
        <f t="shared" si="228"/>
        <v>-207994.61817706458</v>
      </c>
      <c r="BP92" s="216">
        <f t="shared" si="228"/>
        <v>-617909.34024995845</v>
      </c>
      <c r="BQ92" s="216">
        <f t="shared" si="228"/>
        <v>-239825.20143519389</v>
      </c>
      <c r="BR92" s="216">
        <f t="shared" si="228"/>
        <v>390174.82546572853</v>
      </c>
      <c r="BS92" s="221">
        <f>SUM(BK92:BR92)</f>
        <v>-1437370.0744378879</v>
      </c>
      <c r="BT92" s="218">
        <f t="shared" ref="BT92:CA92" si="229">BT32-BT90</f>
        <v>0</v>
      </c>
      <c r="BU92" s="216">
        <f t="shared" si="229"/>
        <v>-130915.74931999552</v>
      </c>
      <c r="BV92" s="216">
        <f t="shared" si="229"/>
        <v>0</v>
      </c>
      <c r="BW92" s="216">
        <f t="shared" si="229"/>
        <v>-1074750.9205153133</v>
      </c>
      <c r="BX92" s="216">
        <f t="shared" si="229"/>
        <v>0</v>
      </c>
      <c r="BY92" s="216">
        <f t="shared" si="229"/>
        <v>-718323.44855174469</v>
      </c>
      <c r="BZ92" s="216">
        <f t="shared" si="229"/>
        <v>0</v>
      </c>
      <c r="CA92" s="216">
        <f t="shared" si="229"/>
        <v>-488936.26780957589</v>
      </c>
      <c r="CB92" s="219">
        <f>SUM(BT92:CA92)</f>
        <v>-2412926.3861966291</v>
      </c>
      <c r="CC92" s="220">
        <f>CC32-CC90</f>
        <v>-3850296.460634511</v>
      </c>
      <c r="CD92" s="300">
        <v>61</v>
      </c>
      <c r="CE92" s="219">
        <f t="shared" ref="CE92:CS92" si="230">CE32-CE90</f>
        <v>-4649638.460531041</v>
      </c>
      <c r="CF92" s="219">
        <f t="shared" si="230"/>
        <v>-3862159.4560185969</v>
      </c>
      <c r="CG92" s="219">
        <f t="shared" si="230"/>
        <v>-6303019.0793226957</v>
      </c>
      <c r="CH92" s="219">
        <f t="shared" si="230"/>
        <v>-5607106.5589559525</v>
      </c>
      <c r="CI92" s="216">
        <f t="shared" si="230"/>
        <v>-20421923.554828286</v>
      </c>
      <c r="CJ92" s="219">
        <f t="shared" si="230"/>
        <v>11593000.116457239</v>
      </c>
      <c r="CK92" s="219">
        <f t="shared" si="230"/>
        <v>-951833.32012125105</v>
      </c>
      <c r="CL92" s="219">
        <f t="shared" si="230"/>
        <v>2494176.9480341598</v>
      </c>
      <c r="CM92" s="219">
        <f t="shared" si="230"/>
        <v>198794.20280890167</v>
      </c>
      <c r="CN92" s="216">
        <f t="shared" si="230"/>
        <v>-16567216.488710333</v>
      </c>
      <c r="CO92" s="219">
        <f t="shared" si="230"/>
        <v>6943361.6559261978</v>
      </c>
      <c r="CP92" s="219">
        <f t="shared" si="230"/>
        <v>-4813992.7761398554</v>
      </c>
      <c r="CQ92" s="219">
        <f t="shared" si="230"/>
        <v>-3808842.1312885135</v>
      </c>
      <c r="CR92" s="219">
        <f t="shared" si="230"/>
        <v>-5408312.3561470509</v>
      </c>
      <c r="CS92" s="216">
        <f t="shared" si="230"/>
        <v>-7087785.6076492071</v>
      </c>
      <c r="CT92" s="318"/>
      <c r="CU92" s="318"/>
      <c r="CV92" s="318"/>
      <c r="CW92" s="318"/>
      <c r="CX92" s="318"/>
      <c r="CY92" s="318"/>
      <c r="CZ92" s="318"/>
      <c r="DA92" s="318"/>
      <c r="DB92" s="318"/>
      <c r="DC92" s="318"/>
      <c r="DD92" s="318"/>
      <c r="DE92" s="318"/>
      <c r="DF92" s="318"/>
      <c r="DG92" s="318"/>
      <c r="DH92" s="318"/>
      <c r="DI92" s="318"/>
      <c r="DJ92" s="318"/>
      <c r="DK92" s="318"/>
      <c r="DL92" s="318"/>
      <c r="DM92" s="318"/>
      <c r="DN92" s="318"/>
      <c r="DO92" s="318"/>
      <c r="DP92" s="318"/>
      <c r="DQ92" s="318"/>
      <c r="DR92" s="318"/>
      <c r="DS92" s="318"/>
      <c r="DT92" s="318"/>
      <c r="DU92" s="318"/>
      <c r="DV92" s="318"/>
      <c r="DW92" s="318"/>
      <c r="DX92" s="318"/>
      <c r="DY92" s="318"/>
      <c r="DZ92" s="318"/>
      <c r="EA92" s="318"/>
    </row>
    <row r="93" spans="1:131" ht="15.75" customHeight="1">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t="s">
        <v>1320</v>
      </c>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t="s">
        <v>1320</v>
      </c>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t="s">
        <v>1320</v>
      </c>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t="s">
        <v>1320</v>
      </c>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131" ht="15.75" customHeight="1">
      <c r="A94" s="135" t="s">
        <v>272</v>
      </c>
      <c r="B94" s="300">
        <v>62</v>
      </c>
      <c r="C94" s="387">
        <f t="shared" ref="C94:U94" si="231">IF((C32-C28)=0,"",C92/(C32-C28))</f>
        <v>-0.31781143904667614</v>
      </c>
      <c r="D94" s="387">
        <f t="shared" si="231"/>
        <v>-0.5735431084307151</v>
      </c>
      <c r="E94" s="387">
        <f t="shared" si="231"/>
        <v>-1.3368247414378978</v>
      </c>
      <c r="F94" s="387">
        <f t="shared" si="231"/>
        <v>-1.5787538360639164</v>
      </c>
      <c r="G94" s="387">
        <f t="shared" si="231"/>
        <v>-1.1827204629146513</v>
      </c>
      <c r="H94" s="387">
        <f t="shared" si="231"/>
        <v>-1.2258611020653822</v>
      </c>
      <c r="I94" s="387">
        <f t="shared" si="231"/>
        <v>-0.68623070618388382</v>
      </c>
      <c r="J94" s="387">
        <f t="shared" si="231"/>
        <v>-0.5936453659691453</v>
      </c>
      <c r="K94" s="388">
        <f t="shared" si="231"/>
        <v>-0.95575791544616306</v>
      </c>
      <c r="L94" s="389" t="str">
        <f t="shared" si="231"/>
        <v/>
      </c>
      <c r="M94" s="387">
        <f t="shared" si="231"/>
        <v>0.16023076986918497</v>
      </c>
      <c r="N94" s="387" t="str">
        <f t="shared" si="231"/>
        <v/>
      </c>
      <c r="O94" s="387">
        <f t="shared" si="231"/>
        <v>-0.65580554088485254</v>
      </c>
      <c r="P94" s="387" t="str">
        <f t="shared" si="231"/>
        <v/>
      </c>
      <c r="Q94" s="387">
        <f t="shared" si="231"/>
        <v>-0.33557908663988634</v>
      </c>
      <c r="R94" s="387" t="str">
        <f t="shared" si="231"/>
        <v/>
      </c>
      <c r="S94" s="387">
        <f t="shared" si="231"/>
        <v>-0.15658606438871378</v>
      </c>
      <c r="T94" s="390">
        <f t="shared" si="231"/>
        <v>-0.24020062078190144</v>
      </c>
      <c r="U94" s="389">
        <f t="shared" si="231"/>
        <v>-0.51118287758714531</v>
      </c>
      <c r="V94" s="300">
        <v>62</v>
      </c>
      <c r="W94" s="387">
        <f t="shared" ref="W94:AO94" si="232">IF((W32-W28)=0,"",W92/(W32-W28))</f>
        <v>-0.11370643133376411</v>
      </c>
      <c r="X94" s="387">
        <f t="shared" si="232"/>
        <v>0.24531336312725452</v>
      </c>
      <c r="Y94" s="387">
        <f t="shared" si="232"/>
        <v>0.30892998534667365</v>
      </c>
      <c r="Z94" s="387">
        <f t="shared" si="232"/>
        <v>0.30231067601406975</v>
      </c>
      <c r="AA94" s="387">
        <f t="shared" si="232"/>
        <v>0.15692434880389228</v>
      </c>
      <c r="AB94" s="387">
        <f t="shared" si="232"/>
        <v>0.31985340089869296</v>
      </c>
      <c r="AC94" s="387">
        <f t="shared" si="232"/>
        <v>-0.26773434669776153</v>
      </c>
      <c r="AD94" s="387">
        <f t="shared" si="232"/>
        <v>0.40743074462344081</v>
      </c>
      <c r="AE94" s="388">
        <f t="shared" si="232"/>
        <v>0.27273337327995134</v>
      </c>
      <c r="AF94" s="389" t="str">
        <f t="shared" si="232"/>
        <v/>
      </c>
      <c r="AG94" s="387">
        <f t="shared" si="232"/>
        <v>7.0960546105240482E-2</v>
      </c>
      <c r="AH94" s="387" t="str">
        <f t="shared" si="232"/>
        <v/>
      </c>
      <c r="AI94" s="387">
        <f t="shared" si="232"/>
        <v>-3.2390506783031438E-2</v>
      </c>
      <c r="AJ94" s="387" t="str">
        <f t="shared" si="232"/>
        <v/>
      </c>
      <c r="AK94" s="387">
        <f t="shared" si="232"/>
        <v>1.3027411493588104E-2</v>
      </c>
      <c r="AL94" s="387" t="str">
        <f t="shared" si="232"/>
        <v/>
      </c>
      <c r="AM94" s="387">
        <f t="shared" si="232"/>
        <v>-0.159637548580674</v>
      </c>
      <c r="AN94" s="390">
        <f t="shared" si="232"/>
        <v>-2.2742057572276833E-2</v>
      </c>
      <c r="AO94" s="389">
        <f t="shared" si="232"/>
        <v>0.10193443812959987</v>
      </c>
      <c r="AP94" s="300">
        <v>62</v>
      </c>
      <c r="AQ94" s="387">
        <f t="shared" ref="AQ94:BI94" si="233">IF((AQ32-AQ28)=0,"",AQ92/(AQ32-AQ28))</f>
        <v>-5.5995025402255358E-2</v>
      </c>
      <c r="AR94" s="387">
        <f t="shared" si="233"/>
        <v>-3.2766098914662103E-2</v>
      </c>
      <c r="AS94" s="387">
        <f t="shared" si="233"/>
        <v>2.6045587889315259E-2</v>
      </c>
      <c r="AT94" s="387">
        <f t="shared" si="233"/>
        <v>8.7768191260906379E-3</v>
      </c>
      <c r="AU94" s="387">
        <f t="shared" si="233"/>
        <v>-3.1794585932891598E-2</v>
      </c>
      <c r="AV94" s="387">
        <f t="shared" si="233"/>
        <v>-1.6809495015383348E-2</v>
      </c>
      <c r="AW94" s="387">
        <f t="shared" si="233"/>
        <v>-9.5209057002692735E-2</v>
      </c>
      <c r="AX94" s="387">
        <f t="shared" si="233"/>
        <v>-3.1923425548007804E-2</v>
      </c>
      <c r="AY94" s="388">
        <f t="shared" si="233"/>
        <v>-2.5332187141754038E-2</v>
      </c>
      <c r="AZ94" s="389" t="str">
        <f t="shared" si="233"/>
        <v/>
      </c>
      <c r="BA94" s="387">
        <f t="shared" si="233"/>
        <v>0.23448828050729875</v>
      </c>
      <c r="BB94" s="387" t="str">
        <f t="shared" si="233"/>
        <v/>
      </c>
      <c r="BC94" s="387">
        <f t="shared" si="233"/>
        <v>9.6130990654322068E-2</v>
      </c>
      <c r="BD94" s="387" t="str">
        <f t="shared" si="233"/>
        <v/>
      </c>
      <c r="BE94" s="387">
        <f t="shared" si="233"/>
        <v>0.12121616455834125</v>
      </c>
      <c r="BF94" s="387" t="str">
        <f t="shared" si="233"/>
        <v/>
      </c>
      <c r="BG94" s="387">
        <f t="shared" si="233"/>
        <v>4.3500760314462698E-2</v>
      </c>
      <c r="BH94" s="390">
        <f t="shared" si="233"/>
        <v>0.12626646119334711</v>
      </c>
      <c r="BI94" s="389">
        <f t="shared" si="233"/>
        <v>3.2918689558825848E-2</v>
      </c>
      <c r="BJ94" s="300">
        <v>62</v>
      </c>
      <c r="BK94" s="387">
        <f t="shared" ref="BK94:CC94" si="234">IF((BK32-BK28)=0,"",BK92/(BK32-BK28))</f>
        <v>-0.48604604845150201</v>
      </c>
      <c r="BL94" s="387">
        <f t="shared" si="234"/>
        <v>-0.12985940179388206</v>
      </c>
      <c r="BM94" s="387">
        <f t="shared" si="234"/>
        <v>-0.33303218721418676</v>
      </c>
      <c r="BN94" s="387">
        <f t="shared" si="234"/>
        <v>3.2292806713702327E-2</v>
      </c>
      <c r="BO94" s="387">
        <f t="shared" si="234"/>
        <v>-0.59456714077655992</v>
      </c>
      <c r="BP94" s="387">
        <f t="shared" si="234"/>
        <v>-0.14891692347681207</v>
      </c>
      <c r="BQ94" s="387">
        <f t="shared" si="234"/>
        <v>-0.48739567304518971</v>
      </c>
      <c r="BR94" s="387">
        <f t="shared" si="234"/>
        <v>7.2166660433135521E-2</v>
      </c>
      <c r="BS94" s="388">
        <f t="shared" si="234"/>
        <v>-7.2023407486315888E-2</v>
      </c>
      <c r="BT94" s="389" t="str">
        <f t="shared" si="234"/>
        <v/>
      </c>
      <c r="BU94" s="387">
        <f t="shared" si="234"/>
        <v>-8.1809188544491707E-2</v>
      </c>
      <c r="BV94" s="387" t="str">
        <f t="shared" si="234"/>
        <v/>
      </c>
      <c r="BW94" s="387">
        <f t="shared" si="234"/>
        <v>-0.80640697688069785</v>
      </c>
      <c r="BX94" s="387" t="str">
        <f t="shared" si="234"/>
        <v/>
      </c>
      <c r="BY94" s="387">
        <f t="shared" si="234"/>
        <v>-0.49011587985745769</v>
      </c>
      <c r="BZ94" s="387" t="str">
        <f t="shared" si="234"/>
        <v/>
      </c>
      <c r="CA94" s="387">
        <f t="shared" si="234"/>
        <v>-0.28934065399318404</v>
      </c>
      <c r="CB94" s="390">
        <f t="shared" si="234"/>
        <v>-0.39631073377540554</v>
      </c>
      <c r="CC94" s="389">
        <f t="shared" si="234"/>
        <v>-0.14782987272633241</v>
      </c>
      <c r="CD94" s="300">
        <v>62</v>
      </c>
      <c r="CE94" s="390">
        <f t="shared" ref="CE94:CS94" si="235">IF((CE32-CE28)=0,"",CE92/(CE32-CE28))</f>
        <v>-6.4922563733099695E-2</v>
      </c>
      <c r="CF94" s="390">
        <f t="shared" si="235"/>
        <v>-5.1237576274769686E-2</v>
      </c>
      <c r="CG94" s="390">
        <f t="shared" si="235"/>
        <v>-7.9953152672778041E-2</v>
      </c>
      <c r="CH94" s="390">
        <f t="shared" si="235"/>
        <v>-6.650236592840747E-2</v>
      </c>
      <c r="CI94" s="423">
        <f t="shared" si="235"/>
        <v>-6.5846586658846948E-2</v>
      </c>
      <c r="CJ94" s="390">
        <f t="shared" si="235"/>
        <v>0.21215086554044871</v>
      </c>
      <c r="CK94" s="390">
        <f t="shared" si="235"/>
        <v>-2.0739536104008385E-2</v>
      </c>
      <c r="CL94" s="390">
        <f t="shared" si="235"/>
        <v>4.8168799389278392E-2</v>
      </c>
      <c r="CM94" s="390">
        <f t="shared" si="235"/>
        <v>3.7864246761896017E-3</v>
      </c>
      <c r="CN94" s="423" t="str">
        <f t="shared" si="235"/>
        <v/>
      </c>
      <c r="CO94" s="390">
        <f t="shared" si="235"/>
        <v>5.4991132681646994E-2</v>
      </c>
      <c r="CP94" s="390">
        <f t="shared" si="235"/>
        <v>-3.9695794425250848E-2</v>
      </c>
      <c r="CQ94" s="390">
        <f t="shared" si="235"/>
        <v>-2.9161093530695362E-2</v>
      </c>
      <c r="CR94" s="390">
        <f t="shared" si="235"/>
        <v>-3.9529761162430233E-2</v>
      </c>
      <c r="CS94" s="423">
        <f t="shared" si="235"/>
        <v>-1.3763613769680156E-2</v>
      </c>
    </row>
    <row r="95" spans="1:131" s="317" customFormat="1" ht="15.75" customHeight="1">
      <c r="A95" s="135" t="s">
        <v>274</v>
      </c>
      <c r="B95" s="300">
        <v>63</v>
      </c>
      <c r="C95" s="392">
        <f>IF((C32-C28-C25)=0,"",(C73+C66-C64)/(C32-C28-C25))</f>
        <v>1.2273317921478779</v>
      </c>
      <c r="D95" s="392">
        <f t="shared" ref="D95:U95" si="236">IF((D32-D28-D25)=0,"",(D73+D66-D64)/(D32-D28-D25))</f>
        <v>1.4830634615319167</v>
      </c>
      <c r="E95" s="392">
        <f t="shared" si="236"/>
        <v>2.2359313093817601</v>
      </c>
      <c r="F95" s="392">
        <f t="shared" si="236"/>
        <v>2.4777132609454311</v>
      </c>
      <c r="G95" s="392">
        <f t="shared" si="236"/>
        <v>2.0833426838460229</v>
      </c>
      <c r="H95" s="392">
        <f t="shared" si="236"/>
        <v>2.1264833229967541</v>
      </c>
      <c r="I95" s="392">
        <f t="shared" si="236"/>
        <v>1.5853278312320676</v>
      </c>
      <c r="J95" s="392">
        <f t="shared" si="236"/>
        <v>1.4928243448598475</v>
      </c>
      <c r="K95" s="388">
        <f t="shared" si="236"/>
        <v>1.8577216670919985</v>
      </c>
      <c r="L95" s="393" t="str">
        <f t="shared" si="236"/>
        <v/>
      </c>
      <c r="M95" s="392">
        <f t="shared" si="236"/>
        <v>0.7595524158973288</v>
      </c>
      <c r="N95" s="392" t="str">
        <f t="shared" si="236"/>
        <v/>
      </c>
      <c r="O95" s="392">
        <f t="shared" si="236"/>
        <v>1.5697740825129802</v>
      </c>
      <c r="P95" s="392" t="str">
        <f t="shared" si="236"/>
        <v/>
      </c>
      <c r="Q95" s="392">
        <f t="shared" si="236"/>
        <v>1.2527098202976308</v>
      </c>
      <c r="R95" s="392" t="str">
        <f t="shared" si="236"/>
        <v/>
      </c>
      <c r="S95" s="392">
        <f t="shared" si="236"/>
        <v>1.0735818735934965</v>
      </c>
      <c r="T95" s="390">
        <f t="shared" si="236"/>
        <v>1.1572193458639395</v>
      </c>
      <c r="U95" s="394">
        <f t="shared" si="236"/>
        <v>1.4225002693052362</v>
      </c>
      <c r="V95" s="300">
        <v>63</v>
      </c>
      <c r="W95" s="392">
        <f>IF((W32-W28-W25)=0,"",(W73+W66-W64)/(W32-W28-W25))</f>
        <v>1.0232267844349656</v>
      </c>
      <c r="X95" s="392">
        <f t="shared" ref="X95:AO95" si="237">IF((X32-X28-X25)=0,"",(X73+X66-X64)/(X32-X28-X25))</f>
        <v>0.66420698997394712</v>
      </c>
      <c r="Y95" s="392">
        <f t="shared" si="237"/>
        <v>0.59009767436744487</v>
      </c>
      <c r="Z95" s="392">
        <f t="shared" si="237"/>
        <v>0.59671698370004878</v>
      </c>
      <c r="AA95" s="392">
        <f t="shared" si="237"/>
        <v>0.74369787212747962</v>
      </c>
      <c r="AB95" s="392">
        <f t="shared" si="237"/>
        <v>0.58076882003267882</v>
      </c>
      <c r="AC95" s="392">
        <f t="shared" si="237"/>
        <v>1.1669133255884636</v>
      </c>
      <c r="AD95" s="392">
        <f t="shared" si="237"/>
        <v>0.49174823426726122</v>
      </c>
      <c r="AE95" s="388">
        <f t="shared" si="237"/>
        <v>0.62939040821843062</v>
      </c>
      <c r="AF95" s="393" t="str">
        <f t="shared" si="237"/>
        <v/>
      </c>
      <c r="AG95" s="392">
        <f t="shared" si="237"/>
        <v>0.85338886761943522</v>
      </c>
      <c r="AH95" s="392" t="str">
        <f t="shared" si="237"/>
        <v/>
      </c>
      <c r="AI95" s="392">
        <f t="shared" si="237"/>
        <v>0.94581089214959435</v>
      </c>
      <c r="AJ95" s="392" t="str">
        <f t="shared" si="237"/>
        <v/>
      </c>
      <c r="AK95" s="392">
        <f t="shared" si="237"/>
        <v>0.90248325336678736</v>
      </c>
      <c r="AL95" s="392" t="str">
        <f t="shared" si="237"/>
        <v/>
      </c>
      <c r="AM95" s="392">
        <f t="shared" si="237"/>
        <v>1.0740941427912738</v>
      </c>
      <c r="AN95" s="390">
        <f t="shared" si="237"/>
        <v>0.94005044694239226</v>
      </c>
      <c r="AO95" s="394">
        <f t="shared" si="237"/>
        <v>0.8089667731797392</v>
      </c>
      <c r="AP95" s="300">
        <v>63</v>
      </c>
      <c r="AQ95" s="392">
        <f>IF((AQ32-AQ28-AQ25)=0,"",(AQ73+AQ66-AQ64)/(AQ32-AQ28-AQ25))</f>
        <v>0.96552834195443449</v>
      </c>
      <c r="AR95" s="392">
        <f t="shared" ref="AR95:BI95" si="238">IF((AR32-AR28-AR25)=0,"",(AR73+AR66-AR64)/(AR32-AR28-AR25))</f>
        <v>0.94227194751420851</v>
      </c>
      <c r="AS95" s="392">
        <f t="shared" si="238"/>
        <v>0.87298212864183333</v>
      </c>
      <c r="AT95" s="392">
        <f t="shared" si="238"/>
        <v>0.89023042692037369</v>
      </c>
      <c r="AU95" s="392">
        <f t="shared" si="238"/>
        <v>0.93242932143657409</v>
      </c>
      <c r="AV95" s="392">
        <f t="shared" si="238"/>
        <v>0.9174317159467551</v>
      </c>
      <c r="AW95" s="392">
        <f t="shared" si="238"/>
        <v>0.99438803589339475</v>
      </c>
      <c r="AX95" s="392">
        <f t="shared" si="238"/>
        <v>0.93110240443870995</v>
      </c>
      <c r="AY95" s="388">
        <f t="shared" si="238"/>
        <v>0.9272116909408511</v>
      </c>
      <c r="AZ95" s="393" t="str">
        <f t="shared" si="238"/>
        <v/>
      </c>
      <c r="BA95" s="392">
        <f t="shared" si="238"/>
        <v>0.69158768699180317</v>
      </c>
      <c r="BB95" s="392" t="str">
        <f t="shared" si="238"/>
        <v/>
      </c>
      <c r="BC95" s="392">
        <f t="shared" si="238"/>
        <v>0.82173103660511726</v>
      </c>
      <c r="BD95" s="392" t="str">
        <f t="shared" si="238"/>
        <v/>
      </c>
      <c r="BE95" s="392">
        <f t="shared" si="238"/>
        <v>0.79677153928318378</v>
      </c>
      <c r="BF95" s="392" t="str">
        <f t="shared" si="238"/>
        <v/>
      </c>
      <c r="BG95" s="392">
        <f t="shared" si="238"/>
        <v>0.87271411108510633</v>
      </c>
      <c r="BH95" s="390">
        <f t="shared" si="238"/>
        <v>0.79341693618854292</v>
      </c>
      <c r="BI95" s="394">
        <f t="shared" si="238"/>
        <v>0.87580185419195355</v>
      </c>
      <c r="BJ95" s="300">
        <v>63</v>
      </c>
      <c r="BK95" s="392">
        <f>IF((BK32-BK28-BK25)=0,"",(BK73+BK66-BK64)/(BK32-BK28-BK25))</f>
        <v>1.511682345379243</v>
      </c>
      <c r="BL95" s="392">
        <f t="shared" ref="BL95:CS95" si="239">IF((BL32-BL28-BL25)=0,"",(BL73+BL66-BL64)/(BL32-BL28-BL25))</f>
        <v>1.1262174657845869</v>
      </c>
      <c r="BM95" s="392">
        <f t="shared" si="239"/>
        <v>1.3389173371865015</v>
      </c>
      <c r="BN95" s="392">
        <f t="shared" si="239"/>
        <v>0.94442155534277195</v>
      </c>
      <c r="BO95" s="392">
        <f t="shared" si="239"/>
        <v>1.6290261535938753</v>
      </c>
      <c r="BP95" s="392">
        <f t="shared" si="239"/>
        <v>1.1432992196170246</v>
      </c>
      <c r="BQ95" s="392">
        <f t="shared" si="239"/>
        <v>1.9167329362231971</v>
      </c>
      <c r="BR95" s="392">
        <f t="shared" si="239"/>
        <v>1.1293201903654855</v>
      </c>
      <c r="BS95" s="388">
        <f t="shared" si="239"/>
        <v>1.127020455287594</v>
      </c>
      <c r="BT95" s="393" t="str">
        <f t="shared" si="239"/>
        <v/>
      </c>
      <c r="BU95" s="392">
        <f t="shared" si="239"/>
        <v>1.0034392110668771</v>
      </c>
      <c r="BV95" s="392" t="str">
        <f t="shared" si="239"/>
        <v/>
      </c>
      <c r="BW95" s="392">
        <f t="shared" si="239"/>
        <v>1.7161704263326394</v>
      </c>
      <c r="BX95" s="392" t="str">
        <f t="shared" si="239"/>
        <v/>
      </c>
      <c r="BY95" s="392">
        <f t="shared" si="239"/>
        <v>1.4008307268185114</v>
      </c>
      <c r="BZ95" s="392" t="str">
        <f t="shared" si="239"/>
        <v/>
      </c>
      <c r="CA95" s="392">
        <f t="shared" si="239"/>
        <v>1.1987936277780189</v>
      </c>
      <c r="CB95" s="390">
        <f t="shared" si="239"/>
        <v>1.3093359719638376</v>
      </c>
      <c r="CC95" s="394">
        <f t="shared" si="239"/>
        <v>1.1741513338527982</v>
      </c>
      <c r="CD95" s="300">
        <v>63</v>
      </c>
      <c r="CE95" s="390">
        <f t="shared" ref="CE95:CI95" si="240">IF((CE32-CE28-CE25)=0,"",(CE73+CE66-CE64)/(CE32-CE28-CE25))</f>
        <v>0.97959635147005875</v>
      </c>
      <c r="CF95" s="390">
        <f t="shared" si="240"/>
        <v>0.95515274805401718</v>
      </c>
      <c r="CG95" s="390">
        <f t="shared" si="240"/>
        <v>0.98524213372251934</v>
      </c>
      <c r="CH95" s="390">
        <f t="shared" si="240"/>
        <v>0.98442257061778959</v>
      </c>
      <c r="CI95" s="391">
        <f t="shared" si="240"/>
        <v>0.97637506920417649</v>
      </c>
      <c r="CJ95" s="390">
        <f t="shared" ref="CJ95:CN95" si="241">IF((CJ32-CJ28-CJ25)=0,"",(CJ73+CJ66-CJ64)/(CJ32-CJ28-CJ25))</f>
        <v>0.71308779925434895</v>
      </c>
      <c r="CK95" s="390">
        <f t="shared" si="241"/>
        <v>0.93777937501425646</v>
      </c>
      <c r="CL95" s="390">
        <f t="shared" si="241"/>
        <v>0.86944074514561964</v>
      </c>
      <c r="CM95" s="390">
        <f t="shared" si="241"/>
        <v>0.91224925466901829</v>
      </c>
      <c r="CN95" s="391" t="str">
        <f t="shared" si="241"/>
        <v/>
      </c>
      <c r="CO95" s="390">
        <f t="shared" si="239"/>
        <v>0.86393773239722116</v>
      </c>
      <c r="CP95" s="390">
        <f t="shared" si="239"/>
        <v>0.94855912567406242</v>
      </c>
      <c r="CQ95" s="390">
        <f t="shared" si="239"/>
        <v>0.93921400288740597</v>
      </c>
      <c r="CR95" s="390">
        <f t="shared" si="239"/>
        <v>0.95642804012018989</v>
      </c>
      <c r="CS95" s="391">
        <f t="shared" si="239"/>
        <v>0.92747002525562838</v>
      </c>
    </row>
    <row r="96" spans="1:131" s="317" customFormat="1" ht="15.75" customHeight="1">
      <c r="A96" s="135" t="s">
        <v>276</v>
      </c>
      <c r="B96" s="300">
        <v>64</v>
      </c>
      <c r="C96" s="392">
        <f>IF((C32-C28)=0,"",(C73)/(C32-C28))</f>
        <v>3.1434216702769378E-2</v>
      </c>
      <c r="D96" s="392">
        <f t="shared" ref="D96:U96" si="242">IF((D32-D28)=0,"",(D73)/(D32-D28))</f>
        <v>3.1434216702769385E-2</v>
      </c>
      <c r="E96" s="392">
        <f t="shared" si="242"/>
        <v>3.3657621895660711E-2</v>
      </c>
      <c r="F96" s="392">
        <f t="shared" si="242"/>
        <v>3.370670819846696E-2</v>
      </c>
      <c r="G96" s="392">
        <f t="shared" si="242"/>
        <v>3.5095274522832766E-2</v>
      </c>
      <c r="H96" s="392">
        <f t="shared" si="242"/>
        <v>3.5095274522832773E-2</v>
      </c>
      <c r="I96" s="392">
        <f t="shared" si="242"/>
        <v>3.3508311099653312E-2</v>
      </c>
      <c r="J96" s="392">
        <f t="shared" si="242"/>
        <v>3.3481128682689383E-2</v>
      </c>
      <c r="K96" s="388">
        <f t="shared" si="242"/>
        <v>3.3458588059448312E-2</v>
      </c>
      <c r="L96" s="393" t="str">
        <f t="shared" si="242"/>
        <v/>
      </c>
      <c r="M96" s="392">
        <f t="shared" si="242"/>
        <v>2.6799629459708665E-2</v>
      </c>
      <c r="N96" s="392" t="str">
        <f t="shared" si="242"/>
        <v/>
      </c>
      <c r="O96" s="392">
        <f t="shared" si="242"/>
        <v>2.7756684598549977E-2</v>
      </c>
      <c r="P96" s="392" t="str">
        <f t="shared" si="242"/>
        <v/>
      </c>
      <c r="Q96" s="392">
        <f t="shared" si="242"/>
        <v>2.8372882629173635E-2</v>
      </c>
      <c r="R96" s="392" t="str">
        <f t="shared" si="242"/>
        <v/>
      </c>
      <c r="S96" s="392">
        <f t="shared" si="242"/>
        <v>2.6739808784653634E-2</v>
      </c>
      <c r="T96" s="390">
        <f t="shared" si="242"/>
        <v>2.7412940794405385E-2</v>
      </c>
      <c r="U96" s="394">
        <f t="shared" si="242"/>
        <v>2.9702433406591601E-2</v>
      </c>
      <c r="V96" s="300">
        <v>64</v>
      </c>
      <c r="W96" s="392">
        <f t="shared" ref="W96:AO96" si="243">IF((W32-W28)=0,"",(W73)/(W32-W28))</f>
        <v>3.1434216702769378E-2</v>
      </c>
      <c r="X96" s="392">
        <f t="shared" si="243"/>
        <v>3.1434216702769378E-2</v>
      </c>
      <c r="Y96" s="392">
        <f t="shared" si="243"/>
        <v>3.3683945347118827E-2</v>
      </c>
      <c r="Z96" s="392">
        <f t="shared" si="243"/>
        <v>3.368394534711882E-2</v>
      </c>
      <c r="AA96" s="392">
        <f t="shared" si="243"/>
        <v>3.5095274522832766E-2</v>
      </c>
      <c r="AB96" s="392">
        <f t="shared" si="243"/>
        <v>3.5095274522832773E-2</v>
      </c>
      <c r="AC96" s="392">
        <f t="shared" si="243"/>
        <v>3.348112868268939E-2</v>
      </c>
      <c r="AD96" s="392">
        <f t="shared" si="243"/>
        <v>3.348112868268939E-2</v>
      </c>
      <c r="AE96" s="388">
        <f t="shared" si="243"/>
        <v>3.3409789463407939E-2</v>
      </c>
      <c r="AF96" s="393" t="str">
        <f t="shared" si="243"/>
        <v/>
      </c>
      <c r="AG96" s="392">
        <f t="shared" si="243"/>
        <v>2.5274098703137942E-2</v>
      </c>
      <c r="AH96" s="392" t="str">
        <f t="shared" si="243"/>
        <v/>
      </c>
      <c r="AI96" s="392">
        <f t="shared" si="243"/>
        <v>2.7933538516301856E-2</v>
      </c>
      <c r="AJ96" s="392" t="str">
        <f t="shared" si="243"/>
        <v/>
      </c>
      <c r="AK96" s="392">
        <f t="shared" si="243"/>
        <v>2.8927563801914989E-2</v>
      </c>
      <c r="AL96" s="392" t="str">
        <f t="shared" si="243"/>
        <v/>
      </c>
      <c r="AM96" s="392">
        <f t="shared" si="243"/>
        <v>2.7557817161785965E-2</v>
      </c>
      <c r="AN96" s="390">
        <f t="shared" si="243"/>
        <v>2.7324278604679671E-2</v>
      </c>
      <c r="AO96" s="394">
        <f t="shared" si="243"/>
        <v>2.9892073044419085E-2</v>
      </c>
      <c r="AP96" s="300">
        <v>64</v>
      </c>
      <c r="AQ96" s="392">
        <f t="shared" ref="AQ96:BI96" si="244">IF((AQ32-AQ28)=0,"",(AQ73)/(AQ32-AQ28))</f>
        <v>3.1429712972469735E-2</v>
      </c>
      <c r="AR96" s="392">
        <f t="shared" si="244"/>
        <v>3.1439255821110595E-2</v>
      </c>
      <c r="AS96" s="392">
        <f t="shared" si="244"/>
        <v>3.3683926393198088E-2</v>
      </c>
      <c r="AT96" s="392">
        <f t="shared" si="244"/>
        <v>3.3690755260246071E-2</v>
      </c>
      <c r="AU96" s="392">
        <f t="shared" si="244"/>
        <v>3.5090855000129643E-2</v>
      </c>
      <c r="AV96" s="392">
        <f t="shared" si="244"/>
        <v>3.5095274522832773E-2</v>
      </c>
      <c r="AW96" s="392">
        <f t="shared" si="244"/>
        <v>3.3481128682689383E-2</v>
      </c>
      <c r="AX96" s="392">
        <f t="shared" si="244"/>
        <v>3.348112868268939E-2</v>
      </c>
      <c r="AY96" s="388">
        <f t="shared" si="244"/>
        <v>3.3476248865290034E-2</v>
      </c>
      <c r="AZ96" s="393" t="str">
        <f t="shared" si="244"/>
        <v/>
      </c>
      <c r="BA96" s="392">
        <f t="shared" si="244"/>
        <v>2.4697274481944087E-2</v>
      </c>
      <c r="BB96" s="392" t="str">
        <f t="shared" si="244"/>
        <v/>
      </c>
      <c r="BC96" s="392">
        <f t="shared" si="244"/>
        <v>2.6500513254921552E-2</v>
      </c>
      <c r="BD96" s="392" t="str">
        <f t="shared" si="244"/>
        <v/>
      </c>
      <c r="BE96" s="392">
        <f t="shared" si="244"/>
        <v>2.8079472110240301E-2</v>
      </c>
      <c r="BF96" s="392" t="str">
        <f t="shared" si="244"/>
        <v/>
      </c>
      <c r="BG96" s="392">
        <f t="shared" si="244"/>
        <v>2.6991387980644328E-2</v>
      </c>
      <c r="BH96" s="390">
        <f t="shared" si="244"/>
        <v>2.6539515112627126E-2</v>
      </c>
      <c r="BI96" s="394">
        <f t="shared" si="244"/>
        <v>3.0810850281801739E-2</v>
      </c>
      <c r="BJ96" s="300">
        <v>64</v>
      </c>
      <c r="BK96" s="392">
        <f t="shared" ref="BK96:CC96" si="245">IF((BK32-BK28)=0,"",(BK73)/(BK32-BK28))</f>
        <v>3.1376357834759262E-2</v>
      </c>
      <c r="BL96" s="392">
        <f t="shared" si="245"/>
        <v>2.9078596126929299E-2</v>
      </c>
      <c r="BM96" s="392">
        <f t="shared" si="245"/>
        <v>3.3582555245690905E-2</v>
      </c>
      <c r="BN96" s="392">
        <f t="shared" si="245"/>
        <v>3.0654822557831085E-2</v>
      </c>
      <c r="BO96" s="392">
        <f t="shared" si="245"/>
        <v>3.6054805808225177E-2</v>
      </c>
      <c r="BP96" s="392">
        <f t="shared" si="245"/>
        <v>3.23695962194126E-2</v>
      </c>
      <c r="BQ96" s="392">
        <f t="shared" si="245"/>
        <v>2.7448791158628669E-2</v>
      </c>
      <c r="BR96" s="392">
        <f t="shared" si="245"/>
        <v>2.5253123095424743E-2</v>
      </c>
      <c r="BS96" s="388">
        <f t="shared" si="245"/>
        <v>2.9284761726391221E-2</v>
      </c>
      <c r="BT96" s="393" t="str">
        <f t="shared" si="245"/>
        <v/>
      </c>
      <c r="BU96" s="392">
        <f t="shared" si="245"/>
        <v>2.6182619906251887E-2</v>
      </c>
      <c r="BV96" s="392" t="str">
        <f t="shared" si="245"/>
        <v/>
      </c>
      <c r="BW96" s="392">
        <f t="shared" si="245"/>
        <v>2.9113390848230225E-2</v>
      </c>
      <c r="BX96" s="392" t="str">
        <f t="shared" si="245"/>
        <v/>
      </c>
      <c r="BY96" s="392">
        <f t="shared" si="245"/>
        <v>3.0569561907779201E-2</v>
      </c>
      <c r="BZ96" s="392" t="str">
        <f t="shared" si="245"/>
        <v/>
      </c>
      <c r="CA96" s="392">
        <f t="shared" si="245"/>
        <v>2.9169734007599642E-2</v>
      </c>
      <c r="CB96" s="390">
        <f t="shared" si="245"/>
        <v>2.8709252540329931E-2</v>
      </c>
      <c r="CC96" s="394">
        <f t="shared" si="245"/>
        <v>2.915022881815918E-2</v>
      </c>
      <c r="CD96" s="300">
        <v>64</v>
      </c>
      <c r="CE96" s="390">
        <f t="shared" ref="CE96:CS96" si="246">IF((CE32-CE28)=0,"",(CE73)/(CE32-CE28))</f>
        <v>3.1289676574233649E-2</v>
      </c>
      <c r="CF96" s="390">
        <f t="shared" si="246"/>
        <v>3.3513917049328851E-2</v>
      </c>
      <c r="CG96" s="390">
        <f t="shared" si="246"/>
        <v>3.4954856839731221E-2</v>
      </c>
      <c r="CH96" s="390">
        <f t="shared" si="246"/>
        <v>3.291871579700429E-2</v>
      </c>
      <c r="CI96" s="391">
        <f t="shared" si="246"/>
        <v>3.3204753340992758E-2</v>
      </c>
      <c r="CJ96" s="390">
        <f t="shared" si="246"/>
        <v>2.4977008879718248E-2</v>
      </c>
      <c r="CK96" s="390">
        <f t="shared" si="246"/>
        <v>2.6765779276455973E-2</v>
      </c>
      <c r="CL96" s="390">
        <f t="shared" si="246"/>
        <v>2.8208946764664549E-2</v>
      </c>
      <c r="CM96" s="390">
        <f t="shared" si="246"/>
        <v>2.7049114719781723E-2</v>
      </c>
      <c r="CN96" s="391" t="str">
        <f t="shared" si="246"/>
        <v/>
      </c>
      <c r="CO96" s="390">
        <f t="shared" si="246"/>
        <v>2.855763792486914E-2</v>
      </c>
      <c r="CP96" s="390">
        <f t="shared" si="246"/>
        <v>3.0960128883633323E-2</v>
      </c>
      <c r="CQ96" s="390">
        <f t="shared" si="246"/>
        <v>3.2280540237577066E-2</v>
      </c>
      <c r="CR96" s="390">
        <f t="shared" si="246"/>
        <v>3.0666316394082647E-2</v>
      </c>
      <c r="CS96" s="391">
        <f t="shared" si="246"/>
        <v>3.062791095762827E-2</v>
      </c>
    </row>
    <row r="97" spans="1:102" ht="15.75" customHeight="1">
      <c r="A97" s="135" t="s">
        <v>278</v>
      </c>
      <c r="B97" s="300">
        <v>65</v>
      </c>
      <c r="C97" s="392">
        <f t="shared" ref="C97:U97" si="247">IF((C32-C28)=0,"",C88/(C32-C28))</f>
        <v>9.0479646898798338E-2</v>
      </c>
      <c r="D97" s="392">
        <f t="shared" si="247"/>
        <v>9.0479646898798352E-2</v>
      </c>
      <c r="E97" s="392">
        <f t="shared" si="247"/>
        <v>0.10089343205613761</v>
      </c>
      <c r="F97" s="392">
        <f t="shared" si="247"/>
        <v>0.10104057511848537</v>
      </c>
      <c r="G97" s="392">
        <f t="shared" si="247"/>
        <v>9.9377779068628214E-2</v>
      </c>
      <c r="H97" s="392">
        <f t="shared" si="247"/>
        <v>9.9377779068628214E-2</v>
      </c>
      <c r="I97" s="392">
        <f t="shared" si="247"/>
        <v>0.10090287495181609</v>
      </c>
      <c r="J97" s="392">
        <f t="shared" si="247"/>
        <v>0.10082102110929794</v>
      </c>
      <c r="K97" s="395">
        <f t="shared" si="247"/>
        <v>9.8036248354164149E-2</v>
      </c>
      <c r="L97" s="393" t="str">
        <f t="shared" si="247"/>
        <v/>
      </c>
      <c r="M97" s="392">
        <f t="shared" si="247"/>
        <v>8.0216814233486158E-2</v>
      </c>
      <c r="N97" s="392" t="str">
        <f t="shared" si="247"/>
        <v/>
      </c>
      <c r="O97" s="392">
        <f t="shared" si="247"/>
        <v>8.6031458371872357E-2</v>
      </c>
      <c r="P97" s="392" t="str">
        <f t="shared" si="247"/>
        <v/>
      </c>
      <c r="Q97" s="392">
        <f t="shared" si="247"/>
        <v>8.2869266342255554E-2</v>
      </c>
      <c r="R97" s="392" t="str">
        <f t="shared" si="247"/>
        <v/>
      </c>
      <c r="S97" s="392">
        <f t="shared" si="247"/>
        <v>8.3004190795217314E-2</v>
      </c>
      <c r="T97" s="396">
        <f t="shared" si="247"/>
        <v>8.2981274917962033E-2</v>
      </c>
      <c r="U97" s="393">
        <f t="shared" si="247"/>
        <v>8.8682608281909076E-2</v>
      </c>
      <c r="V97" s="300">
        <v>65</v>
      </c>
      <c r="W97" s="392">
        <f t="shared" ref="W97:AO97" si="248">IF((W32-W28)=0,"",W88/(W32-W28))</f>
        <v>9.0479646898798352E-2</v>
      </c>
      <c r="X97" s="392">
        <f t="shared" si="248"/>
        <v>9.0479646898798366E-2</v>
      </c>
      <c r="Y97" s="392">
        <f t="shared" si="248"/>
        <v>0.10097234028588141</v>
      </c>
      <c r="Z97" s="392">
        <f t="shared" si="248"/>
        <v>0.10097234028588142</v>
      </c>
      <c r="AA97" s="392">
        <f t="shared" si="248"/>
        <v>9.9377779068628214E-2</v>
      </c>
      <c r="AB97" s="392">
        <f t="shared" si="248"/>
        <v>9.9377779068628214E-2</v>
      </c>
      <c r="AC97" s="392">
        <f t="shared" si="248"/>
        <v>0.10082102110929797</v>
      </c>
      <c r="AD97" s="392">
        <f t="shared" si="248"/>
        <v>0.10082102110929796</v>
      </c>
      <c r="AE97" s="395">
        <f t="shared" si="248"/>
        <v>9.7876218501618178E-2</v>
      </c>
      <c r="AF97" s="393" t="str">
        <f t="shared" si="248"/>
        <v/>
      </c>
      <c r="AG97" s="392">
        <f t="shared" si="248"/>
        <v>7.5650586275324186E-2</v>
      </c>
      <c r="AH97" s="392" t="str">
        <f t="shared" si="248"/>
        <v/>
      </c>
      <c r="AI97" s="392">
        <f t="shared" si="248"/>
        <v>8.6579614633437108E-2</v>
      </c>
      <c r="AJ97" s="392" t="str">
        <f t="shared" si="248"/>
        <v/>
      </c>
      <c r="AK97" s="392">
        <f t="shared" si="248"/>
        <v>8.4489335139624575E-2</v>
      </c>
      <c r="AL97" s="392" t="str">
        <f t="shared" si="248"/>
        <v/>
      </c>
      <c r="AM97" s="392">
        <f t="shared" si="248"/>
        <v>8.5543405789400298E-2</v>
      </c>
      <c r="AN97" s="396">
        <f t="shared" si="248"/>
        <v>8.2691610629884366E-2</v>
      </c>
      <c r="AO97" s="393">
        <f t="shared" si="248"/>
        <v>8.9098788690660943E-2</v>
      </c>
      <c r="AP97" s="300">
        <v>65</v>
      </c>
      <c r="AQ97" s="392">
        <f t="shared" ref="AQ97:BI97" si="249">IF((AQ32-AQ28)=0,"",AQ88/(AQ32-AQ28))</f>
        <v>9.0466683447820953E-2</v>
      </c>
      <c r="AR97" s="392">
        <f t="shared" si="249"/>
        <v>9.049415140045354E-2</v>
      </c>
      <c r="AS97" s="392">
        <f t="shared" si="249"/>
        <v>0.1009722834688514</v>
      </c>
      <c r="AT97" s="392">
        <f t="shared" si="249"/>
        <v>0.10099275395353571</v>
      </c>
      <c r="AU97" s="392">
        <f t="shared" si="249"/>
        <v>9.9365264496317496E-2</v>
      </c>
      <c r="AV97" s="392">
        <f t="shared" si="249"/>
        <v>9.93777790686282E-2</v>
      </c>
      <c r="AW97" s="392">
        <f t="shared" si="249"/>
        <v>0.10082102110929797</v>
      </c>
      <c r="AX97" s="392">
        <f t="shared" si="249"/>
        <v>0.10082102110929797</v>
      </c>
      <c r="AY97" s="395">
        <f t="shared" si="249"/>
        <v>9.8120496200903046E-2</v>
      </c>
      <c r="AZ97" s="393" t="str">
        <f t="shared" si="249"/>
        <v/>
      </c>
      <c r="BA97" s="392">
        <f t="shared" si="249"/>
        <v>7.392403250089799E-2</v>
      </c>
      <c r="BB97" s="392" t="str">
        <f t="shared" si="249"/>
        <v/>
      </c>
      <c r="BC97" s="392">
        <f t="shared" si="249"/>
        <v>8.2137972740560561E-2</v>
      </c>
      <c r="BD97" s="392" t="str">
        <f t="shared" si="249"/>
        <v/>
      </c>
      <c r="BE97" s="392">
        <f t="shared" si="249"/>
        <v>8.2012296158475051E-2</v>
      </c>
      <c r="BF97" s="392" t="str">
        <f t="shared" si="249"/>
        <v/>
      </c>
      <c r="BG97" s="392">
        <f t="shared" si="249"/>
        <v>8.3785128600430928E-2</v>
      </c>
      <c r="BH97" s="396">
        <f t="shared" si="249"/>
        <v>8.0316602618110633E-2</v>
      </c>
      <c r="BI97" s="393">
        <f t="shared" si="249"/>
        <v>9.1279456249220556E-2</v>
      </c>
      <c r="BJ97" s="300">
        <v>65</v>
      </c>
      <c r="BK97" s="392">
        <f t="shared" ref="BK97:CC97" si="250">IF((BK32-BK28)=0,"",BK88/(BK32-BK28))</f>
        <v>9.0313107042023166E-2</v>
      </c>
      <c r="BL97" s="392">
        <f t="shared" si="250"/>
        <v>8.369927378039399E-2</v>
      </c>
      <c r="BM97" s="392">
        <f t="shared" si="250"/>
        <v>0.1006684092671869</v>
      </c>
      <c r="BN97" s="392">
        <f t="shared" si="250"/>
        <v>9.1892120795683194E-2</v>
      </c>
      <c r="BO97" s="392">
        <f t="shared" si="250"/>
        <v>0.10209484253046623</v>
      </c>
      <c r="BP97" s="392">
        <f t="shared" si="250"/>
        <v>9.1659593075433712E-2</v>
      </c>
      <c r="BQ97" s="392">
        <f t="shared" si="250"/>
        <v>8.2655969547993091E-2</v>
      </c>
      <c r="BR97" s="392">
        <f t="shared" si="250"/>
        <v>7.6044200325776037E-2</v>
      </c>
      <c r="BS97" s="395">
        <f t="shared" si="250"/>
        <v>8.5819068504448148E-2</v>
      </c>
      <c r="BT97" s="393" t="str">
        <f t="shared" si="250"/>
        <v/>
      </c>
      <c r="BU97" s="392">
        <f t="shared" si="250"/>
        <v>7.836997747761458E-2</v>
      </c>
      <c r="BV97" s="392" t="str">
        <f t="shared" si="250"/>
        <v/>
      </c>
      <c r="BW97" s="392">
        <f t="shared" si="250"/>
        <v>9.0236550548058347E-2</v>
      </c>
      <c r="BX97" s="392" t="str">
        <f t="shared" si="250"/>
        <v/>
      </c>
      <c r="BY97" s="392">
        <f t="shared" si="250"/>
        <v>8.928515303894613E-2</v>
      </c>
      <c r="BZ97" s="392" t="str">
        <f t="shared" si="250"/>
        <v/>
      </c>
      <c r="CA97" s="392">
        <f t="shared" si="250"/>
        <v>9.0547026215165319E-2</v>
      </c>
      <c r="CB97" s="396">
        <f t="shared" si="250"/>
        <v>8.6974761811567963E-2</v>
      </c>
      <c r="CC97" s="393">
        <f t="shared" si="250"/>
        <v>8.6089227148995973E-2</v>
      </c>
      <c r="CD97" s="300">
        <v>65</v>
      </c>
      <c r="CE97" s="396">
        <f t="shared" ref="CE97:CS97" si="251">IF((CE32-CE28)=0,"",CE88/(CE32-CE28))</f>
        <v>9.0063605363032387E-2</v>
      </c>
      <c r="CF97" s="396">
        <f t="shared" si="251"/>
        <v>0.10046265666759512</v>
      </c>
      <c r="CG97" s="396">
        <f t="shared" si="251"/>
        <v>9.8980164356154157E-2</v>
      </c>
      <c r="CH97" s="396">
        <f t="shared" si="251"/>
        <v>9.9127438973606236E-2</v>
      </c>
      <c r="CI97" s="423">
        <f t="shared" si="251"/>
        <v>9.7321501981126338E-2</v>
      </c>
      <c r="CJ97" s="396">
        <f t="shared" si="251"/>
        <v>7.476133520520227E-2</v>
      </c>
      <c r="CK97" s="396">
        <f t="shared" si="251"/>
        <v>8.2960161089752044E-2</v>
      </c>
      <c r="CL97" s="396">
        <f t="shared" si="251"/>
        <v>8.2390455465101931E-2</v>
      </c>
      <c r="CM97" s="396">
        <f t="shared" si="251"/>
        <v>8.3964320654792077E-2</v>
      </c>
      <c r="CN97" s="423" t="str">
        <f t="shared" si="251"/>
        <v/>
      </c>
      <c r="CO97" s="396">
        <f t="shared" si="251"/>
        <v>8.3440986287022498E-2</v>
      </c>
      <c r="CP97" s="396">
        <f t="shared" si="251"/>
        <v>9.3838952827920111E-2</v>
      </c>
      <c r="CQ97" s="396">
        <f t="shared" si="251"/>
        <v>9.240341882907907E-2</v>
      </c>
      <c r="CR97" s="396">
        <f t="shared" si="251"/>
        <v>9.3308747345607512E-2</v>
      </c>
      <c r="CS97" s="423">
        <f t="shared" si="251"/>
        <v>9.0784528851606483E-2</v>
      </c>
    </row>
    <row r="98" spans="1:102" s="317" customFormat="1" ht="15.75" customHeight="1">
      <c r="A98" s="316"/>
      <c r="AP98" s="424"/>
    </row>
    <row r="99" spans="1:102" s="317" customFormat="1" ht="15.75" customHeight="1">
      <c r="A99" s="316"/>
    </row>
    <row r="100" spans="1:102" s="317" customFormat="1" ht="15.75" customHeight="1">
      <c r="C100" s="319"/>
      <c r="D100" s="319"/>
      <c r="E100" s="319"/>
      <c r="F100" s="319"/>
      <c r="G100" s="319"/>
      <c r="H100" s="319"/>
      <c r="I100" s="319"/>
      <c r="J100" s="319"/>
      <c r="L100" s="319"/>
      <c r="M100" s="319"/>
      <c r="N100" s="319"/>
      <c r="O100" s="319"/>
      <c r="P100" s="319"/>
      <c r="Q100" s="319"/>
      <c r="R100" s="319"/>
      <c r="S100" s="319"/>
      <c r="W100" s="319"/>
      <c r="X100" s="319"/>
      <c r="Y100" s="319"/>
      <c r="Z100" s="319"/>
      <c r="AA100" s="319"/>
      <c r="AB100" s="319"/>
      <c r="AC100" s="319"/>
      <c r="AD100" s="319"/>
      <c r="AF100" s="319"/>
      <c r="AG100" s="319"/>
      <c r="AH100" s="319"/>
      <c r="AI100" s="319"/>
      <c r="AJ100" s="319"/>
      <c r="AK100" s="319"/>
      <c r="AL100" s="319"/>
      <c r="AM100" s="319"/>
      <c r="AQ100" s="319"/>
      <c r="AR100" s="319"/>
      <c r="AS100" s="319"/>
      <c r="AT100" s="319"/>
      <c r="AU100" s="319"/>
      <c r="AV100" s="319"/>
      <c r="AW100" s="319"/>
      <c r="AX100" s="319"/>
      <c r="AZ100" s="319"/>
      <c r="BA100" s="319"/>
      <c r="BB100" s="319"/>
      <c r="BC100" s="319"/>
      <c r="BD100" s="319"/>
      <c r="BE100" s="319"/>
      <c r="BF100" s="319"/>
      <c r="BG100" s="319"/>
      <c r="BK100" s="319"/>
      <c r="BL100" s="319"/>
      <c r="BM100" s="319"/>
      <c r="BN100" s="319"/>
      <c r="BO100" s="319"/>
      <c r="BP100" s="319"/>
      <c r="BQ100" s="319"/>
      <c r="BR100" s="319"/>
      <c r="BT100" s="319"/>
      <c r="BU100" s="319"/>
      <c r="BV100" s="319"/>
      <c r="BW100" s="319"/>
      <c r="BX100" s="319"/>
      <c r="BY100" s="319"/>
      <c r="BZ100" s="319"/>
      <c r="CA100" s="319"/>
      <c r="CT100" s="319"/>
      <c r="CU100" s="319"/>
      <c r="CV100" s="319"/>
      <c r="CW100" s="319"/>
      <c r="CX100" s="319"/>
    </row>
    <row r="101" spans="1:102" s="317" customFormat="1" ht="15.75" customHeight="1">
      <c r="C101" s="319"/>
      <c r="D101" s="319"/>
      <c r="F101" s="319"/>
      <c r="H101" s="319"/>
      <c r="J101" s="319"/>
      <c r="L101" s="319"/>
      <c r="M101" s="319"/>
      <c r="O101" s="319"/>
      <c r="Q101" s="319"/>
      <c r="S101" s="319"/>
      <c r="W101" s="319"/>
      <c r="X101" s="319"/>
      <c r="Z101" s="319"/>
      <c r="AB101" s="319"/>
      <c r="AD101" s="319"/>
      <c r="AF101" s="319"/>
      <c r="AG101" s="319"/>
      <c r="AI101" s="319"/>
      <c r="AK101" s="319"/>
      <c r="AM101" s="319"/>
      <c r="AQ101" s="319"/>
      <c r="AR101" s="319"/>
      <c r="AT101" s="319"/>
      <c r="AV101" s="319"/>
      <c r="AX101" s="319"/>
      <c r="AZ101" s="319"/>
      <c r="BA101" s="319"/>
      <c r="BC101" s="319"/>
      <c r="BE101" s="319"/>
      <c r="BG101" s="319"/>
      <c r="BK101" s="319"/>
      <c r="BL101" s="319"/>
      <c r="BN101" s="319"/>
      <c r="BP101" s="319"/>
      <c r="BR101" s="319"/>
      <c r="BT101" s="319"/>
      <c r="BU101" s="319"/>
      <c r="BW101" s="319"/>
      <c r="BY101" s="319"/>
      <c r="CA101" s="319"/>
      <c r="CT101" s="319"/>
      <c r="CV101" s="319"/>
      <c r="CX101" s="319"/>
    </row>
    <row r="102" spans="1:102" s="317" customFormat="1" ht="15.75" customHeight="1"/>
    <row r="103" spans="1:102" s="317" customFormat="1">
      <c r="C103" s="319"/>
      <c r="D103" s="319"/>
      <c r="E103" s="319"/>
      <c r="F103" s="319"/>
      <c r="G103" s="319"/>
      <c r="H103" s="319"/>
      <c r="I103" s="319"/>
      <c r="J103" s="319"/>
      <c r="L103" s="319"/>
      <c r="M103" s="319"/>
      <c r="N103" s="319"/>
      <c r="O103" s="319"/>
      <c r="P103" s="319"/>
      <c r="Q103" s="319"/>
      <c r="R103" s="319"/>
      <c r="S103" s="319"/>
      <c r="W103" s="319"/>
      <c r="X103" s="319"/>
      <c r="Y103" s="319"/>
      <c r="Z103" s="319"/>
      <c r="AA103" s="319"/>
      <c r="AB103" s="319"/>
      <c r="AC103" s="319"/>
      <c r="AD103" s="319"/>
      <c r="AF103" s="319"/>
      <c r="AG103" s="319"/>
      <c r="AH103" s="319"/>
      <c r="AI103" s="319"/>
      <c r="AJ103" s="319"/>
      <c r="AK103" s="319"/>
      <c r="AL103" s="319"/>
      <c r="AM103" s="319"/>
      <c r="AQ103" s="319"/>
      <c r="AR103" s="319"/>
      <c r="AS103" s="319"/>
      <c r="AT103" s="319"/>
      <c r="AU103" s="319"/>
      <c r="AV103" s="319"/>
      <c r="AW103" s="319"/>
      <c r="AX103" s="319"/>
      <c r="AZ103" s="319"/>
      <c r="BA103" s="319"/>
      <c r="BB103" s="319"/>
      <c r="BC103" s="319"/>
      <c r="BD103" s="319"/>
      <c r="BE103" s="319"/>
      <c r="BF103" s="319"/>
      <c r="BG103" s="319"/>
      <c r="BK103" s="319"/>
      <c r="BL103" s="319"/>
      <c r="BM103" s="319"/>
      <c r="BN103" s="319"/>
      <c r="BO103" s="319"/>
      <c r="BP103" s="319"/>
      <c r="BQ103" s="319"/>
      <c r="BR103" s="319"/>
      <c r="BT103" s="319"/>
      <c r="BU103" s="319"/>
      <c r="BV103" s="319"/>
      <c r="BW103" s="319"/>
      <c r="BX103" s="319"/>
      <c r="BY103" s="319"/>
      <c r="BZ103" s="319"/>
      <c r="CA103" s="319"/>
      <c r="CT103" s="319"/>
      <c r="CU103" s="319"/>
      <c r="CV103" s="319"/>
      <c r="CW103" s="319"/>
      <c r="CX103" s="319"/>
    </row>
    <row r="104" spans="1:102" s="317" customFormat="1">
      <c r="C104" s="319"/>
      <c r="D104" s="319"/>
      <c r="F104" s="319"/>
      <c r="H104" s="319"/>
      <c r="J104" s="319"/>
      <c r="L104" s="319"/>
      <c r="M104" s="319"/>
      <c r="O104" s="319"/>
      <c r="Q104" s="319"/>
      <c r="S104" s="319"/>
      <c r="W104" s="319"/>
      <c r="X104" s="319"/>
      <c r="Z104" s="319"/>
      <c r="AB104" s="319"/>
      <c r="AD104" s="319"/>
      <c r="AF104" s="319"/>
      <c r="AG104" s="319"/>
      <c r="AI104" s="319"/>
      <c r="AK104" s="319"/>
      <c r="AM104" s="319"/>
      <c r="AQ104" s="319"/>
      <c r="AR104" s="319"/>
      <c r="AT104" s="319"/>
      <c r="AV104" s="319"/>
      <c r="AX104" s="319"/>
      <c r="AZ104" s="319"/>
      <c r="BA104" s="319"/>
      <c r="BC104" s="319"/>
      <c r="BE104" s="319"/>
      <c r="BG104" s="319"/>
      <c r="BK104" s="319"/>
      <c r="BL104" s="319"/>
      <c r="BN104" s="319"/>
      <c r="BP104" s="319"/>
      <c r="BR104" s="319"/>
      <c r="BT104" s="319"/>
      <c r="BU104" s="319"/>
      <c r="BW104" s="319"/>
      <c r="BY104" s="319"/>
      <c r="CA104" s="319"/>
      <c r="CT104" s="319"/>
      <c r="CV104" s="319"/>
      <c r="CX104" s="319"/>
    </row>
    <row r="105" spans="1:102" s="317" customFormat="1"/>
    <row r="106" spans="1:102" s="317" customFormat="1">
      <c r="CT106" s="319"/>
      <c r="CV106" s="319"/>
      <c r="CX106" s="319"/>
    </row>
    <row r="107" spans="1:102" s="317" customFormat="1">
      <c r="CT107" s="319"/>
      <c r="CV107" s="319"/>
      <c r="CX107" s="319"/>
    </row>
    <row r="108" spans="1:102" s="317" customFormat="1">
      <c r="CT108" s="319"/>
      <c r="CV108" s="319"/>
      <c r="CX108" s="319"/>
    </row>
    <row r="109" spans="1:102" s="317" customFormat="1"/>
    <row r="110" spans="1:102" s="317" customFormat="1">
      <c r="CT110" s="319"/>
      <c r="CV110" s="319"/>
      <c r="CX110" s="319"/>
    </row>
    <row r="111" spans="1:102" s="317" customFormat="1"/>
    <row r="112" spans="1:102" s="317" customFormat="1"/>
    <row r="113" s="317" customFormat="1"/>
    <row r="114" s="317" customFormat="1"/>
    <row r="115" s="317" customFormat="1"/>
    <row r="116" s="317" customFormat="1"/>
    <row r="117" s="317" customFormat="1"/>
    <row r="118" s="317" customFormat="1"/>
    <row r="119" s="317" customFormat="1"/>
    <row r="120" s="317" customFormat="1"/>
    <row r="121" s="317" customFormat="1"/>
    <row r="122" s="317" customFormat="1"/>
    <row r="123" s="317" customFormat="1"/>
    <row r="124" s="317" customFormat="1"/>
    <row r="125" s="317" customFormat="1"/>
    <row r="126" s="317" customFormat="1"/>
    <row r="127" s="317" customFormat="1"/>
    <row r="128" s="317" customFormat="1"/>
    <row r="129" s="317" customFormat="1"/>
    <row r="130" s="317" customFormat="1"/>
    <row r="131" s="317" customFormat="1"/>
    <row r="132" s="317" customFormat="1"/>
    <row r="133" s="317" customFormat="1"/>
    <row r="134" s="317" customFormat="1"/>
    <row r="135" s="317" customFormat="1"/>
    <row r="136" s="317" customFormat="1"/>
    <row r="137" s="317" customFormat="1"/>
    <row r="138" s="317" customFormat="1"/>
    <row r="139" s="317" customFormat="1"/>
    <row r="140" s="317" customFormat="1"/>
    <row r="141" s="317" customFormat="1"/>
    <row r="142" s="317" customFormat="1"/>
    <row r="143" s="317" customFormat="1"/>
    <row r="144" s="317" customFormat="1"/>
    <row r="145" s="317" customFormat="1"/>
    <row r="146" s="317" customFormat="1"/>
    <row r="147" s="317" customFormat="1"/>
    <row r="148" s="317" customFormat="1"/>
    <row r="149" s="317" customFormat="1"/>
    <row r="150" s="317" customFormat="1"/>
    <row r="151" s="317" customFormat="1"/>
    <row r="152" s="317" customFormat="1"/>
    <row r="153" s="317" customFormat="1"/>
    <row r="154" s="317" customFormat="1"/>
    <row r="155" s="317" customFormat="1"/>
    <row r="156" s="317" customFormat="1"/>
    <row r="157" s="317" customFormat="1"/>
    <row r="158" s="317" customFormat="1"/>
    <row r="159" s="317" customFormat="1"/>
    <row r="160" s="317" customFormat="1"/>
    <row r="161" s="317" customFormat="1"/>
    <row r="162" s="317" customFormat="1"/>
    <row r="163" s="317" customFormat="1"/>
    <row r="164" s="317" customFormat="1"/>
    <row r="165" s="317" customFormat="1"/>
    <row r="166" s="317" customFormat="1"/>
    <row r="167" s="317" customFormat="1"/>
    <row r="168" s="317" customFormat="1"/>
    <row r="169" s="317" customFormat="1"/>
    <row r="170" s="317" customFormat="1"/>
    <row r="171" s="317" customFormat="1"/>
    <row r="172" s="317" customFormat="1"/>
    <row r="173" s="317" customFormat="1"/>
    <row r="174" s="317" customFormat="1"/>
    <row r="175" s="317" customFormat="1"/>
    <row r="176" s="317" customFormat="1"/>
    <row r="177" s="317" customFormat="1"/>
    <row r="178" s="317" customFormat="1"/>
    <row r="179" s="317" customFormat="1"/>
    <row r="180" s="317" customFormat="1"/>
    <row r="181" s="317" customFormat="1"/>
    <row r="182" s="317" customFormat="1"/>
    <row r="183" s="317" customFormat="1"/>
    <row r="184" s="317" customFormat="1"/>
    <row r="185" s="317" customFormat="1"/>
    <row r="186" s="317" customFormat="1"/>
    <row r="187" s="317" customFormat="1"/>
    <row r="188" s="317" customFormat="1"/>
    <row r="189" s="317" customFormat="1"/>
    <row r="190" s="317" customFormat="1"/>
    <row r="191" s="317" customFormat="1"/>
    <row r="192" s="317" customFormat="1"/>
    <row r="193" s="317" customFormat="1"/>
    <row r="194" s="317" customFormat="1"/>
    <row r="195" s="317" customFormat="1"/>
    <row r="196" s="317" customFormat="1"/>
    <row r="197" s="317" customFormat="1"/>
    <row r="198" s="317" customFormat="1"/>
    <row r="199" s="317" customFormat="1"/>
    <row r="200" s="317" customFormat="1"/>
    <row r="201" s="317" customFormat="1"/>
    <row r="202" s="317" customFormat="1"/>
    <row r="203" s="317" customFormat="1"/>
    <row r="204" s="317" customFormat="1"/>
    <row r="205" s="317" customFormat="1"/>
    <row r="206" s="317" customFormat="1"/>
    <row r="207" s="317" customFormat="1"/>
    <row r="208" s="317" customFormat="1"/>
    <row r="209" s="317" customFormat="1"/>
    <row r="210" s="317" customFormat="1"/>
    <row r="211" s="317" customFormat="1"/>
    <row r="212" s="317" customFormat="1"/>
    <row r="213" s="317" customFormat="1"/>
    <row r="214" s="317" customFormat="1"/>
    <row r="215" s="317" customFormat="1"/>
    <row r="216" s="317" customFormat="1"/>
    <row r="217" s="317" customFormat="1"/>
    <row r="218" s="317" customFormat="1"/>
    <row r="219" s="317" customFormat="1"/>
    <row r="220" s="317" customFormat="1"/>
    <row r="221" s="317" customFormat="1"/>
    <row r="222" s="317" customFormat="1"/>
    <row r="223" s="317" customFormat="1"/>
    <row r="224" s="317" customFormat="1"/>
    <row r="225" s="317" customFormat="1"/>
    <row r="226" s="317" customFormat="1"/>
    <row r="227" s="317" customFormat="1"/>
    <row r="228" s="317" customFormat="1"/>
    <row r="229" s="317" customFormat="1"/>
    <row r="230" s="317" customFormat="1"/>
    <row r="231" s="317" customFormat="1"/>
    <row r="232" s="317" customFormat="1"/>
    <row r="233" s="317" customFormat="1"/>
    <row r="234" s="317" customFormat="1"/>
    <row r="235" s="317" customFormat="1"/>
    <row r="236" s="317" customFormat="1"/>
    <row r="237" s="317" customFormat="1"/>
    <row r="238" s="317" customFormat="1"/>
    <row r="239" s="317" customFormat="1"/>
    <row r="240" s="317" customFormat="1"/>
    <row r="241" s="317" customFormat="1"/>
    <row r="242" s="317" customFormat="1"/>
    <row r="243" s="317" customFormat="1"/>
    <row r="244" s="317" customFormat="1"/>
    <row r="245" s="317" customFormat="1"/>
    <row r="246" s="317" customFormat="1"/>
    <row r="247" s="317" customFormat="1"/>
    <row r="248" s="317" customFormat="1"/>
    <row r="249" s="317" customFormat="1"/>
    <row r="250" s="317" customFormat="1"/>
    <row r="251" s="317" customFormat="1"/>
    <row r="252" s="317" customFormat="1"/>
    <row r="253" s="317" customFormat="1"/>
    <row r="254" s="317" customFormat="1"/>
    <row r="255" s="317" customFormat="1"/>
    <row r="256" s="317" customFormat="1"/>
    <row r="257" s="317" customFormat="1"/>
    <row r="258" s="317" customFormat="1"/>
    <row r="259" s="317" customFormat="1"/>
    <row r="260" s="317" customFormat="1"/>
    <row r="261" s="317" customFormat="1"/>
    <row r="262" s="317" customFormat="1"/>
    <row r="263" s="317" customFormat="1"/>
    <row r="264" s="317" customFormat="1"/>
    <row r="265" s="317" customFormat="1"/>
    <row r="266" s="317" customFormat="1"/>
    <row r="267" s="317" customFormat="1"/>
    <row r="268" s="317" customFormat="1"/>
    <row r="269" s="317" customFormat="1"/>
    <row r="270" s="317" customFormat="1"/>
    <row r="271" s="317" customFormat="1"/>
    <row r="272" s="317" customFormat="1"/>
    <row r="273" s="317" customFormat="1"/>
    <row r="274" s="317" customFormat="1"/>
    <row r="275" s="317" customFormat="1"/>
    <row r="276" s="317" customFormat="1"/>
    <row r="277" s="317" customFormat="1"/>
    <row r="278" s="317" customFormat="1"/>
    <row r="279" s="317" customFormat="1"/>
    <row r="280" s="317" customFormat="1"/>
    <row r="281" s="317" customFormat="1"/>
    <row r="282" s="317" customFormat="1"/>
    <row r="283" s="317" customFormat="1"/>
    <row r="284" s="317" customFormat="1"/>
    <row r="285" s="317" customFormat="1"/>
    <row r="286" s="317" customFormat="1"/>
    <row r="287" s="317" customFormat="1"/>
    <row r="288" s="317" customFormat="1"/>
    <row r="289" s="317" customFormat="1"/>
    <row r="290" s="317" customFormat="1"/>
    <row r="291" s="317" customFormat="1"/>
    <row r="292" s="317" customFormat="1"/>
    <row r="293" s="317" customFormat="1"/>
    <row r="294" s="317" customFormat="1"/>
    <row r="295" s="317" customFormat="1"/>
    <row r="296" s="317" customFormat="1"/>
    <row r="297" s="317" customFormat="1"/>
    <row r="298" s="317" customFormat="1"/>
    <row r="299" s="317" customFormat="1"/>
    <row r="300" s="317" customFormat="1"/>
    <row r="301" s="317" customFormat="1"/>
    <row r="302" s="317" customFormat="1"/>
    <row r="303" s="317" customFormat="1"/>
    <row r="304" s="317" customFormat="1"/>
    <row r="305" s="317" customFormat="1"/>
    <row r="306" s="317" customFormat="1"/>
    <row r="307" s="317" customFormat="1"/>
    <row r="308" s="317" customFormat="1"/>
    <row r="309" s="317" customFormat="1"/>
    <row r="310" s="317" customFormat="1"/>
    <row r="311" s="317" customFormat="1"/>
    <row r="312" s="317" customFormat="1"/>
    <row r="313" s="317" customFormat="1"/>
    <row r="314" s="317" customFormat="1"/>
    <row r="315" s="317" customFormat="1"/>
    <row r="316" s="317" customFormat="1"/>
    <row r="317" s="317" customFormat="1"/>
    <row r="318" s="317" customFormat="1"/>
    <row r="319" s="317" customFormat="1"/>
    <row r="320" s="317" customFormat="1"/>
    <row r="321" s="317" customFormat="1"/>
    <row r="322" s="317" customFormat="1"/>
    <row r="323" s="317" customFormat="1"/>
    <row r="324" s="317" customFormat="1"/>
    <row r="325" s="317" customFormat="1"/>
    <row r="326" s="317" customFormat="1"/>
    <row r="327" s="317" customFormat="1"/>
    <row r="328" s="317" customFormat="1"/>
    <row r="329" s="317" customFormat="1"/>
    <row r="330" s="317" customFormat="1"/>
    <row r="331" s="317" customFormat="1"/>
    <row r="332" s="317" customFormat="1"/>
    <row r="333" s="317" customFormat="1"/>
    <row r="334" s="317" customFormat="1"/>
    <row r="335" s="317" customFormat="1"/>
    <row r="336" s="317" customFormat="1"/>
    <row r="337" s="317" customFormat="1"/>
    <row r="338" s="317" customFormat="1"/>
    <row r="339" s="317" customFormat="1"/>
    <row r="340" s="317" customFormat="1"/>
    <row r="341" s="317" customFormat="1"/>
    <row r="342" s="317" customFormat="1"/>
  </sheetData>
  <sheetProtection formatColumns="0"/>
  <mergeCells count="13">
    <mergeCell ref="G1:I1"/>
    <mergeCell ref="B10:B13"/>
    <mergeCell ref="U11:U13"/>
    <mergeCell ref="CC11:CC13"/>
    <mergeCell ref="AO11:AO13"/>
    <mergeCell ref="BI11:BI13"/>
    <mergeCell ref="CS10:CS13"/>
    <mergeCell ref="BJ10:BJ13"/>
    <mergeCell ref="V10:V13"/>
    <mergeCell ref="AP10:AP13"/>
    <mergeCell ref="CD10:CD13"/>
    <mergeCell ref="CN10:CN13"/>
    <mergeCell ref="CI10:CI13"/>
  </mergeCells>
  <pageMargins left="0.25" right="0.25" top="0.5" bottom="0.75" header="0.3" footer="0.3"/>
  <pageSetup paperSize="9" scale="59" fitToHeight="0" orientation="portrait" r:id="rId1"/>
  <headerFooter alignWithMargins="0"/>
  <ignoredErrors>
    <ignoredError sqref="K16:K19 K21:K22 K24:K29 K31:K69 K71:K91 K93:K97 AY16 AY21 AY22 AY71:AY97 AY31:AY69 AY24:AY29 BS16:BS19 BS71:BS97 BS21:BS22 BS24:BS29 BS31:BS69" formulaRange="1"/>
    <ignoredError sqref="K20 K23 K30 K70 K92 AY70 AY30 AY23 BS70 BS20 BS23 BS30" formula="1" formulaRange="1"/>
    <ignoredError sqref="AY2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A342"/>
  <sheetViews>
    <sheetView zoomScale="80" zoomScaleNormal="80" workbookViewId="0">
      <selection activeCell="CP128" sqref="CP128"/>
    </sheetView>
  </sheetViews>
  <sheetFormatPr defaultColWidth="9.42578125" defaultRowHeight="13.15"/>
  <cols>
    <col min="1" max="1" width="49.42578125" style="136" bestFit="1" customWidth="1"/>
    <col min="2" max="2" width="8.5703125" style="136" bestFit="1" customWidth="1"/>
    <col min="3" max="21" width="15.5703125" style="136" customWidth="1"/>
    <col min="22" max="22" width="7.42578125" style="136" bestFit="1" customWidth="1"/>
    <col min="23" max="41" width="15.5703125" style="136" customWidth="1"/>
    <col min="42" max="42" width="7.42578125" style="136" bestFit="1" customWidth="1"/>
    <col min="43" max="61" width="15.5703125" style="136" customWidth="1"/>
    <col min="62" max="62" width="7.42578125" style="136" bestFit="1" customWidth="1"/>
    <col min="63" max="81" width="15.5703125" style="136" customWidth="1"/>
    <col min="82" max="82" width="7.42578125" style="136" bestFit="1" customWidth="1"/>
    <col min="83" max="96" width="15.5703125" style="136" customWidth="1"/>
    <col min="97" max="97" width="18.5703125" style="136" customWidth="1"/>
    <col min="98" max="98" width="13.42578125" style="317" bestFit="1" customWidth="1"/>
    <col min="99" max="99" width="14.28515625" style="317" customWidth="1"/>
    <col min="100" max="100" width="13.42578125" style="317" bestFit="1" customWidth="1"/>
    <col min="101" max="101" width="11.42578125" style="317" bestFit="1" customWidth="1"/>
    <col min="102" max="102" width="13.42578125" style="317" bestFit="1" customWidth="1"/>
    <col min="103" max="131" width="9.42578125" style="317"/>
    <col min="132" max="16384" width="9.42578125" style="136"/>
  </cols>
  <sheetData>
    <row r="1" spans="1:131" s="179" customFormat="1" ht="27" customHeight="1">
      <c r="A1" s="15" t="s">
        <v>1325</v>
      </c>
      <c r="G1" s="777"/>
      <c r="H1" s="777"/>
      <c r="I1" s="777"/>
      <c r="J1" s="710"/>
      <c r="K1" s="710"/>
      <c r="L1" s="180"/>
      <c r="M1" s="180"/>
      <c r="N1" s="180"/>
      <c r="O1" s="180"/>
      <c r="P1" s="180"/>
      <c r="Q1" s="180"/>
      <c r="R1" s="180"/>
      <c r="S1" s="180"/>
      <c r="T1" s="710"/>
      <c r="U1" s="180"/>
      <c r="V1" s="180"/>
      <c r="W1" s="180"/>
      <c r="X1" s="180"/>
      <c r="Y1" s="180"/>
      <c r="Z1" s="180"/>
      <c r="AA1" s="180"/>
      <c r="AB1" s="180"/>
      <c r="AC1" s="180"/>
      <c r="AD1" s="180"/>
      <c r="AE1" s="710"/>
      <c r="AF1" s="180"/>
      <c r="AG1" s="180"/>
      <c r="AH1" s="180"/>
      <c r="AI1" s="180"/>
      <c r="AJ1" s="180"/>
      <c r="AK1" s="180"/>
      <c r="AL1" s="180"/>
      <c r="AM1" s="180"/>
      <c r="AN1" s="710"/>
      <c r="AO1" s="180"/>
      <c r="AP1" s="180"/>
      <c r="AQ1" s="180"/>
      <c r="AR1" s="180"/>
      <c r="AS1" s="180"/>
      <c r="AT1" s="180"/>
      <c r="AU1" s="180"/>
      <c r="AV1" s="180"/>
      <c r="AW1" s="180"/>
      <c r="AX1" s="180"/>
      <c r="AY1" s="710"/>
      <c r="AZ1" s="180"/>
      <c r="BA1" s="180"/>
      <c r="BB1" s="180"/>
      <c r="BC1" s="180"/>
      <c r="BD1" s="180"/>
      <c r="BE1" s="180"/>
      <c r="BF1" s="180"/>
      <c r="BG1" s="180"/>
      <c r="BH1" s="710"/>
      <c r="BI1" s="180"/>
      <c r="BJ1" s="180"/>
      <c r="BK1" s="180"/>
      <c r="BL1" s="180"/>
      <c r="BM1" s="180"/>
      <c r="BN1" s="180"/>
      <c r="BO1" s="180"/>
      <c r="BP1" s="180"/>
      <c r="BQ1" s="180"/>
      <c r="BR1" s="180"/>
      <c r="BS1" s="710"/>
      <c r="BT1" s="180"/>
      <c r="BU1" s="180"/>
      <c r="BV1" s="180"/>
      <c r="BW1" s="180"/>
      <c r="BX1" s="180"/>
      <c r="BY1" s="180"/>
      <c r="BZ1" s="180"/>
      <c r="CA1" s="180"/>
      <c r="CB1" s="71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row>
    <row r="2" spans="1:131" s="179" customFormat="1" ht="15.6">
      <c r="A2" s="139" t="s">
        <v>1303</v>
      </c>
      <c r="B2" s="397" t="str">
        <f>'Schedule 3A_Income Statement'!B2</f>
        <v>Tufts Associated Health Plans, Inc. (TAHMO)</v>
      </c>
      <c r="C2" s="398"/>
      <c r="D2" s="398"/>
      <c r="E2" s="398"/>
      <c r="F2" s="399"/>
      <c r="G2" s="425"/>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row>
    <row r="3" spans="1:131" s="179" customFormat="1" ht="15.6">
      <c r="A3" s="139" t="s">
        <v>1285</v>
      </c>
      <c r="B3" s="520" t="str">
        <f>'Schedule 3A_Income Statement'!B3</f>
        <v>01/01/2024 - 12/31/2024</v>
      </c>
      <c r="C3" s="521"/>
      <c r="D3" s="521"/>
      <c r="E3" s="521"/>
      <c r="F3" s="522"/>
      <c r="G3" s="42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c r="DV3" s="180"/>
      <c r="DW3" s="180"/>
      <c r="DX3" s="180"/>
      <c r="DY3" s="180"/>
      <c r="DZ3" s="180"/>
      <c r="EA3" s="180"/>
    </row>
    <row r="4" spans="1:131" s="179" customFormat="1" ht="15.6">
      <c r="A4" s="139" t="s">
        <v>1306</v>
      </c>
      <c r="B4" s="401">
        <f>'Schedule 3A_Income Statement'!B4</f>
        <v>45657</v>
      </c>
      <c r="C4" s="398"/>
      <c r="D4" s="398"/>
      <c r="E4" s="398"/>
      <c r="F4" s="399"/>
      <c r="G4" s="425"/>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row>
    <row r="5" spans="1:131" s="179" customFormat="1" ht="15.6">
      <c r="A5" s="139" t="s">
        <v>1307</v>
      </c>
      <c r="B5" s="397" t="str">
        <f>'Schedule 3A_Income Statement'!B5</f>
        <v>Roshni Parikh</v>
      </c>
      <c r="C5" s="398"/>
      <c r="D5" s="398"/>
      <c r="E5" s="398"/>
      <c r="F5" s="399"/>
      <c r="G5" s="425"/>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row>
    <row r="6" spans="1:131" s="179" customFormat="1" ht="15.6">
      <c r="A6" s="139" t="s">
        <v>1288</v>
      </c>
      <c r="B6" s="401">
        <f>'Schedule 3A_Income Statement'!B6</f>
        <v>45657</v>
      </c>
      <c r="C6" s="398"/>
      <c r="D6" s="398"/>
      <c r="E6" s="398"/>
      <c r="F6" s="399"/>
      <c r="G6" s="425"/>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row>
    <row r="7" spans="1:131" s="179" customFormat="1">
      <c r="A7" s="230" t="s">
        <v>1289</v>
      </c>
      <c r="B7" s="181"/>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row>
    <row r="8" spans="1:131" s="179" customFormat="1">
      <c r="A8" s="230"/>
      <c r="B8" s="181"/>
      <c r="G8" s="180"/>
      <c r="H8" s="180"/>
      <c r="I8" s="180"/>
      <c r="J8" s="180"/>
      <c r="K8" s="180"/>
      <c r="L8" s="180"/>
      <c r="M8" s="180"/>
      <c r="N8" s="180"/>
      <c r="O8" s="180"/>
      <c r="P8" s="180"/>
      <c r="Q8" s="180"/>
      <c r="R8" s="180"/>
      <c r="S8" s="180"/>
      <c r="T8" s="180"/>
      <c r="U8" s="180"/>
      <c r="V8" s="343"/>
      <c r="W8" s="180"/>
      <c r="X8" s="180"/>
      <c r="Y8" s="180"/>
      <c r="Z8" s="180"/>
      <c r="AA8" s="180"/>
      <c r="AB8" s="180"/>
      <c r="AC8" s="180"/>
      <c r="AD8" s="180"/>
      <c r="AE8" s="180"/>
      <c r="AF8" s="180"/>
      <c r="AG8" s="180"/>
      <c r="AH8" s="180"/>
      <c r="AI8" s="180"/>
      <c r="AJ8" s="180"/>
      <c r="AK8" s="180"/>
      <c r="AL8" s="180"/>
      <c r="AM8" s="180"/>
      <c r="AN8" s="180"/>
      <c r="AO8" s="180"/>
      <c r="AP8" s="343"/>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row>
    <row r="9" spans="1:131" s="179" customFormat="1">
      <c r="A9" s="230"/>
      <c r="B9" s="181"/>
      <c r="G9" s="180"/>
      <c r="H9" s="180"/>
      <c r="I9" s="180"/>
      <c r="J9" s="180"/>
      <c r="K9" s="180"/>
      <c r="L9" s="180"/>
      <c r="M9" s="180"/>
      <c r="N9" s="180"/>
      <c r="O9" s="180"/>
      <c r="P9" s="180"/>
      <c r="Q9" s="180"/>
      <c r="R9" s="180"/>
      <c r="S9" s="180"/>
      <c r="T9" s="180"/>
      <c r="U9" s="180"/>
      <c r="V9" s="343"/>
      <c r="W9" s="180"/>
      <c r="X9" s="180"/>
      <c r="Y9" s="180"/>
      <c r="Z9" s="180"/>
      <c r="AA9" s="180"/>
      <c r="AB9" s="180"/>
      <c r="AC9" s="180"/>
      <c r="AD9" s="180"/>
      <c r="AE9" s="180"/>
      <c r="AF9" s="180"/>
      <c r="AG9" s="180"/>
      <c r="AH9" s="180"/>
      <c r="AI9" s="180"/>
      <c r="AJ9" s="180"/>
      <c r="AK9" s="180"/>
      <c r="AL9" s="180"/>
      <c r="AM9" s="180"/>
      <c r="AN9" s="180"/>
      <c r="AO9" s="180"/>
      <c r="AP9" s="343"/>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row>
    <row r="10" spans="1:131" s="179" customFormat="1" ht="15.75" customHeight="1">
      <c r="A10" s="404"/>
      <c r="B10" s="769" t="s">
        <v>1326</v>
      </c>
      <c r="C10" s="405" t="s">
        <v>404</v>
      </c>
      <c r="D10" s="406"/>
      <c r="E10" s="406"/>
      <c r="F10" s="406"/>
      <c r="G10" s="406"/>
      <c r="H10" s="406"/>
      <c r="I10" s="406"/>
      <c r="J10" s="406"/>
      <c r="K10" s="406"/>
      <c r="L10" s="406"/>
      <c r="M10" s="406"/>
      <c r="N10" s="406"/>
      <c r="O10" s="406"/>
      <c r="P10" s="406"/>
      <c r="Q10" s="406"/>
      <c r="R10" s="406"/>
      <c r="S10" s="406"/>
      <c r="T10" s="406"/>
      <c r="U10" s="407"/>
      <c r="V10" s="769" t="s">
        <v>1326</v>
      </c>
      <c r="W10" s="405" t="s">
        <v>409</v>
      </c>
      <c r="X10" s="406"/>
      <c r="Y10" s="406"/>
      <c r="Z10" s="406"/>
      <c r="AA10" s="406"/>
      <c r="AB10" s="406"/>
      <c r="AC10" s="406"/>
      <c r="AD10" s="406"/>
      <c r="AE10" s="406"/>
      <c r="AF10" s="406"/>
      <c r="AG10" s="406"/>
      <c r="AH10" s="406"/>
      <c r="AI10" s="406"/>
      <c r="AJ10" s="406"/>
      <c r="AK10" s="406"/>
      <c r="AL10" s="406"/>
      <c r="AM10" s="406"/>
      <c r="AN10" s="406"/>
      <c r="AO10" s="407"/>
      <c r="AP10" s="769" t="s">
        <v>1326</v>
      </c>
      <c r="AQ10" s="405" t="s">
        <v>411</v>
      </c>
      <c r="AR10" s="406"/>
      <c r="AS10" s="406"/>
      <c r="AT10" s="406"/>
      <c r="AU10" s="406"/>
      <c r="AV10" s="406"/>
      <c r="AW10" s="406"/>
      <c r="AX10" s="406"/>
      <c r="AY10" s="406"/>
      <c r="AZ10" s="406"/>
      <c r="BA10" s="406"/>
      <c r="BB10" s="406"/>
      <c r="BC10" s="406"/>
      <c r="BD10" s="406"/>
      <c r="BE10" s="406"/>
      <c r="BF10" s="406"/>
      <c r="BG10" s="406"/>
      <c r="BH10" s="406"/>
      <c r="BI10" s="406"/>
      <c r="BJ10" s="769" t="s">
        <v>1326</v>
      </c>
      <c r="BK10" s="406" t="s">
        <v>1327</v>
      </c>
      <c r="BL10" s="406"/>
      <c r="BM10" s="406"/>
      <c r="BN10" s="406"/>
      <c r="BO10" s="406"/>
      <c r="BP10" s="406"/>
      <c r="BQ10" s="406"/>
      <c r="BR10" s="406"/>
      <c r="BS10" s="406"/>
      <c r="BT10" s="406"/>
      <c r="BU10" s="406"/>
      <c r="BV10" s="406"/>
      <c r="BW10" s="406"/>
      <c r="BX10" s="406"/>
      <c r="BY10" s="406"/>
      <c r="BZ10" s="406"/>
      <c r="CA10" s="406"/>
      <c r="CB10" s="406"/>
      <c r="CC10" s="406"/>
      <c r="CD10" s="769" t="s">
        <v>1326</v>
      </c>
      <c r="CE10" s="646"/>
      <c r="CF10" s="647"/>
      <c r="CG10" s="647"/>
      <c r="CH10" s="648"/>
      <c r="CI10" s="774" t="s">
        <v>1328</v>
      </c>
      <c r="CJ10" s="646"/>
      <c r="CK10" s="647"/>
      <c r="CL10" s="647"/>
      <c r="CM10" s="648"/>
      <c r="CN10" s="774" t="s">
        <v>1328</v>
      </c>
      <c r="CO10" s="646"/>
      <c r="CP10" s="647"/>
      <c r="CQ10" s="647"/>
      <c r="CR10" s="648"/>
      <c r="CS10" s="774" t="s">
        <v>1328</v>
      </c>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row>
    <row r="11" spans="1:131" s="179" customFormat="1" ht="32.1" customHeight="1">
      <c r="A11" s="138" t="s">
        <v>1329</v>
      </c>
      <c r="B11" s="769"/>
      <c r="C11" s="405" t="s">
        <v>1330</v>
      </c>
      <c r="D11" s="406"/>
      <c r="E11" s="406"/>
      <c r="F11" s="406"/>
      <c r="G11" s="406"/>
      <c r="H11" s="406"/>
      <c r="I11" s="406"/>
      <c r="J11" s="406"/>
      <c r="K11" s="408"/>
      <c r="L11" s="409" t="s">
        <v>1331</v>
      </c>
      <c r="M11" s="406"/>
      <c r="N11" s="406"/>
      <c r="O11" s="406"/>
      <c r="P11" s="406"/>
      <c r="Q11" s="406"/>
      <c r="R11" s="406"/>
      <c r="S11" s="406"/>
      <c r="T11" s="406"/>
      <c r="U11" s="770" t="s">
        <v>1332</v>
      </c>
      <c r="V11" s="769"/>
      <c r="W11" s="406" t="s">
        <v>1330</v>
      </c>
      <c r="X11" s="406"/>
      <c r="Y11" s="406"/>
      <c r="Z11" s="406"/>
      <c r="AA11" s="406"/>
      <c r="AB11" s="406"/>
      <c r="AC11" s="406"/>
      <c r="AD11" s="406"/>
      <c r="AE11" s="408"/>
      <c r="AF11" s="409" t="s">
        <v>1331</v>
      </c>
      <c r="AG11" s="406"/>
      <c r="AH11" s="406"/>
      <c r="AI11" s="406"/>
      <c r="AJ11" s="406"/>
      <c r="AK11" s="406"/>
      <c r="AL11" s="406"/>
      <c r="AM11" s="406"/>
      <c r="AN11" s="406"/>
      <c r="AO11" s="770" t="s">
        <v>1332</v>
      </c>
      <c r="AP11" s="769"/>
      <c r="AQ11" s="405" t="s">
        <v>1330</v>
      </c>
      <c r="AR11" s="406"/>
      <c r="AS11" s="406"/>
      <c r="AT11" s="406"/>
      <c r="AU11" s="406"/>
      <c r="AV11" s="406"/>
      <c r="AW11" s="406"/>
      <c r="AX11" s="406"/>
      <c r="AY11" s="408"/>
      <c r="AZ11" s="409" t="s">
        <v>1331</v>
      </c>
      <c r="BA11" s="406"/>
      <c r="BB11" s="406"/>
      <c r="BC11" s="406"/>
      <c r="BD11" s="406"/>
      <c r="BE11" s="406"/>
      <c r="BF11" s="406"/>
      <c r="BG11" s="406"/>
      <c r="BH11" s="406"/>
      <c r="BI11" s="778" t="s">
        <v>1332</v>
      </c>
      <c r="BJ11" s="769"/>
      <c r="BK11" s="406" t="s">
        <v>1330</v>
      </c>
      <c r="BL11" s="406"/>
      <c r="BM11" s="406"/>
      <c r="BN11" s="406"/>
      <c r="BO11" s="406"/>
      <c r="BP11" s="406"/>
      <c r="BQ11" s="406"/>
      <c r="BR11" s="406"/>
      <c r="BS11" s="408"/>
      <c r="BT11" s="409" t="s">
        <v>1331</v>
      </c>
      <c r="BU11" s="406"/>
      <c r="BV11" s="406"/>
      <c r="BW11" s="406"/>
      <c r="BX11" s="406"/>
      <c r="BY11" s="406"/>
      <c r="BZ11" s="406"/>
      <c r="CA11" s="406"/>
      <c r="CB11" s="406"/>
      <c r="CC11" s="778" t="s">
        <v>1332</v>
      </c>
      <c r="CD11" s="769"/>
      <c r="CE11" s="645" t="s">
        <v>1330</v>
      </c>
      <c r="CF11" s="645"/>
      <c r="CG11" s="645"/>
      <c r="CH11" s="645"/>
      <c r="CI11" s="775"/>
      <c r="CJ11" s="645" t="s">
        <v>1331</v>
      </c>
      <c r="CK11" s="645"/>
      <c r="CL11" s="645"/>
      <c r="CM11" s="645"/>
      <c r="CN11" s="775"/>
      <c r="CO11" s="645" t="s">
        <v>1333</v>
      </c>
      <c r="CP11" s="645"/>
      <c r="CQ11" s="645"/>
      <c r="CR11" s="645"/>
      <c r="CS11" s="775"/>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row>
    <row r="12" spans="1:131" ht="12.75" customHeight="1">
      <c r="A12" s="103" t="s">
        <v>1334</v>
      </c>
      <c r="B12" s="769"/>
      <c r="C12" s="174" t="s">
        <v>1291</v>
      </c>
      <c r="D12" s="175"/>
      <c r="E12" s="174" t="s">
        <v>1298</v>
      </c>
      <c r="F12" s="175"/>
      <c r="G12" s="174" t="s">
        <v>1299</v>
      </c>
      <c r="H12" s="175"/>
      <c r="I12" s="174" t="s">
        <v>1300</v>
      </c>
      <c r="J12" s="175"/>
      <c r="K12" s="79"/>
      <c r="L12" s="176" t="s">
        <v>1291</v>
      </c>
      <c r="M12" s="175"/>
      <c r="N12" s="174" t="s">
        <v>1298</v>
      </c>
      <c r="O12" s="175"/>
      <c r="P12" s="174" t="s">
        <v>1299</v>
      </c>
      <c r="Q12" s="175"/>
      <c r="R12" s="174" t="s">
        <v>1300</v>
      </c>
      <c r="S12" s="175"/>
      <c r="T12" s="411"/>
      <c r="U12" s="771"/>
      <c r="V12" s="769"/>
      <c r="W12" s="177" t="s">
        <v>1291</v>
      </c>
      <c r="X12" s="175"/>
      <c r="Y12" s="174" t="s">
        <v>1298</v>
      </c>
      <c r="Z12" s="175"/>
      <c r="AA12" s="174" t="s">
        <v>1299</v>
      </c>
      <c r="AB12" s="175"/>
      <c r="AC12" s="174" t="s">
        <v>1300</v>
      </c>
      <c r="AD12" s="175"/>
      <c r="AE12" s="79"/>
      <c r="AF12" s="176" t="s">
        <v>1291</v>
      </c>
      <c r="AG12" s="175"/>
      <c r="AH12" s="174" t="s">
        <v>1298</v>
      </c>
      <c r="AI12" s="175"/>
      <c r="AJ12" s="174" t="s">
        <v>1299</v>
      </c>
      <c r="AK12" s="175"/>
      <c r="AL12" s="174" t="s">
        <v>1300</v>
      </c>
      <c r="AM12" s="175"/>
      <c r="AN12" s="411"/>
      <c r="AO12" s="771"/>
      <c r="AP12" s="769"/>
      <c r="AQ12" s="174" t="s">
        <v>1291</v>
      </c>
      <c r="AR12" s="175"/>
      <c r="AS12" s="174" t="s">
        <v>1298</v>
      </c>
      <c r="AT12" s="175"/>
      <c r="AU12" s="174" t="s">
        <v>1299</v>
      </c>
      <c r="AV12" s="175"/>
      <c r="AW12" s="174" t="s">
        <v>1300</v>
      </c>
      <c r="AX12" s="175"/>
      <c r="AY12" s="79"/>
      <c r="AZ12" s="176" t="s">
        <v>1291</v>
      </c>
      <c r="BA12" s="175"/>
      <c r="BB12" s="174" t="s">
        <v>1298</v>
      </c>
      <c r="BC12" s="175"/>
      <c r="BD12" s="174" t="s">
        <v>1299</v>
      </c>
      <c r="BE12" s="175"/>
      <c r="BF12" s="174" t="s">
        <v>1300</v>
      </c>
      <c r="BG12" s="175"/>
      <c r="BH12" s="411"/>
      <c r="BI12" s="779"/>
      <c r="BJ12" s="769"/>
      <c r="BK12" s="177" t="s">
        <v>1291</v>
      </c>
      <c r="BL12" s="175"/>
      <c r="BM12" s="174" t="s">
        <v>1298</v>
      </c>
      <c r="BN12" s="175"/>
      <c r="BO12" s="174" t="s">
        <v>1299</v>
      </c>
      <c r="BP12" s="175"/>
      <c r="BQ12" s="174" t="s">
        <v>1300</v>
      </c>
      <c r="BR12" s="175"/>
      <c r="BS12" s="79"/>
      <c r="BT12" s="176" t="s">
        <v>1291</v>
      </c>
      <c r="BU12" s="175"/>
      <c r="BV12" s="174" t="s">
        <v>1298</v>
      </c>
      <c r="BW12" s="175"/>
      <c r="BX12" s="174" t="s">
        <v>1299</v>
      </c>
      <c r="BY12" s="175"/>
      <c r="BZ12" s="174" t="s">
        <v>1300</v>
      </c>
      <c r="CA12" s="175"/>
      <c r="CB12" s="411"/>
      <c r="CC12" s="779"/>
      <c r="CD12" s="769"/>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131" s="247" customFormat="1" ht="46.5" customHeight="1">
      <c r="A13" s="410"/>
      <c r="B13" s="769"/>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2"/>
      <c r="V13" s="769"/>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2"/>
      <c r="AP13" s="769"/>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80"/>
      <c r="BJ13" s="769"/>
      <c r="BK13" s="615"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80"/>
      <c r="CD13" s="769"/>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c r="CT13" s="374"/>
      <c r="CU13" s="374"/>
      <c r="CV13" s="374"/>
      <c r="CW13" s="374"/>
      <c r="CX13" s="374"/>
      <c r="CY13" s="374"/>
      <c r="CZ13" s="374"/>
      <c r="DA13" s="374"/>
      <c r="DB13" s="374"/>
      <c r="DC13" s="374"/>
      <c r="DD13" s="374"/>
      <c r="DE13" s="374"/>
      <c r="DF13" s="374"/>
      <c r="DG13" s="374"/>
      <c r="DH13" s="374"/>
      <c r="DI13" s="374"/>
      <c r="DJ13" s="374"/>
      <c r="DK13" s="374"/>
      <c r="DL13" s="374"/>
      <c r="DM13" s="374"/>
      <c r="DN13" s="374"/>
      <c r="DO13" s="374"/>
      <c r="DP13" s="374"/>
      <c r="DQ13" s="374"/>
      <c r="DR13" s="374"/>
      <c r="DS13" s="374"/>
      <c r="DT13" s="374"/>
      <c r="DU13" s="374"/>
      <c r="DV13" s="374"/>
      <c r="DW13" s="374"/>
      <c r="DX13" s="374"/>
      <c r="DY13" s="374"/>
      <c r="DZ13" s="374"/>
      <c r="EA13" s="374"/>
    </row>
    <row r="14" spans="1:131" ht="15.75" customHeight="1">
      <c r="A14" s="16" t="s">
        <v>1293</v>
      </c>
      <c r="B14" s="140"/>
      <c r="C14" s="637">
        <f>INDEX('Schedule 1_Enrollment'!$D$12:$K$35,MATCH(C12,'Schedule 1_Enrollment'!$B$10:$B$31,0)+1,MATCH(C10,'Schedule 1_Enrollment'!$D$10:$K$10,0)+IF(C13="Dual Eligible",1,0))</f>
        <v>55</v>
      </c>
      <c r="D14" s="637">
        <f>INDEX('Schedule 1_Enrollment'!$D$12:$K$35,MATCH(C12,'Schedule 1_Enrollment'!$B$10:$B$31,0)+1,MATCH(C10,'Schedule 1_Enrollment'!$D$10:$K$10,0)+IF(D13="Dual Eligible",1,0))</f>
        <v>430</v>
      </c>
      <c r="E14" s="637">
        <f>INDEX('Schedule 1_Enrollment'!$D$12:$K$35,MATCH(E12,'Schedule 1_Enrollment'!$B$10:$B$31,0)+1,MATCH(C10,'Schedule 1_Enrollment'!$D$10:$K$10,0)+IF(E13="Dual Eligible",1,0))</f>
        <v>81</v>
      </c>
      <c r="F14" s="637">
        <f>INDEX('Schedule 1_Enrollment'!$D$12:$K$35,MATCH(E12,'Schedule 1_Enrollment'!$B$10:$B$31,0)+1,MATCH(C10,'Schedule 1_Enrollment'!$D$10:$K$10,0)+IF(F13="Dual Eligible",1,0))</f>
        <v>592</v>
      </c>
      <c r="G14" s="637">
        <f>INDEX('Schedule 1_Enrollment'!$D$12:$K$35,MATCH(G12,'Schedule 1_Enrollment'!$B$10:$B$31,0)+1,MATCH(C10,'Schedule 1_Enrollment'!$D$10:$K$10,0)+IF(G13="Dual Eligible",1,0))</f>
        <v>98</v>
      </c>
      <c r="H14" s="637">
        <f>INDEX('Schedule 1_Enrollment'!$D$12:$K$35,MATCH(G12,'Schedule 1_Enrollment'!$B$10:$B$31,0)+1,MATCH(C10,'Schedule 1_Enrollment'!$D$10:$K$10,0)+IF(H13="Dual Eligible",1,0))</f>
        <v>606</v>
      </c>
      <c r="I14" s="637">
        <f>INDEX('Schedule 1_Enrollment'!$D$12:$K$35,MATCH(I12,'Schedule 1_Enrollment'!$B$10:$B$31,0)+1,MATCH(C10,'Schedule 1_Enrollment'!$D$10:$K$10,0)+IF(I13="Dual Eligible",1,0))</f>
        <v>90</v>
      </c>
      <c r="J14" s="637">
        <f>INDEX('Schedule 1_Enrollment'!$D$12:$K$35,MATCH(I12,'Schedule 1_Enrollment'!$B$10:$B$31,0)+1,MATCH(C10,'Schedule 1_Enrollment'!$D$10:$K$10,0)+IF(J13="Dual Eligible",1,0))</f>
        <v>588</v>
      </c>
      <c r="K14" s="640">
        <f>SUM(C14:J14)</f>
        <v>2540</v>
      </c>
      <c r="L14" s="639">
        <f>INDEX('Schedule 1_Enrollment'!$D$12:$K$35,MATCH(L12,'Schedule 1_Enrollment'!$B$10:$B$31,0)+1,MATCH(C10,'Schedule 1_Enrollment'!$D$10:$K$10,0)+IF(L13="Dual Eligible",1,0))</f>
        <v>55</v>
      </c>
      <c r="M14" s="637">
        <f>INDEX('Schedule 1_Enrollment'!$D$12:$K$35,MATCH(L12,'Schedule 1_Enrollment'!$B$10:$B$31,0)+1,MATCH(C10,'Schedule 1_Enrollment'!$D$10:$K$10,0)+IF(M13="Dual Eligible",1,0))</f>
        <v>430</v>
      </c>
      <c r="N14" s="637">
        <f>INDEX('Schedule 1_Enrollment'!$D$12:$K$35,MATCH(N12,'Schedule 1_Enrollment'!$B$10:$B$31,0)+1,MATCH(C10,'Schedule 1_Enrollment'!$D$10:$K$10,0)+IF(N13="Dual Eligible",1,0))</f>
        <v>81</v>
      </c>
      <c r="O14" s="637">
        <f>INDEX('Schedule 1_Enrollment'!$D$12:$K$35,MATCH(N12,'Schedule 1_Enrollment'!$B$10:$B$31,0)+1,MATCH(C10,'Schedule 1_Enrollment'!$D$10:$K$10,0)+IF(O13="Dual Eligible",1,0))</f>
        <v>592</v>
      </c>
      <c r="P14" s="637">
        <f>INDEX('Schedule 1_Enrollment'!$D$12:$K$35,MATCH(P12,'Schedule 1_Enrollment'!$B$10:$B$31,0)+1,MATCH(C10,'Schedule 1_Enrollment'!$D$10:$K$10,0)+IF(P13="Dual Eligible",1,0))</f>
        <v>98</v>
      </c>
      <c r="Q14" s="637">
        <f>INDEX('Schedule 1_Enrollment'!$D$12:$K$35,MATCH(P12,'Schedule 1_Enrollment'!$B$10:$B$31,0)+1,MATCH(C10,'Schedule 1_Enrollment'!$D$10:$K$10,0)+IF(Q13="Dual Eligible",1,0))</f>
        <v>606</v>
      </c>
      <c r="R14" s="637">
        <f>INDEX('Schedule 1_Enrollment'!$D$12:$K$35,MATCH(R12,'Schedule 1_Enrollment'!$B$10:$B$31,0)+1,MATCH(C10,'Schedule 1_Enrollment'!$D$10:$K$10,0)+IF(R13="Dual Eligible",1,0))</f>
        <v>90</v>
      </c>
      <c r="S14" s="637">
        <f>INDEX('Schedule 1_Enrollment'!$D$12:$K$35,MATCH(R12,'Schedule 1_Enrollment'!$B$10:$B$31,0)+1,MATCH(C10,'Schedule 1_Enrollment'!$D$10:$K$10,0)+IF(S13="Dual Eligible",1,0))</f>
        <v>588</v>
      </c>
      <c r="T14" s="640">
        <f>SUM(L14:S14)</f>
        <v>2540</v>
      </c>
      <c r="U14" s="637">
        <f>T14</f>
        <v>2540</v>
      </c>
      <c r="V14" s="140"/>
      <c r="W14" s="637">
        <f>INDEX('Schedule 1_Enrollment'!$D$12:$K$35,MATCH(W12,'Schedule 1_Enrollment'!$B$10:$B$31,0)+1,MATCH(W10,'Schedule 1_Enrollment'!$D$10:$K$10,0)+IF(W13="Dual Eligible",1,0))</f>
        <v>0</v>
      </c>
      <c r="X14" s="637">
        <f>INDEX('Schedule 1_Enrollment'!$D$12:$K$35,MATCH(W12,'Schedule 1_Enrollment'!$B$10:$B$31,0)+1,MATCH(W10,'Schedule 1_Enrollment'!$D$10:$K$10,0)+IF(X13="Dual Eligible",1,0))</f>
        <v>124</v>
      </c>
      <c r="Y14" s="637">
        <f>INDEX('Schedule 1_Enrollment'!$D$12:$K$35,MATCH(Y12,'Schedule 1_Enrollment'!$B$10:$B$31,0)+1,MATCH(W10,'Schedule 1_Enrollment'!$D$10:$K$10,0)+IF(Y13="Dual Eligible",1,0))</f>
        <v>2</v>
      </c>
      <c r="Z14" s="637">
        <f>INDEX('Schedule 1_Enrollment'!$D$12:$K$35,MATCH(Y12,'Schedule 1_Enrollment'!$B$10:$B$31,0)+1,MATCH(W10,'Schedule 1_Enrollment'!$D$10:$K$10,0)+IF(Z13="Dual Eligible",1,0))</f>
        <v>92</v>
      </c>
      <c r="AA14" s="637">
        <f>INDEX('Schedule 1_Enrollment'!$D$12:$K$35,MATCH(AA12,'Schedule 1_Enrollment'!$B$10:$B$31,0)+1,MATCH(W10,'Schedule 1_Enrollment'!$D$10:$K$10,0)+IF(AA13="Dual Eligible",1,0))</f>
        <v>8</v>
      </c>
      <c r="AB14" s="637">
        <f>INDEX('Schedule 1_Enrollment'!$D$12:$K$35,MATCH(AA12,'Schedule 1_Enrollment'!$B$10:$B$31,0)+1,MATCH(W10,'Schedule 1_Enrollment'!$D$10:$K$10,0)+IF(AB13="Dual Eligible",1,0))</f>
        <v>91</v>
      </c>
      <c r="AC14" s="637">
        <f>INDEX('Schedule 1_Enrollment'!$D$12:$K$35,MATCH(AC12,'Schedule 1_Enrollment'!$B$10:$B$31,0)+1,MATCH(W10,'Schedule 1_Enrollment'!$D$10:$K$10,0)+IF(AC13="Dual Eligible",1,0))</f>
        <v>9</v>
      </c>
      <c r="AD14" s="637">
        <f>INDEX('Schedule 1_Enrollment'!$D$12:$K$35,MATCH(AC12,'Schedule 1_Enrollment'!$B$10:$B$31,0)+1,MATCH(W10,'Schedule 1_Enrollment'!$D$10:$K$10,0)+IF(AD13="Dual Eligible",1,0))</f>
        <v>94</v>
      </c>
      <c r="AE14" s="640">
        <f>SUM(W14:AD14)</f>
        <v>420</v>
      </c>
      <c r="AF14" s="639">
        <f>INDEX('Schedule 1_Enrollment'!$D$12:$K$35,MATCH(AF12,'Schedule 1_Enrollment'!$B$10:$B$31,0)+1,MATCH(W10,'Schedule 1_Enrollment'!$D$10:$K$10,0)+IF(AF13="Dual Eligible",1,0))</f>
        <v>0</v>
      </c>
      <c r="AG14" s="637">
        <f>INDEX('Schedule 1_Enrollment'!$D$12:$K$35,MATCH(AF12,'Schedule 1_Enrollment'!$B$10:$B$31,0)+1,MATCH(W10,'Schedule 1_Enrollment'!$D$10:$K$10,0)+IF(AG13="Dual Eligible",1,0))</f>
        <v>124</v>
      </c>
      <c r="AH14" s="637">
        <f>INDEX('Schedule 1_Enrollment'!$D$12:$K$35,MATCH(AH12,'Schedule 1_Enrollment'!$B$10:$B$31,0)+1,MATCH(W10,'Schedule 1_Enrollment'!$D$10:$K$10,0)+IF(AH13="Dual Eligible",1,0))</f>
        <v>2</v>
      </c>
      <c r="AI14" s="637">
        <f>INDEX('Schedule 1_Enrollment'!$D$12:$K$35,MATCH(AH12,'Schedule 1_Enrollment'!$B$10:$B$31,0)+1,MATCH(W10,'Schedule 1_Enrollment'!$D$10:$K$10,0)+IF(AI13="Dual Eligible",1,0))</f>
        <v>92</v>
      </c>
      <c r="AJ14" s="637">
        <f>INDEX('Schedule 1_Enrollment'!$D$12:$K$35,MATCH(AJ12,'Schedule 1_Enrollment'!$B$10:$B$31,0)+1,MATCH(W10,'Schedule 1_Enrollment'!$D$10:$K$10,0)+IF(AJ13="Dual Eligible",1,0))</f>
        <v>8</v>
      </c>
      <c r="AK14" s="637">
        <f>INDEX('Schedule 1_Enrollment'!$D$12:$K$35,MATCH(AJ12,'Schedule 1_Enrollment'!$B$10:$B$31,0)+1,MATCH(W10,'Schedule 1_Enrollment'!$D$10:$K$10,0)+IF(AK13="Dual Eligible",1,0))</f>
        <v>91</v>
      </c>
      <c r="AL14" s="637">
        <f>INDEX('Schedule 1_Enrollment'!$D$12:$K$35,MATCH(AL12,'Schedule 1_Enrollment'!$B$10:$B$31,0)+1,MATCH(W10,'Schedule 1_Enrollment'!$D$10:$K$10,0)+IF(AL13="Dual Eligible",1,0))</f>
        <v>9</v>
      </c>
      <c r="AM14" s="637">
        <f>INDEX('Schedule 1_Enrollment'!$D$12:$K$35,MATCH(AL12,'Schedule 1_Enrollment'!$B$10:$B$31,0)+1,MATCH(W10,'Schedule 1_Enrollment'!$D$10:$K$10,0)+IF(AM13="Dual Eligible",1,0))</f>
        <v>94</v>
      </c>
      <c r="AN14" s="640">
        <f>SUM(AF14:AM14)</f>
        <v>420</v>
      </c>
      <c r="AO14" s="637">
        <f>AN14</f>
        <v>420</v>
      </c>
      <c r="AP14" s="140"/>
      <c r="AQ14" s="637">
        <f>INDEX('Schedule 1_Enrollment'!$D$12:$K$35,MATCH(AQ12,'Schedule 1_Enrollment'!$B$10:$B$31,0)+1,MATCH(AQ10,'Schedule 1_Enrollment'!$D$10:$K$10,0)+IF(AQ13="Dual Eligible",1,0))</f>
        <v>298</v>
      </c>
      <c r="AR14" s="637">
        <f>INDEX('Schedule 1_Enrollment'!$D$12:$K$35,MATCH(AQ12,'Schedule 1_Enrollment'!$B$10:$B$31,0)+1,MATCH(AQ10,'Schedule 1_Enrollment'!$D$10:$K$10,0)+IF(AR13="Dual Eligible",1,0))</f>
        <v>1083</v>
      </c>
      <c r="AS14" s="637">
        <f>INDEX('Schedule 1_Enrollment'!$D$12:$K$35,MATCH(AS12,'Schedule 1_Enrollment'!$B$10:$B$31,0)+1,MATCH(AQ10,'Schedule 1_Enrollment'!$D$10:$K$10,0)+IF(AS13="Dual Eligible",1,0))</f>
        <v>301</v>
      </c>
      <c r="AT14" s="637">
        <f>INDEX('Schedule 1_Enrollment'!$D$12:$K$35,MATCH(AS12,'Schedule 1_Enrollment'!$B$10:$B$31,0)+1,MATCH(AQ10,'Schedule 1_Enrollment'!$D$10:$K$10,0)+IF(AT13="Dual Eligible",1,0))</f>
        <v>1059</v>
      </c>
      <c r="AU14" s="637">
        <f>INDEX('Schedule 1_Enrollment'!$D$12:$K$35,MATCH(AU12,'Schedule 1_Enrollment'!$B$10:$B$31,0)+1,MATCH(AQ10,'Schedule 1_Enrollment'!$D$10:$K$10,0)+IF(AU13="Dual Eligible",1,0))</f>
        <v>330</v>
      </c>
      <c r="AV14" s="637">
        <f>INDEX('Schedule 1_Enrollment'!$D$12:$K$35,MATCH(AU12,'Schedule 1_Enrollment'!$B$10:$B$31,0)+1,MATCH(AQ10,'Schedule 1_Enrollment'!$D$10:$K$10,0)+IF(AV13="Dual Eligible",1,0))</f>
        <v>1209</v>
      </c>
      <c r="AW14" s="637">
        <f>INDEX('Schedule 1_Enrollment'!$D$12:$K$35,MATCH(AW12,'Schedule 1_Enrollment'!$B$10:$B$31,0)+1,MATCH(AQ10,'Schedule 1_Enrollment'!$D$10:$K$10,0)+IF(AW13="Dual Eligible",1,0))</f>
        <v>370</v>
      </c>
      <c r="AX14" s="637">
        <f>INDEX('Schedule 1_Enrollment'!$D$12:$K$35,MATCH(AW12,'Schedule 1_Enrollment'!$B$10:$B$31,0)+1,MATCH(AQ10,'Schedule 1_Enrollment'!$D$10:$K$10,0)+IF(AX13="Dual Eligible",1,0))</f>
        <v>1387</v>
      </c>
      <c r="AY14" s="640">
        <f>SUM(AQ14:AX14)</f>
        <v>6037</v>
      </c>
      <c r="AZ14" s="639">
        <f>INDEX('Schedule 1_Enrollment'!$D$12:$K$35,MATCH(AZ12,'Schedule 1_Enrollment'!$B$10:$B$31,0)+1,MATCH(AQ10,'Schedule 1_Enrollment'!$D$10:$K$10,0)+IF(AZ13="Dual Eligible",1,0))</f>
        <v>298</v>
      </c>
      <c r="BA14" s="637">
        <f>INDEX('Schedule 1_Enrollment'!$D$12:$K$35,MATCH(AZ12,'Schedule 1_Enrollment'!$B$10:$B$31,0)+1,MATCH(AQ10,'Schedule 1_Enrollment'!$D$10:$K$10,0)+IF(BA13="Dual Eligible",1,0))</f>
        <v>1083</v>
      </c>
      <c r="BB14" s="637">
        <f>INDEX('Schedule 1_Enrollment'!$D$12:$K$35,MATCH(BB12,'Schedule 1_Enrollment'!$B$10:$B$31,0)+1,MATCH(AQ10,'Schedule 1_Enrollment'!$D$10:$K$10,0)+IF(BB13="Dual Eligible",1,0))</f>
        <v>301</v>
      </c>
      <c r="BC14" s="637">
        <f>INDEX('Schedule 1_Enrollment'!$D$12:$K$35,MATCH(BB12,'Schedule 1_Enrollment'!$B$10:$B$31,0)+1,MATCH(AQ10,'Schedule 1_Enrollment'!$D$10:$K$10,0)+IF(BC13="Dual Eligible",1,0))</f>
        <v>1059</v>
      </c>
      <c r="BD14" s="637">
        <f>INDEX('Schedule 1_Enrollment'!$D$12:$K$35,MATCH(BD12,'Schedule 1_Enrollment'!$B$10:$B$31,0)+1,MATCH(AQ10,'Schedule 1_Enrollment'!$D$10:$K$10,0)+IF(BD13="Dual Eligible",1,0))</f>
        <v>330</v>
      </c>
      <c r="BE14" s="637">
        <f>INDEX('Schedule 1_Enrollment'!$D$12:$K$35,MATCH(BD12,'Schedule 1_Enrollment'!$B$10:$B$31,0)+1,MATCH(AQ10,'Schedule 1_Enrollment'!$D$10:$K$10,0)+IF(BE13="Dual Eligible",1,0))</f>
        <v>1209</v>
      </c>
      <c r="BF14" s="637">
        <f>INDEX('Schedule 1_Enrollment'!$D$12:$K$35,MATCH(BF12,'Schedule 1_Enrollment'!$B$10:$B$31,0)+1,MATCH(AQ10,'Schedule 1_Enrollment'!$D$10:$K$10,0)+IF(BF13="Dual Eligible",1,0))</f>
        <v>370</v>
      </c>
      <c r="BG14" s="637">
        <f>INDEX('Schedule 1_Enrollment'!$D$12:$K$35,MATCH(BF12,'Schedule 1_Enrollment'!$B$10:$B$31,0)+1,MATCH(AQ10,'Schedule 1_Enrollment'!$D$10:$K$10,0)+IF(BG13="Dual Eligible",1,0))</f>
        <v>1387</v>
      </c>
      <c r="BH14" s="640">
        <f>SUM(AZ14:BG14)</f>
        <v>6037</v>
      </c>
      <c r="BI14" s="637">
        <f>BH14</f>
        <v>6037</v>
      </c>
      <c r="BJ14" s="140"/>
      <c r="BK14" s="637">
        <f>INDEX('Schedule 1_Enrollment'!$D$12:$K$35,MATCH(BK12,'Schedule 1_Enrollment'!$B$10:$B$31,0)+1,MATCH(IF(BK10="Institutional (All: Tier 1, Tier 2 and Tier 3)","Institutional (All Tiers)",BK10),'Schedule 1_Enrollment'!$D$10:$K$10,0)+IF(BK13="Dual Eligible",1,0))</f>
        <v>3</v>
      </c>
      <c r="BL14" s="637">
        <f>INDEX('Schedule 1_Enrollment'!$D$12:$K$35,MATCH(BK12,'Schedule 1_Enrollment'!$B$10:$B$31,0)+1,MATCH(IF(BK10="Institutional (All: Tier 1, Tier 2 and Tier 3)","Institutional (All Tiers)",BK10),'Schedule 1_Enrollment'!$D$10:$K$10,0)+IF(BL13="Dual Eligible",1,0))</f>
        <v>52</v>
      </c>
      <c r="BM14" s="637">
        <f>INDEX('Schedule 1_Enrollment'!$D$12:$K$35,MATCH(BM12,'Schedule 1_Enrollment'!$B$10:$B$31,0)+1,MATCH(IF(BK10="Institutional (All: Tier 1, Tier 2 and Tier 3)","Institutional (All Tiers)",BK10),'Schedule 1_Enrollment'!$D$10:$K$10,0)+IF(BM13="Dual Eligible",1,0))</f>
        <v>3</v>
      </c>
      <c r="BN14" s="637">
        <f>INDEX('Schedule 1_Enrollment'!$D$12:$K$35,MATCH(BM12,'Schedule 1_Enrollment'!$B$10:$B$31,0)+1,MATCH(IF(BK10="Institutional (All: Tier 1, Tier 2 and Tier 3)","Institutional (All Tiers)",BK10),'Schedule 1_Enrollment'!$D$10:$K$10,0)+IF(BN13="Dual Eligible",1,0))</f>
        <v>43</v>
      </c>
      <c r="BO14" s="637">
        <f>INDEX('Schedule 1_Enrollment'!$D$12:$K$35,MATCH(BO12,'Schedule 1_Enrollment'!$B$10:$B$31,0)+1,MATCH(IF(BK10="Institutional (All: Tier 1, Tier 2 and Tier 3)","Institutional (All Tiers)",BK10),'Schedule 1_Enrollment'!$D$10:$K$10,0)+IF(BO13="Dual Eligible",1,0))</f>
        <v>2</v>
      </c>
      <c r="BP14" s="637">
        <f>INDEX('Schedule 1_Enrollment'!$D$12:$K$35,MATCH(BO12,'Schedule 1_Enrollment'!$B$10:$B$31,0)+1,MATCH(IF(BK10="Institutional (All: Tier 1, Tier 2 and Tier 3)","Institutional (All Tiers)",BK10),'Schedule 1_Enrollment'!$D$10:$K$10,0)+IF(BP13="Dual Eligible",1,0))</f>
        <v>49</v>
      </c>
      <c r="BQ14" s="637">
        <f>INDEX('Schedule 1_Enrollment'!$D$12:$K$35,MATCH(BQ12,'Schedule 1_Enrollment'!$B$10:$B$31,0)+1,MATCH(IF(BK10="Institutional (All: Tier 1, Tier 2 and Tier 3)","Institutional (All Tiers)",BK10),'Schedule 1_Enrollment'!$D$10:$K$10,0)+IF(BQ13="Dual Eligible",1,0))</f>
        <v>0</v>
      </c>
      <c r="BR14" s="637">
        <f>INDEX('Schedule 1_Enrollment'!$D$12:$K$35,MATCH(BQ12,'Schedule 1_Enrollment'!$B$10:$B$31,0)+1,MATCH(IF(BK10="Institutional (All: Tier 1, Tier 2 and Tier 3)","Institutional (All Tiers)",BK10),'Schedule 1_Enrollment'!$D$10:$K$10,0)+IF(BR13="Dual Eligible",1,0))</f>
        <v>43</v>
      </c>
      <c r="BS14" s="640">
        <f>SUM(BK14:BR14)</f>
        <v>195</v>
      </c>
      <c r="BT14" s="639">
        <f>INDEX('Schedule 1_Enrollment'!$D$12:$K$35,MATCH(BT12,'Schedule 1_Enrollment'!$B$10:$B$31,0)+1,MATCH(IF(BK10="Institutional (All: Tier 1, Tier 2 and Tier 3)","Institutional (All Tiers)",BK10),'Schedule 1_Enrollment'!$D$10:$K$10,0)+IF(BT13="Dual Eligible",1,0))</f>
        <v>3</v>
      </c>
      <c r="BU14" s="637">
        <f>INDEX('Schedule 1_Enrollment'!$D$12:$K$35,MATCH(BT12,'Schedule 1_Enrollment'!$B$10:$B$31,0)+1,MATCH(IF(BK10="Institutional (All: Tier 1, Tier 2 and Tier 3)","Institutional (All Tiers)",BK10),'Schedule 1_Enrollment'!$D$10:$K$10,0)+IF(BU13="Dual Eligible",1,0))</f>
        <v>52</v>
      </c>
      <c r="BV14" s="637">
        <f>INDEX('Schedule 1_Enrollment'!$D$12:$K$35,MATCH(BV12,'Schedule 1_Enrollment'!$B$10:$B$31,0)+1,MATCH(IF(BK10="Institutional (All: Tier 1, Tier 2 and Tier 3)","Institutional (All Tiers)",BK10),'Schedule 1_Enrollment'!$D$10:$K$10,0)+IF(BV13="Dual Eligible",1,0))</f>
        <v>3</v>
      </c>
      <c r="BW14" s="637">
        <f>INDEX('Schedule 1_Enrollment'!$D$12:$K$35,MATCH(BV12,'Schedule 1_Enrollment'!$B$10:$B$31,0)+1,MATCH(IF(BK10="Institutional (All: Tier 1, Tier 2 and Tier 3)","Institutional (All Tiers)",BK10),'Schedule 1_Enrollment'!$D$10:$K$10,0)+IF(BW13="Dual Eligible",1,0))</f>
        <v>43</v>
      </c>
      <c r="BX14" s="637">
        <f>INDEX('Schedule 1_Enrollment'!$D$12:$K$35,MATCH(BX12,'Schedule 1_Enrollment'!$B$10:$B$31,0)+1,MATCH(IF(BK10="Institutional (All: Tier 1, Tier 2 and Tier 3)","Institutional (All Tiers)",BK10),'Schedule 1_Enrollment'!$D$10:$K$10,0)+IF(BX13="Dual Eligible",1,0))</f>
        <v>2</v>
      </c>
      <c r="BY14" s="637">
        <f>INDEX('Schedule 1_Enrollment'!$D$12:$K$35,MATCH(BX12,'Schedule 1_Enrollment'!$B$10:$B$31,0)+1,MATCH(IF(BK10="Institutional (All: Tier 1, Tier 2 and Tier 3)","Institutional (All Tiers)",BK10),'Schedule 1_Enrollment'!$D$10:$K$10,0)+IF(BY13="Dual Eligible",1,0))</f>
        <v>49</v>
      </c>
      <c r="BZ14" s="637">
        <f>INDEX('Schedule 1_Enrollment'!$D$12:$K$35,MATCH(BZ12,'Schedule 1_Enrollment'!$B$10:$B$31,0)+1,MATCH(IF(BK10="Institutional (All: Tier 1, Tier 2 and Tier 3)","Institutional (All Tiers)",BK10),'Schedule 1_Enrollment'!$D$10:$K$10,0)+IF(BZ13="Dual Eligible",1,0))</f>
        <v>0</v>
      </c>
      <c r="CA14" s="637">
        <f>INDEX('Schedule 1_Enrollment'!$D$12:$K$35,MATCH(BZ12,'Schedule 1_Enrollment'!$B$10:$B$31,0)+1,MATCH(IF(BK10="Institutional (All: Tier 1, Tier 2 and Tier 3)","Institutional (All Tiers)",BK10),'Schedule 1_Enrollment'!$D$10:$K$10,0)+IF(CA13="Dual Eligible",1,0))</f>
        <v>43</v>
      </c>
      <c r="CB14" s="640">
        <f>SUM(BT14:CA14)</f>
        <v>195</v>
      </c>
      <c r="CC14" s="637">
        <f>CB14</f>
        <v>195</v>
      </c>
      <c r="CD14" s="140"/>
      <c r="CE14" s="637">
        <f>+C14+D14+W14+X14+AQ14+AR14+BK14+BL14</f>
        <v>2045</v>
      </c>
      <c r="CF14" s="637">
        <f>+E14+F14+Y14+Z14+AS14+AT14+BM14+BN14</f>
        <v>2173</v>
      </c>
      <c r="CG14" s="637">
        <f>+G14+H14+AA14+AB14+AU14+AV14+BO14+BP14</f>
        <v>2393</v>
      </c>
      <c r="CH14" s="637">
        <f>+I14+J14+AC14+AD14+AW14+AX14+BQ14+BR14</f>
        <v>2581</v>
      </c>
      <c r="CI14" s="638">
        <f>SUM(K14,AE14,AY14,BS14)</f>
        <v>9192</v>
      </c>
      <c r="CJ14" s="637">
        <f>L14+M14+AF14+AG14+AZ14+BA14+BT14+BU14</f>
        <v>2045</v>
      </c>
      <c r="CK14" s="637">
        <f>N14+O14+AH14+AI14+BB14+BC14+BV14+BW14</f>
        <v>2173</v>
      </c>
      <c r="CL14" s="637">
        <f>P14+Q14+AJ14+AK14+BD14+BE14+BX14+BY14</f>
        <v>2393</v>
      </c>
      <c r="CM14" s="637">
        <f>+R14+S14+AL14+AM14+BF14+BG14+BZ14+CA14</f>
        <v>2581</v>
      </c>
      <c r="CN14" s="638">
        <f>SUM(T14,AN14,BH14,CB14)</f>
        <v>9192</v>
      </c>
      <c r="CO14" s="637">
        <f>+C14+D14+W14+X14+AQ14+AR14+BK14+BL14</f>
        <v>2045</v>
      </c>
      <c r="CP14" s="637">
        <f>+E14+F14+Y14+Z14+AS14+AT14+BM14+BN14</f>
        <v>2173</v>
      </c>
      <c r="CQ14" s="637">
        <f>+G14+H14+AA14+AB14+AU14+AV14+BO14+BP14</f>
        <v>2393</v>
      </c>
      <c r="CR14" s="637">
        <f>+I14+J14+AC14+AD14+AW14+AX14+BQ14+BR14</f>
        <v>2581</v>
      </c>
      <c r="CS14" s="638">
        <f t="shared" ref="CS14" si="0">SUM(CC14,BI14,AO14,U14)</f>
        <v>9192</v>
      </c>
    </row>
    <row r="15" spans="1:131"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6"/>
      <c r="V15" s="193"/>
      <c r="W15" s="104"/>
      <c r="X15" s="104"/>
      <c r="Y15" s="104"/>
      <c r="Z15" s="104"/>
      <c r="AA15" s="104"/>
      <c r="AB15" s="104"/>
      <c r="AC15" s="104"/>
      <c r="AD15" s="104"/>
      <c r="AE15" s="375"/>
      <c r="AF15" s="376"/>
      <c r="AG15" s="104"/>
      <c r="AH15" s="104"/>
      <c r="AI15" s="104"/>
      <c r="AJ15" s="104"/>
      <c r="AK15" s="104"/>
      <c r="AL15" s="104"/>
      <c r="AM15" s="104"/>
      <c r="AN15" s="104"/>
      <c r="AO15" s="376"/>
      <c r="AP15" s="193"/>
      <c r="AQ15" s="104"/>
      <c r="AR15" s="104"/>
      <c r="AS15" s="104"/>
      <c r="AT15" s="104"/>
      <c r="AU15" s="104"/>
      <c r="AV15" s="104"/>
      <c r="AW15" s="104"/>
      <c r="AX15" s="104"/>
      <c r="AY15" s="375"/>
      <c r="AZ15" s="376"/>
      <c r="BA15" s="104"/>
      <c r="BB15" s="104"/>
      <c r="BC15" s="104"/>
      <c r="BD15" s="104"/>
      <c r="BE15" s="104"/>
      <c r="BF15" s="104"/>
      <c r="BG15" s="104"/>
      <c r="BH15" s="104"/>
      <c r="BI15" s="376"/>
      <c r="BJ15" s="193"/>
      <c r="BK15" s="104"/>
      <c r="BL15" s="104"/>
      <c r="BM15" s="104"/>
      <c r="BN15" s="104"/>
      <c r="BO15" s="104"/>
      <c r="BP15" s="104"/>
      <c r="BQ15" s="104"/>
      <c r="BR15" s="104"/>
      <c r="BS15" s="375"/>
      <c r="BT15" s="376"/>
      <c r="BU15" s="104"/>
      <c r="BV15" s="104"/>
      <c r="BW15" s="104"/>
      <c r="BX15" s="104"/>
      <c r="BY15" s="104"/>
      <c r="BZ15" s="104"/>
      <c r="CA15" s="104"/>
      <c r="CB15" s="104"/>
      <c r="CC15" s="376"/>
      <c r="CD15" s="193"/>
      <c r="CE15" s="199"/>
      <c r="CF15" s="199"/>
      <c r="CG15" s="199"/>
      <c r="CH15" s="199"/>
      <c r="CI15" s="193"/>
      <c r="CJ15" s="199"/>
      <c r="CK15" s="199"/>
      <c r="CL15" s="199"/>
      <c r="CM15" s="199"/>
      <c r="CN15" s="193"/>
      <c r="CO15" s="199"/>
      <c r="CP15" s="199"/>
      <c r="CQ15" s="199"/>
      <c r="CR15" s="199"/>
      <c r="CS15" s="193"/>
    </row>
    <row r="16" spans="1:131" ht="15.75" customHeight="1">
      <c r="A16" s="135" t="s">
        <v>171</v>
      </c>
      <c r="B16" s="300">
        <v>1</v>
      </c>
      <c r="C16" s="233">
        <v>49112.26</v>
      </c>
      <c r="D16" s="233">
        <v>170360.25</v>
      </c>
      <c r="E16" s="233">
        <v>47307.05</v>
      </c>
      <c r="F16" s="233">
        <v>184600.87</v>
      </c>
      <c r="G16" s="233">
        <v>50462.61</v>
      </c>
      <c r="H16" s="233">
        <v>209230.730000001</v>
      </c>
      <c r="I16" s="233">
        <v>57403.8</v>
      </c>
      <c r="J16" s="233">
        <v>221959.320000001</v>
      </c>
      <c r="K16" s="412">
        <f t="shared" ref="K16:K23" si="1">SUM(C16:J16)</f>
        <v>990436.89000000199</v>
      </c>
      <c r="L16" s="413"/>
      <c r="M16" s="233"/>
      <c r="N16" s="233"/>
      <c r="O16" s="233"/>
      <c r="P16" s="233"/>
      <c r="Q16" s="233"/>
      <c r="R16" s="233"/>
      <c r="S16" s="233"/>
      <c r="T16" s="414">
        <f t="shared" ref="T16:T23" si="2">SUM(L16:S16)</f>
        <v>0</v>
      </c>
      <c r="U16" s="415">
        <f t="shared" ref="U16:U23" si="3">SUM(K16,T16)</f>
        <v>990436.89000000199</v>
      </c>
      <c r="V16" s="300">
        <v>1</v>
      </c>
      <c r="W16" s="233">
        <v>12651.58</v>
      </c>
      <c r="X16" s="233">
        <v>115584</v>
      </c>
      <c r="Y16" s="233">
        <v>10090.74</v>
      </c>
      <c r="Z16" s="233">
        <v>105264</v>
      </c>
      <c r="AA16" s="233">
        <v>24080.22</v>
      </c>
      <c r="AB16" s="233">
        <v>90816</v>
      </c>
      <c r="AC16" s="233">
        <v>24080.22</v>
      </c>
      <c r="AD16" s="233">
        <v>94944</v>
      </c>
      <c r="AE16" s="412">
        <f t="shared" ref="AE16:AE23" si="4">SUM(W16:AD16)</f>
        <v>477510.76</v>
      </c>
      <c r="AF16" s="413"/>
      <c r="AG16" s="233">
        <v>0</v>
      </c>
      <c r="AH16" s="233">
        <v>0</v>
      </c>
      <c r="AI16" s="233">
        <v>0</v>
      </c>
      <c r="AJ16" s="233">
        <v>0</v>
      </c>
      <c r="AK16" s="233">
        <v>0</v>
      </c>
      <c r="AL16" s="233">
        <v>0</v>
      </c>
      <c r="AM16" s="233">
        <v>0</v>
      </c>
      <c r="AN16" s="414">
        <f t="shared" ref="AN16:AN23" si="5">SUM(AF16:AM16)</f>
        <v>0</v>
      </c>
      <c r="AO16" s="415">
        <f t="shared" ref="AO16:AO23" si="6">SUM(AE16,AN16)</f>
        <v>477510.76</v>
      </c>
      <c r="AP16" s="300">
        <v>1</v>
      </c>
      <c r="AQ16" s="233">
        <v>1454674.9</v>
      </c>
      <c r="AR16" s="233">
        <v>3140181.3500000397</v>
      </c>
      <c r="AS16" s="233">
        <v>1567363.14</v>
      </c>
      <c r="AT16" s="233">
        <v>3350908.2500000498</v>
      </c>
      <c r="AU16" s="233">
        <v>1666163.1199999999</v>
      </c>
      <c r="AV16" s="233">
        <v>3738957.6899999203</v>
      </c>
      <c r="AW16" s="233">
        <v>1820394.33</v>
      </c>
      <c r="AX16" s="233">
        <v>4115056.9399999096</v>
      </c>
      <c r="AY16" s="412">
        <f t="shared" ref="AY16:AY23" si="7">SUM(AQ16:AX16)</f>
        <v>20853699.719999917</v>
      </c>
      <c r="AZ16" s="413">
        <v>0</v>
      </c>
      <c r="BA16" s="233">
        <v>0</v>
      </c>
      <c r="BB16" s="233">
        <v>0</v>
      </c>
      <c r="BC16" s="233">
        <v>0</v>
      </c>
      <c r="BD16" s="233">
        <v>0</v>
      </c>
      <c r="BE16" s="233">
        <v>0</v>
      </c>
      <c r="BF16" s="233">
        <v>0</v>
      </c>
      <c r="BG16" s="233">
        <v>0</v>
      </c>
      <c r="BH16" s="414">
        <f t="shared" ref="BH16:BH23" si="8">SUM(AZ16:BG16)</f>
        <v>0</v>
      </c>
      <c r="BI16" s="415">
        <f t="shared" ref="BI16:BI23" si="9">SUM(AY16,BH16)</f>
        <v>20853699.719999917</v>
      </c>
      <c r="BJ16" s="300">
        <v>1</v>
      </c>
      <c r="BK16" s="233">
        <v>59939.100000000006</v>
      </c>
      <c r="BL16" s="233">
        <v>463809.47</v>
      </c>
      <c r="BM16" s="233">
        <v>59939.100000000006</v>
      </c>
      <c r="BN16" s="233">
        <v>353012.22000000003</v>
      </c>
      <c r="BO16" s="233">
        <v>70784.61</v>
      </c>
      <c r="BP16" s="233">
        <v>326391.92000000004</v>
      </c>
      <c r="BQ16" s="233">
        <v>52772.21</v>
      </c>
      <c r="BR16" s="233">
        <v>261704.88999999998</v>
      </c>
      <c r="BS16" s="412">
        <f t="shared" ref="BS16:BS23" si="10">SUM(BK16:BR16)</f>
        <v>1648353.5199999998</v>
      </c>
      <c r="BT16" s="413">
        <v>0</v>
      </c>
      <c r="BU16" s="233">
        <v>0</v>
      </c>
      <c r="BV16" s="233">
        <v>0</v>
      </c>
      <c r="BW16" s="233">
        <v>0</v>
      </c>
      <c r="BX16" s="233">
        <v>0</v>
      </c>
      <c r="BY16" s="233">
        <v>0</v>
      </c>
      <c r="BZ16" s="233">
        <v>0</v>
      </c>
      <c r="CA16" s="233">
        <v>0</v>
      </c>
      <c r="CB16" s="414">
        <f t="shared" ref="CB16:CB23" si="11">SUM(BT16:CA16)</f>
        <v>0</v>
      </c>
      <c r="CC16" s="415">
        <f t="shared" ref="CC16:CC23" si="12">SUM(BS16,CB16)</f>
        <v>1648353.5199999998</v>
      </c>
      <c r="CD16" s="300">
        <v>1</v>
      </c>
      <c r="CE16" s="414">
        <f>+C16+D16+W16+X16+AQ16+AR16+BK16+BL16</f>
        <v>5466312.9100000383</v>
      </c>
      <c r="CF16" s="414">
        <f>+E16+F16+Y16+Z16+AS16+AT16+BM16+BN16</f>
        <v>5678485.3700000485</v>
      </c>
      <c r="CG16" s="414">
        <f>+G16+H16+AA16+AB16+AU16+AV16+BO16+BP16</f>
        <v>6176886.8999999212</v>
      </c>
      <c r="CH16" s="414">
        <f>+I16+J16+AC16+AD16+AW16+AX16+BQ16+BR16</f>
        <v>6648315.7099999096</v>
      </c>
      <c r="CI16" s="416">
        <f>SUM(K16,AE16,AY16,BS16)</f>
        <v>23970000.889999919</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5466312.9100000383</v>
      </c>
      <c r="CP16" s="414">
        <f>+E16+F16+N16+O16+Y16+Z16+AH16+AI16+AS16+AT16+BB16+BC16+BM16+BN16+BV16+BW16</f>
        <v>5678485.3700000485</v>
      </c>
      <c r="CQ16" s="414">
        <f>+G16+H16+P16+Q16+AA16+AB16+AJ16+AK16+AU16+AV16+BD16+BE16+BO16+BP16+BX16+BY16</f>
        <v>6176886.8999999212</v>
      </c>
      <c r="CR16" s="414">
        <f>+I16+J16+R16+S16+AC16+AD16+AL16+AM16+AW16+AX16+BF16+BG16+BQ16+BR16+BZ16+CA16</f>
        <v>6648315.7099999096</v>
      </c>
      <c r="CS16" s="416">
        <f t="shared" ref="CS16:CS23" si="13">SUM(CC16,BI16,AO16,U16)</f>
        <v>23970000.889999919</v>
      </c>
      <c r="CT16" s="319"/>
      <c r="CU16" s="319"/>
      <c r="CV16" s="319"/>
      <c r="CW16" s="319"/>
      <c r="CX16" s="319"/>
    </row>
    <row r="17" spans="1:131" ht="15.75" customHeight="1">
      <c r="A17" s="88" t="s">
        <v>1337</v>
      </c>
      <c r="B17" s="300"/>
      <c r="C17" s="233"/>
      <c r="D17" s="233"/>
      <c r="E17" s="233"/>
      <c r="F17" s="233"/>
      <c r="G17" s="233"/>
      <c r="H17" s="233"/>
      <c r="I17" s="233"/>
      <c r="J17" s="233"/>
      <c r="K17" s="412">
        <f t="shared" si="1"/>
        <v>0</v>
      </c>
      <c r="L17" s="417"/>
      <c r="M17" s="231">
        <v>468878.88319999998</v>
      </c>
      <c r="N17" s="231">
        <v>0</v>
      </c>
      <c r="O17" s="231">
        <v>484495.28120000003</v>
      </c>
      <c r="P17" s="231">
        <v>0</v>
      </c>
      <c r="Q17" s="231">
        <v>506917.26960000099</v>
      </c>
      <c r="R17" s="231">
        <v>0</v>
      </c>
      <c r="S17" s="231">
        <v>529041.52419999999</v>
      </c>
      <c r="T17" s="414">
        <f t="shared" si="2"/>
        <v>1989332.9582000012</v>
      </c>
      <c r="U17" s="415">
        <f t="shared" si="3"/>
        <v>1989332.9582000012</v>
      </c>
      <c r="V17" s="300"/>
      <c r="W17" s="233">
        <v>0</v>
      </c>
      <c r="X17" s="233">
        <v>0</v>
      </c>
      <c r="Y17" s="233">
        <v>0</v>
      </c>
      <c r="Z17" s="233">
        <v>0</v>
      </c>
      <c r="AA17" s="233">
        <v>0</v>
      </c>
      <c r="AB17" s="233">
        <v>0</v>
      </c>
      <c r="AC17" s="233">
        <v>0</v>
      </c>
      <c r="AD17" s="233">
        <v>0</v>
      </c>
      <c r="AE17" s="412">
        <f t="shared" si="4"/>
        <v>0</v>
      </c>
      <c r="AF17" s="417"/>
      <c r="AG17" s="231">
        <v>184328.6704</v>
      </c>
      <c r="AH17" s="231">
        <v>0</v>
      </c>
      <c r="AI17" s="231">
        <v>154607.4068</v>
      </c>
      <c r="AJ17" s="231">
        <v>0</v>
      </c>
      <c r="AK17" s="231">
        <v>124847.443</v>
      </c>
      <c r="AL17" s="231">
        <v>0</v>
      </c>
      <c r="AM17" s="231">
        <v>132340.91500000001</v>
      </c>
      <c r="AN17" s="414">
        <f t="shared" si="5"/>
        <v>596124.43520000007</v>
      </c>
      <c r="AO17" s="415">
        <f t="shared" si="6"/>
        <v>596124.43520000007</v>
      </c>
      <c r="AP17" s="300"/>
      <c r="AQ17" s="233">
        <v>0</v>
      </c>
      <c r="AR17" s="233">
        <v>0</v>
      </c>
      <c r="AS17" s="233">
        <v>0</v>
      </c>
      <c r="AT17" s="233">
        <v>0</v>
      </c>
      <c r="AU17" s="233">
        <v>0</v>
      </c>
      <c r="AV17" s="233">
        <v>0</v>
      </c>
      <c r="AW17" s="233">
        <v>0</v>
      </c>
      <c r="AX17" s="233">
        <v>0</v>
      </c>
      <c r="AY17" s="412">
        <f t="shared" si="7"/>
        <v>0</v>
      </c>
      <c r="AZ17" s="417">
        <v>0</v>
      </c>
      <c r="BA17" s="231">
        <v>2747860.7884</v>
      </c>
      <c r="BB17" s="231">
        <v>0</v>
      </c>
      <c r="BC17" s="231">
        <v>2399470.3473999999</v>
      </c>
      <c r="BD17" s="231">
        <v>0</v>
      </c>
      <c r="BE17" s="231">
        <v>2800444.1682000002</v>
      </c>
      <c r="BF17" s="231">
        <v>0</v>
      </c>
      <c r="BG17" s="231">
        <v>2938505.9116000002</v>
      </c>
      <c r="BH17" s="414">
        <f t="shared" si="8"/>
        <v>10886281.215600001</v>
      </c>
      <c r="BI17" s="415">
        <f t="shared" si="9"/>
        <v>10886281.215600001</v>
      </c>
      <c r="BJ17" s="300"/>
      <c r="BK17" s="233">
        <v>0</v>
      </c>
      <c r="BL17" s="233">
        <v>0</v>
      </c>
      <c r="BM17" s="233">
        <v>0</v>
      </c>
      <c r="BN17" s="233">
        <v>0</v>
      </c>
      <c r="BO17" s="233">
        <v>0</v>
      </c>
      <c r="BP17" s="233">
        <v>0</v>
      </c>
      <c r="BQ17" s="233">
        <v>0</v>
      </c>
      <c r="BR17" s="233">
        <v>0</v>
      </c>
      <c r="BS17" s="412">
        <f t="shared" si="10"/>
        <v>0</v>
      </c>
      <c r="BT17" s="417">
        <v>0</v>
      </c>
      <c r="BU17" s="231">
        <v>188020.07560000001</v>
      </c>
      <c r="BV17" s="231">
        <v>0</v>
      </c>
      <c r="BW17" s="231">
        <v>166706.33979999999</v>
      </c>
      <c r="BX17" s="231">
        <v>0</v>
      </c>
      <c r="BY17" s="231">
        <v>145760.10399999999</v>
      </c>
      <c r="BZ17" s="231">
        <v>0</v>
      </c>
      <c r="CA17" s="231">
        <v>124835.0166</v>
      </c>
      <c r="CB17" s="414">
        <f t="shared" si="11"/>
        <v>625321.53599999996</v>
      </c>
      <c r="CC17" s="415">
        <f t="shared" si="12"/>
        <v>625321.53599999996</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3589088.4176000003</v>
      </c>
      <c r="CK17" s="414">
        <f t="shared" ref="CK17:CK23" si="20">N17+O17+AH17+AI17+BB17+BC17+BV17+BW17</f>
        <v>3205279.3752000001</v>
      </c>
      <c r="CL17" s="414">
        <f t="shared" ref="CL17:CL23" si="21">P17+Q17+AJ17+AK17+BD17+BE17+BX17+BY17</f>
        <v>3577968.9848000011</v>
      </c>
      <c r="CM17" s="414">
        <f t="shared" ref="CM17:CM23" si="22">+R17+S17+AL17+AM17+BF17+BG17+BZ17+CA17</f>
        <v>3724723.3674000003</v>
      </c>
      <c r="CN17" s="416">
        <f t="shared" ref="CN17:CN23" si="23">SUM(T17,AN17,BH17,CB17)</f>
        <v>14097060.145000001</v>
      </c>
      <c r="CO17" s="414">
        <f t="shared" ref="CO17:CO23" si="24">+C17+D17+L17+M17+W17+X17+AF17+AG17+AQ17+AR17+AZ17+BA17+BK17+BL17+BT17+BU17</f>
        <v>3589088.4176000003</v>
      </c>
      <c r="CP17" s="414">
        <f t="shared" ref="CP17:CP23" si="25">+E17+F17+N17+O17+Y17+Z17+AH17+AI17+AS17+AT17+BB17+BC17+BM17+BN17+BV17+BW17</f>
        <v>3205279.3752000001</v>
      </c>
      <c r="CQ17" s="414">
        <f t="shared" ref="CQ17:CQ23" si="26">+G17+H17+P17+Q17+AA17+AB17+AJ17+AK17+AU17+AV17+BD17+BE17+BO17+BP17+BX17+BY17</f>
        <v>3577968.9848000011</v>
      </c>
      <c r="CR17" s="414">
        <f t="shared" ref="CR17:CR23" si="27">+I17+J17+R17+S17+AC17+AD17+AL17+AM17+AW17+AX17+BF17+BG17+BQ17+BR17+BZ17+CA17</f>
        <v>3724723.3674000003</v>
      </c>
      <c r="CS17" s="416">
        <f t="shared" si="13"/>
        <v>14097060.145000003</v>
      </c>
      <c r="CT17" s="319"/>
      <c r="CV17" s="319"/>
      <c r="CX17" s="319"/>
    </row>
    <row r="18" spans="1:131" ht="15.75" customHeight="1">
      <c r="A18" s="88" t="s">
        <v>1338</v>
      </c>
      <c r="B18" s="300"/>
      <c r="C18" s="231"/>
      <c r="D18" s="231"/>
      <c r="E18" s="231"/>
      <c r="F18" s="231"/>
      <c r="G18" s="231"/>
      <c r="H18" s="231"/>
      <c r="I18" s="231"/>
      <c r="J18" s="231"/>
      <c r="K18" s="412">
        <f t="shared" si="1"/>
        <v>0</v>
      </c>
      <c r="L18" s="417"/>
      <c r="M18" s="231">
        <v>11147.206</v>
      </c>
      <c r="N18" s="231">
        <v>0</v>
      </c>
      <c r="O18" s="231">
        <v>9307.4324000000106</v>
      </c>
      <c r="P18" s="231">
        <v>0</v>
      </c>
      <c r="Q18" s="231">
        <v>10921.874599999999</v>
      </c>
      <c r="R18" s="231">
        <v>0</v>
      </c>
      <c r="S18" s="231">
        <v>10104.368399999999</v>
      </c>
      <c r="T18" s="414">
        <f t="shared" si="2"/>
        <v>41480.881400000013</v>
      </c>
      <c r="U18" s="415">
        <f t="shared" si="3"/>
        <v>41480.881400000013</v>
      </c>
      <c r="V18" s="300"/>
      <c r="W18" s="231">
        <v>0</v>
      </c>
      <c r="X18" s="231">
        <v>0</v>
      </c>
      <c r="Y18" s="231">
        <v>0</v>
      </c>
      <c r="Z18" s="231">
        <v>0</v>
      </c>
      <c r="AA18" s="231">
        <v>0</v>
      </c>
      <c r="AB18" s="231">
        <v>0</v>
      </c>
      <c r="AC18" s="231">
        <v>0</v>
      </c>
      <c r="AD18" s="231">
        <v>0</v>
      </c>
      <c r="AE18" s="412">
        <f t="shared" si="4"/>
        <v>0</v>
      </c>
      <c r="AF18" s="417"/>
      <c r="AG18" s="231">
        <v>6834.2064</v>
      </c>
      <c r="AH18" s="231">
        <v>0</v>
      </c>
      <c r="AI18" s="231">
        <v>5054.9183999999996</v>
      </c>
      <c r="AJ18" s="231">
        <v>0</v>
      </c>
      <c r="AK18" s="231">
        <v>4357.5209999999997</v>
      </c>
      <c r="AL18" s="231">
        <v>0</v>
      </c>
      <c r="AM18" s="231">
        <v>4520.9948000000004</v>
      </c>
      <c r="AN18" s="414">
        <f t="shared" si="5"/>
        <v>20767.640599999999</v>
      </c>
      <c r="AO18" s="415">
        <f t="shared" si="6"/>
        <v>20767.640599999999</v>
      </c>
      <c r="AP18" s="300"/>
      <c r="AQ18" s="231">
        <v>0</v>
      </c>
      <c r="AR18" s="231">
        <v>0</v>
      </c>
      <c r="AS18" s="231">
        <v>0</v>
      </c>
      <c r="AT18" s="231">
        <v>0</v>
      </c>
      <c r="AU18" s="231">
        <v>0</v>
      </c>
      <c r="AV18" s="231">
        <v>0</v>
      </c>
      <c r="AW18" s="231">
        <v>0</v>
      </c>
      <c r="AX18" s="231">
        <v>0</v>
      </c>
      <c r="AY18" s="412">
        <f t="shared" si="7"/>
        <v>0</v>
      </c>
      <c r="AZ18" s="417">
        <v>0</v>
      </c>
      <c r="BA18" s="231">
        <v>88782.659000000203</v>
      </c>
      <c r="BB18" s="231">
        <v>0</v>
      </c>
      <c r="BC18" s="231">
        <v>78436.828400000304</v>
      </c>
      <c r="BD18" s="231">
        <v>0</v>
      </c>
      <c r="BE18" s="231">
        <v>88347.019600000305</v>
      </c>
      <c r="BF18" s="231">
        <v>0</v>
      </c>
      <c r="BG18" s="231">
        <v>88795.79100000039</v>
      </c>
      <c r="BH18" s="414">
        <f t="shared" si="8"/>
        <v>344362.29800000117</v>
      </c>
      <c r="BI18" s="415">
        <f t="shared" si="9"/>
        <v>344362.29800000117</v>
      </c>
      <c r="BJ18" s="300"/>
      <c r="BK18" s="231">
        <v>0</v>
      </c>
      <c r="BL18" s="231">
        <v>0</v>
      </c>
      <c r="BM18" s="231">
        <v>0</v>
      </c>
      <c r="BN18" s="231">
        <v>0</v>
      </c>
      <c r="BO18" s="231">
        <v>0</v>
      </c>
      <c r="BP18" s="231">
        <v>0</v>
      </c>
      <c r="BQ18" s="231">
        <v>0</v>
      </c>
      <c r="BR18" s="231">
        <v>0</v>
      </c>
      <c r="BS18" s="412">
        <f t="shared" si="10"/>
        <v>0</v>
      </c>
      <c r="BT18" s="417">
        <v>0</v>
      </c>
      <c r="BU18" s="231">
        <v>5332.9835999999996</v>
      </c>
      <c r="BV18" s="231">
        <v>0</v>
      </c>
      <c r="BW18" s="231">
        <v>3520.2482</v>
      </c>
      <c r="BX18" s="231">
        <v>0</v>
      </c>
      <c r="BY18" s="231">
        <v>3579.7047999999995</v>
      </c>
      <c r="BZ18" s="231">
        <v>0</v>
      </c>
      <c r="CA18" s="231">
        <v>2838.9032000000002</v>
      </c>
      <c r="CB18" s="414">
        <f t="shared" si="11"/>
        <v>15271.8398</v>
      </c>
      <c r="CC18" s="415">
        <f t="shared" si="12"/>
        <v>15271.8398</v>
      </c>
      <c r="CD18" s="300"/>
      <c r="CE18" s="414">
        <f t="shared" si="14"/>
        <v>0</v>
      </c>
      <c r="CF18" s="414">
        <f t="shared" si="15"/>
        <v>0</v>
      </c>
      <c r="CG18" s="414">
        <f t="shared" si="16"/>
        <v>0</v>
      </c>
      <c r="CH18" s="414">
        <f t="shared" si="17"/>
        <v>0</v>
      </c>
      <c r="CI18" s="416">
        <f t="shared" si="18"/>
        <v>0</v>
      </c>
      <c r="CJ18" s="414">
        <f t="shared" si="19"/>
        <v>112097.0550000002</v>
      </c>
      <c r="CK18" s="414">
        <f t="shared" si="20"/>
        <v>96319.427400000321</v>
      </c>
      <c r="CL18" s="414">
        <f t="shared" si="21"/>
        <v>107206.12000000032</v>
      </c>
      <c r="CM18" s="414">
        <f t="shared" si="22"/>
        <v>106260.0574000004</v>
      </c>
      <c r="CN18" s="416">
        <f t="shared" si="23"/>
        <v>421882.65980000119</v>
      </c>
      <c r="CO18" s="414">
        <f t="shared" si="24"/>
        <v>112097.0550000002</v>
      </c>
      <c r="CP18" s="414">
        <f t="shared" si="25"/>
        <v>96319.427400000321</v>
      </c>
      <c r="CQ18" s="414">
        <f t="shared" si="26"/>
        <v>107206.12000000032</v>
      </c>
      <c r="CR18" s="414">
        <f t="shared" si="27"/>
        <v>106260.0574000004</v>
      </c>
      <c r="CS18" s="416">
        <f t="shared" si="13"/>
        <v>421882.65980000119</v>
      </c>
      <c r="CV18" s="319"/>
      <c r="CX18" s="319"/>
    </row>
    <row r="19" spans="1:131" ht="15.75" customHeight="1">
      <c r="A19" s="88" t="s">
        <v>1339</v>
      </c>
      <c r="B19" s="300"/>
      <c r="C19" s="231"/>
      <c r="D19" s="231"/>
      <c r="E19" s="231"/>
      <c r="F19" s="231"/>
      <c r="G19" s="231"/>
      <c r="H19" s="231"/>
      <c r="I19" s="231"/>
      <c r="J19" s="231"/>
      <c r="K19" s="412">
        <f t="shared" si="1"/>
        <v>0</v>
      </c>
      <c r="L19" s="417"/>
      <c r="M19" s="231">
        <v>43914</v>
      </c>
      <c r="N19" s="231">
        <v>0</v>
      </c>
      <c r="O19" s="231">
        <v>44442</v>
      </c>
      <c r="P19" s="231">
        <v>0</v>
      </c>
      <c r="Q19" s="231">
        <v>59927</v>
      </c>
      <c r="R19" s="231">
        <v>0</v>
      </c>
      <c r="S19" s="231">
        <v>82955</v>
      </c>
      <c r="T19" s="414">
        <f t="shared" si="2"/>
        <v>231238</v>
      </c>
      <c r="U19" s="415">
        <f t="shared" si="3"/>
        <v>231238</v>
      </c>
      <c r="V19" s="300"/>
      <c r="W19" s="231"/>
      <c r="X19" s="231"/>
      <c r="Y19" s="231"/>
      <c r="Z19" s="231"/>
      <c r="AA19" s="231"/>
      <c r="AB19" s="231"/>
      <c r="AC19" s="231"/>
      <c r="AD19" s="231"/>
      <c r="AE19" s="412">
        <f t="shared" si="4"/>
        <v>0</v>
      </c>
      <c r="AF19" s="417"/>
      <c r="AG19" s="231">
        <v>18270</v>
      </c>
      <c r="AH19" s="231">
        <v>0</v>
      </c>
      <c r="AI19" s="231">
        <v>18641</v>
      </c>
      <c r="AJ19" s="231">
        <v>0</v>
      </c>
      <c r="AK19" s="231">
        <v>41637</v>
      </c>
      <c r="AL19" s="231">
        <v>0</v>
      </c>
      <c r="AM19" s="231">
        <v>31125</v>
      </c>
      <c r="AN19" s="414">
        <f t="shared" si="5"/>
        <v>109673</v>
      </c>
      <c r="AO19" s="415">
        <f t="shared" si="6"/>
        <v>109673</v>
      </c>
      <c r="AP19" s="300"/>
      <c r="AQ19" s="231">
        <v>0</v>
      </c>
      <c r="AR19" s="231">
        <v>0</v>
      </c>
      <c r="AS19" s="231">
        <v>0</v>
      </c>
      <c r="AT19" s="231">
        <v>0</v>
      </c>
      <c r="AU19" s="231">
        <v>0</v>
      </c>
      <c r="AV19" s="231">
        <v>0</v>
      </c>
      <c r="AW19" s="231">
        <v>0</v>
      </c>
      <c r="AX19" s="231">
        <v>0</v>
      </c>
      <c r="AY19" s="412">
        <f t="shared" si="7"/>
        <v>0</v>
      </c>
      <c r="AZ19" s="417">
        <v>0</v>
      </c>
      <c r="BA19" s="231">
        <v>447431</v>
      </c>
      <c r="BB19" s="231">
        <v>0</v>
      </c>
      <c r="BC19" s="231">
        <v>597712</v>
      </c>
      <c r="BD19" s="231">
        <v>0</v>
      </c>
      <c r="BE19" s="231">
        <v>549097</v>
      </c>
      <c r="BF19" s="231">
        <v>0</v>
      </c>
      <c r="BG19" s="231">
        <v>579171</v>
      </c>
      <c r="BH19" s="414">
        <f t="shared" si="8"/>
        <v>2173411</v>
      </c>
      <c r="BI19" s="415">
        <f t="shared" si="9"/>
        <v>2173411</v>
      </c>
      <c r="BJ19" s="300"/>
      <c r="BK19" s="231">
        <v>0</v>
      </c>
      <c r="BL19" s="231">
        <v>0</v>
      </c>
      <c r="BM19" s="231">
        <v>0</v>
      </c>
      <c r="BN19" s="231">
        <v>0</v>
      </c>
      <c r="BO19" s="231">
        <v>0</v>
      </c>
      <c r="BP19" s="231">
        <v>0</v>
      </c>
      <c r="BQ19" s="231">
        <v>0</v>
      </c>
      <c r="BR19" s="231">
        <v>0</v>
      </c>
      <c r="BS19" s="412">
        <f t="shared" si="10"/>
        <v>0</v>
      </c>
      <c r="BT19" s="417">
        <v>0</v>
      </c>
      <c r="BU19" s="231">
        <v>17304</v>
      </c>
      <c r="BV19" s="231">
        <v>0</v>
      </c>
      <c r="BW19" s="231">
        <v>19618</v>
      </c>
      <c r="BX19" s="231">
        <v>0</v>
      </c>
      <c r="BY19" s="231">
        <v>24928</v>
      </c>
      <c r="BZ19" s="231">
        <v>0</v>
      </c>
      <c r="CA19" s="231">
        <v>22977</v>
      </c>
      <c r="CB19" s="414">
        <f t="shared" si="11"/>
        <v>84827</v>
      </c>
      <c r="CC19" s="415">
        <f t="shared" si="12"/>
        <v>84827</v>
      </c>
      <c r="CD19" s="300"/>
      <c r="CE19" s="414">
        <f t="shared" si="14"/>
        <v>0</v>
      </c>
      <c r="CF19" s="414">
        <f t="shared" si="15"/>
        <v>0</v>
      </c>
      <c r="CG19" s="414">
        <f t="shared" si="16"/>
        <v>0</v>
      </c>
      <c r="CH19" s="414">
        <f t="shared" si="17"/>
        <v>0</v>
      </c>
      <c r="CI19" s="416">
        <f t="shared" si="18"/>
        <v>0</v>
      </c>
      <c r="CJ19" s="414">
        <f t="shared" si="19"/>
        <v>526919</v>
      </c>
      <c r="CK19" s="414">
        <f t="shared" si="20"/>
        <v>680413</v>
      </c>
      <c r="CL19" s="414">
        <f t="shared" si="21"/>
        <v>675589</v>
      </c>
      <c r="CM19" s="414">
        <f t="shared" si="22"/>
        <v>716228</v>
      </c>
      <c r="CN19" s="416">
        <f t="shared" si="23"/>
        <v>2599149</v>
      </c>
      <c r="CO19" s="414">
        <f t="shared" si="24"/>
        <v>526919</v>
      </c>
      <c r="CP19" s="414">
        <f t="shared" si="25"/>
        <v>680413</v>
      </c>
      <c r="CQ19" s="414">
        <f t="shared" si="26"/>
        <v>675589</v>
      </c>
      <c r="CR19" s="414">
        <f t="shared" si="27"/>
        <v>716228</v>
      </c>
      <c r="CS19" s="416">
        <f t="shared" si="13"/>
        <v>2599149</v>
      </c>
    </row>
    <row r="20" spans="1:131" ht="15.75" customHeight="1">
      <c r="A20" s="135" t="s">
        <v>173</v>
      </c>
      <c r="B20" s="300">
        <v>2</v>
      </c>
      <c r="C20" s="232">
        <f t="shared" ref="C20:J20" si="28">SUM(C17:C19)</f>
        <v>0</v>
      </c>
      <c r="D20" s="232">
        <f t="shared" si="28"/>
        <v>0</v>
      </c>
      <c r="E20" s="232">
        <f t="shared" si="28"/>
        <v>0</v>
      </c>
      <c r="F20" s="232">
        <f t="shared" si="28"/>
        <v>0</v>
      </c>
      <c r="G20" s="232">
        <f t="shared" si="28"/>
        <v>0</v>
      </c>
      <c r="H20" s="232">
        <f t="shared" si="28"/>
        <v>0</v>
      </c>
      <c r="I20" s="232">
        <f t="shared" si="28"/>
        <v>0</v>
      </c>
      <c r="J20" s="232">
        <f t="shared" si="28"/>
        <v>0</v>
      </c>
      <c r="K20" s="412">
        <f t="shared" si="1"/>
        <v>0</v>
      </c>
      <c r="L20" s="418">
        <f t="shared" ref="L20:S20" si="29">SUM(L17:L19)</f>
        <v>0</v>
      </c>
      <c r="M20" s="232">
        <f t="shared" si="29"/>
        <v>523940.08919999999</v>
      </c>
      <c r="N20" s="232">
        <f t="shared" si="29"/>
        <v>0</v>
      </c>
      <c r="O20" s="232">
        <f t="shared" si="29"/>
        <v>538244.71360000002</v>
      </c>
      <c r="P20" s="232">
        <f t="shared" si="29"/>
        <v>0</v>
      </c>
      <c r="Q20" s="232">
        <f t="shared" si="29"/>
        <v>577766.14420000091</v>
      </c>
      <c r="R20" s="232">
        <f t="shared" si="29"/>
        <v>0</v>
      </c>
      <c r="S20" s="232">
        <f t="shared" si="29"/>
        <v>622100.89260000002</v>
      </c>
      <c r="T20" s="414">
        <f t="shared" si="2"/>
        <v>2262051.839600001</v>
      </c>
      <c r="U20" s="415">
        <f t="shared" si="3"/>
        <v>2262051.839600001</v>
      </c>
      <c r="V20" s="300">
        <v>2</v>
      </c>
      <c r="W20" s="232">
        <f t="shared" ref="W20:AD20" si="30">SUM(W17:W19)</f>
        <v>0</v>
      </c>
      <c r="X20" s="232">
        <f t="shared" si="30"/>
        <v>0</v>
      </c>
      <c r="Y20" s="232">
        <f t="shared" si="30"/>
        <v>0</v>
      </c>
      <c r="Z20" s="232">
        <f t="shared" si="30"/>
        <v>0</v>
      </c>
      <c r="AA20" s="232">
        <f t="shared" si="30"/>
        <v>0</v>
      </c>
      <c r="AB20" s="232">
        <f t="shared" si="30"/>
        <v>0</v>
      </c>
      <c r="AC20" s="232">
        <f t="shared" si="30"/>
        <v>0</v>
      </c>
      <c r="AD20" s="232">
        <f t="shared" si="30"/>
        <v>0</v>
      </c>
      <c r="AE20" s="412">
        <f t="shared" si="4"/>
        <v>0</v>
      </c>
      <c r="AF20" s="418">
        <f t="shared" ref="AF20:AM20" si="31">SUM(AF17:AF19)</f>
        <v>0</v>
      </c>
      <c r="AG20" s="232">
        <f t="shared" si="31"/>
        <v>209432.8768</v>
      </c>
      <c r="AH20" s="232">
        <f t="shared" si="31"/>
        <v>0</v>
      </c>
      <c r="AI20" s="232">
        <f t="shared" si="31"/>
        <v>178303.32519999999</v>
      </c>
      <c r="AJ20" s="232">
        <f t="shared" si="31"/>
        <v>0</v>
      </c>
      <c r="AK20" s="232">
        <f t="shared" si="31"/>
        <v>170841.96399999998</v>
      </c>
      <c r="AL20" s="232">
        <f t="shared" si="31"/>
        <v>0</v>
      </c>
      <c r="AM20" s="232">
        <f t="shared" si="31"/>
        <v>167986.90980000002</v>
      </c>
      <c r="AN20" s="414">
        <f t="shared" si="5"/>
        <v>726565.07579999999</v>
      </c>
      <c r="AO20" s="415">
        <f t="shared" si="6"/>
        <v>726565.07579999999</v>
      </c>
      <c r="AP20" s="300">
        <v>2</v>
      </c>
      <c r="AQ20" s="232">
        <f t="shared" ref="AQ20:AX20" si="32">SUM(AQ17:AQ19)</f>
        <v>0</v>
      </c>
      <c r="AR20" s="232">
        <f t="shared" si="32"/>
        <v>0</v>
      </c>
      <c r="AS20" s="232">
        <f t="shared" si="32"/>
        <v>0</v>
      </c>
      <c r="AT20" s="232">
        <f t="shared" si="32"/>
        <v>0</v>
      </c>
      <c r="AU20" s="232">
        <f t="shared" si="32"/>
        <v>0</v>
      </c>
      <c r="AV20" s="232">
        <f t="shared" si="32"/>
        <v>0</v>
      </c>
      <c r="AW20" s="232">
        <f t="shared" si="32"/>
        <v>0</v>
      </c>
      <c r="AX20" s="232">
        <f t="shared" si="32"/>
        <v>0</v>
      </c>
      <c r="AY20" s="412">
        <f t="shared" si="7"/>
        <v>0</v>
      </c>
      <c r="AZ20" s="418">
        <f t="shared" ref="AZ20:BG20" si="33">SUM(AZ17:AZ19)</f>
        <v>0</v>
      </c>
      <c r="BA20" s="232">
        <f t="shared" si="33"/>
        <v>3284074.4473999999</v>
      </c>
      <c r="BB20" s="232">
        <f t="shared" si="33"/>
        <v>0</v>
      </c>
      <c r="BC20" s="232">
        <f t="shared" si="33"/>
        <v>3075619.1758000003</v>
      </c>
      <c r="BD20" s="232">
        <f t="shared" si="33"/>
        <v>0</v>
      </c>
      <c r="BE20" s="232">
        <f t="shared" si="33"/>
        <v>3437888.1878000004</v>
      </c>
      <c r="BF20" s="232">
        <f t="shared" si="33"/>
        <v>0</v>
      </c>
      <c r="BG20" s="232">
        <f t="shared" si="33"/>
        <v>3606472.7026000004</v>
      </c>
      <c r="BH20" s="414">
        <f t="shared" si="8"/>
        <v>13404054.513600001</v>
      </c>
      <c r="BI20" s="415">
        <f t="shared" si="9"/>
        <v>13404054.513600001</v>
      </c>
      <c r="BJ20" s="300">
        <v>2</v>
      </c>
      <c r="BK20" s="232">
        <f t="shared" ref="BK20:BR20" si="34">SUM(BK17:BK19)</f>
        <v>0</v>
      </c>
      <c r="BL20" s="232">
        <f t="shared" si="34"/>
        <v>0</v>
      </c>
      <c r="BM20" s="232">
        <f t="shared" si="34"/>
        <v>0</v>
      </c>
      <c r="BN20" s="232">
        <f t="shared" si="34"/>
        <v>0</v>
      </c>
      <c r="BO20" s="232">
        <f t="shared" si="34"/>
        <v>0</v>
      </c>
      <c r="BP20" s="232">
        <f t="shared" si="34"/>
        <v>0</v>
      </c>
      <c r="BQ20" s="232">
        <f t="shared" si="34"/>
        <v>0</v>
      </c>
      <c r="BR20" s="232">
        <f t="shared" si="34"/>
        <v>0</v>
      </c>
      <c r="BS20" s="412">
        <f t="shared" si="10"/>
        <v>0</v>
      </c>
      <c r="BT20" s="418">
        <f t="shared" ref="BT20:CA20" si="35">SUM(BT17:BT19)</f>
        <v>0</v>
      </c>
      <c r="BU20" s="232">
        <f t="shared" si="35"/>
        <v>210657.05920000002</v>
      </c>
      <c r="BV20" s="232">
        <f t="shared" si="35"/>
        <v>0</v>
      </c>
      <c r="BW20" s="232">
        <f t="shared" si="35"/>
        <v>189844.58799999999</v>
      </c>
      <c r="BX20" s="232">
        <f t="shared" si="35"/>
        <v>0</v>
      </c>
      <c r="BY20" s="232">
        <f t="shared" si="35"/>
        <v>174267.8088</v>
      </c>
      <c r="BZ20" s="232">
        <f t="shared" si="35"/>
        <v>0</v>
      </c>
      <c r="CA20" s="232">
        <f t="shared" si="35"/>
        <v>150650.9198</v>
      </c>
      <c r="CB20" s="414">
        <f t="shared" si="11"/>
        <v>725420.37580000004</v>
      </c>
      <c r="CC20" s="415">
        <f t="shared" si="12"/>
        <v>725420.37580000004</v>
      </c>
      <c r="CD20" s="300">
        <v>2</v>
      </c>
      <c r="CE20" s="414">
        <f t="shared" si="14"/>
        <v>0</v>
      </c>
      <c r="CF20" s="414">
        <f t="shared" si="15"/>
        <v>0</v>
      </c>
      <c r="CG20" s="414">
        <f t="shared" si="16"/>
        <v>0</v>
      </c>
      <c r="CH20" s="414">
        <f t="shared" si="17"/>
        <v>0</v>
      </c>
      <c r="CI20" s="416">
        <f t="shared" si="18"/>
        <v>0</v>
      </c>
      <c r="CJ20" s="414">
        <f t="shared" si="19"/>
        <v>4228104.4726</v>
      </c>
      <c r="CK20" s="414">
        <f t="shared" si="20"/>
        <v>3982011.8026000005</v>
      </c>
      <c r="CL20" s="414">
        <f t="shared" si="21"/>
        <v>4360764.1048000008</v>
      </c>
      <c r="CM20" s="414">
        <f t="shared" si="22"/>
        <v>4547211.4248000011</v>
      </c>
      <c r="CN20" s="416">
        <f t="shared" si="23"/>
        <v>17118091.8048</v>
      </c>
      <c r="CO20" s="414">
        <f t="shared" si="24"/>
        <v>4228104.4726</v>
      </c>
      <c r="CP20" s="414">
        <f t="shared" si="25"/>
        <v>3982011.8026000005</v>
      </c>
      <c r="CQ20" s="414">
        <f t="shared" si="26"/>
        <v>4360764.1048000008</v>
      </c>
      <c r="CR20" s="414">
        <f t="shared" si="27"/>
        <v>4547211.4248000011</v>
      </c>
      <c r="CS20" s="416">
        <f t="shared" si="13"/>
        <v>17118091.804800004</v>
      </c>
      <c r="CT20" s="319"/>
      <c r="CU20" s="319"/>
      <c r="CV20" s="319"/>
      <c r="CW20" s="319"/>
      <c r="CX20" s="319"/>
    </row>
    <row r="21" spans="1:131" ht="15.75" customHeight="1">
      <c r="A21" s="88" t="s">
        <v>175</v>
      </c>
      <c r="B21" s="300">
        <v>3</v>
      </c>
      <c r="C21" s="231"/>
      <c r="D21" s="231"/>
      <c r="E21" s="231"/>
      <c r="F21" s="231"/>
      <c r="G21" s="231"/>
      <c r="H21" s="231"/>
      <c r="I21" s="231"/>
      <c r="J21" s="231"/>
      <c r="K21" s="412">
        <f t="shared" si="1"/>
        <v>0</v>
      </c>
      <c r="L21" s="417"/>
      <c r="M21" s="231"/>
      <c r="N21" s="231"/>
      <c r="O21" s="231"/>
      <c r="P21" s="231"/>
      <c r="Q21" s="231"/>
      <c r="R21" s="231"/>
      <c r="S21" s="231"/>
      <c r="T21" s="414">
        <f t="shared" si="2"/>
        <v>0</v>
      </c>
      <c r="U21" s="415">
        <f t="shared" si="3"/>
        <v>0</v>
      </c>
      <c r="V21" s="300">
        <v>3</v>
      </c>
      <c r="W21" s="231"/>
      <c r="X21" s="231"/>
      <c r="Y21" s="231"/>
      <c r="Z21" s="231"/>
      <c r="AA21" s="231"/>
      <c r="AB21" s="231"/>
      <c r="AC21" s="231"/>
      <c r="AD21" s="231"/>
      <c r="AE21" s="412">
        <f t="shared" si="4"/>
        <v>0</v>
      </c>
      <c r="AF21" s="417"/>
      <c r="AG21" s="231"/>
      <c r="AH21" s="231"/>
      <c r="AI21" s="231"/>
      <c r="AJ21" s="231"/>
      <c r="AK21" s="231"/>
      <c r="AL21" s="231"/>
      <c r="AM21" s="231"/>
      <c r="AN21" s="414">
        <f t="shared" si="5"/>
        <v>0</v>
      </c>
      <c r="AO21" s="415">
        <f t="shared" si="6"/>
        <v>0</v>
      </c>
      <c r="AP21" s="300">
        <v>3</v>
      </c>
      <c r="AQ21" s="231"/>
      <c r="AR21" s="231"/>
      <c r="AS21" s="231"/>
      <c r="AT21" s="231"/>
      <c r="AU21" s="231"/>
      <c r="AV21" s="231"/>
      <c r="AW21" s="231"/>
      <c r="AX21" s="231"/>
      <c r="AY21" s="412">
        <f t="shared" si="7"/>
        <v>0</v>
      </c>
      <c r="AZ21" s="417"/>
      <c r="BA21" s="231"/>
      <c r="BB21" s="231"/>
      <c r="BC21" s="231"/>
      <c r="BD21" s="231"/>
      <c r="BE21" s="231"/>
      <c r="BF21" s="231"/>
      <c r="BG21" s="231"/>
      <c r="BH21" s="414">
        <f t="shared" si="8"/>
        <v>0</v>
      </c>
      <c r="BI21" s="415">
        <f t="shared" si="9"/>
        <v>0</v>
      </c>
      <c r="BJ21" s="300">
        <v>3</v>
      </c>
      <c r="BK21" s="231"/>
      <c r="BL21" s="231"/>
      <c r="BM21" s="231"/>
      <c r="BN21" s="231"/>
      <c r="BO21" s="231"/>
      <c r="BP21" s="231"/>
      <c r="BQ21" s="231"/>
      <c r="BR21" s="231"/>
      <c r="BS21" s="412">
        <f t="shared" si="10"/>
        <v>0</v>
      </c>
      <c r="BT21" s="417"/>
      <c r="BU21" s="231"/>
      <c r="BV21" s="231"/>
      <c r="BW21" s="231"/>
      <c r="BX21" s="231"/>
      <c r="BY21" s="231"/>
      <c r="BZ21" s="231"/>
      <c r="CA21" s="231"/>
      <c r="CB21" s="414">
        <f t="shared" si="11"/>
        <v>0</v>
      </c>
      <c r="CC21" s="415">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13"/>
        <v>0</v>
      </c>
      <c r="CT21" s="319"/>
      <c r="CV21" s="319"/>
      <c r="CX21" s="319"/>
    </row>
    <row r="22" spans="1:131" ht="15.75" customHeight="1">
      <c r="A22" s="88" t="s">
        <v>177</v>
      </c>
      <c r="B22" s="300">
        <v>4</v>
      </c>
      <c r="C22" s="231">
        <v>0</v>
      </c>
      <c r="D22" s="231">
        <v>0</v>
      </c>
      <c r="E22" s="231">
        <v>0</v>
      </c>
      <c r="F22" s="231">
        <v>0</v>
      </c>
      <c r="G22" s="231">
        <v>0</v>
      </c>
      <c r="H22" s="231">
        <v>0</v>
      </c>
      <c r="I22" s="231">
        <v>0</v>
      </c>
      <c r="J22" s="231">
        <v>0</v>
      </c>
      <c r="K22" s="412">
        <f t="shared" si="1"/>
        <v>0</v>
      </c>
      <c r="L22" s="417">
        <v>0</v>
      </c>
      <c r="M22" s="231">
        <v>6006.6466527893072</v>
      </c>
      <c r="N22" s="231">
        <v>0</v>
      </c>
      <c r="O22" s="231">
        <v>6115.5778568235573</v>
      </c>
      <c r="P22" s="231">
        <v>0</v>
      </c>
      <c r="Q22" s="231">
        <v>6771.1919421109387</v>
      </c>
      <c r="R22" s="231">
        <v>0</v>
      </c>
      <c r="S22" s="231">
        <v>6679.2474745983609</v>
      </c>
      <c r="T22" s="414">
        <f t="shared" si="2"/>
        <v>25572.663926322162</v>
      </c>
      <c r="U22" s="415">
        <f t="shared" si="3"/>
        <v>25572.663926322162</v>
      </c>
      <c r="V22" s="300">
        <v>4</v>
      </c>
      <c r="W22" s="231">
        <v>0</v>
      </c>
      <c r="X22" s="231">
        <v>0</v>
      </c>
      <c r="Y22" s="231">
        <v>0</v>
      </c>
      <c r="Z22" s="231">
        <v>0</v>
      </c>
      <c r="AA22" s="231">
        <v>0</v>
      </c>
      <c r="AB22" s="231">
        <v>0</v>
      </c>
      <c r="AC22" s="231">
        <v>0</v>
      </c>
      <c r="AD22" s="231">
        <v>0</v>
      </c>
      <c r="AE22" s="412">
        <f t="shared" si="4"/>
        <v>0</v>
      </c>
      <c r="AF22" s="417">
        <v>0</v>
      </c>
      <c r="AG22" s="231">
        <v>4173.0836474461466</v>
      </c>
      <c r="AH22" s="231">
        <v>0</v>
      </c>
      <c r="AI22" s="231">
        <v>3344.8815982870401</v>
      </c>
      <c r="AJ22" s="231">
        <v>0</v>
      </c>
      <c r="AK22" s="231">
        <v>2816.0463966377984</v>
      </c>
      <c r="AL22" s="231">
        <v>0</v>
      </c>
      <c r="AM22" s="231">
        <v>2981.1394915268561</v>
      </c>
      <c r="AN22" s="414">
        <f t="shared" si="5"/>
        <v>13315.15113389784</v>
      </c>
      <c r="AO22" s="415">
        <f t="shared" si="6"/>
        <v>13315.15113389784</v>
      </c>
      <c r="AP22" s="300">
        <v>4</v>
      </c>
      <c r="AQ22" s="231">
        <v>0</v>
      </c>
      <c r="AR22" s="231">
        <v>0</v>
      </c>
      <c r="AS22" s="231">
        <v>0</v>
      </c>
      <c r="AT22" s="231">
        <v>0</v>
      </c>
      <c r="AU22" s="231">
        <v>0</v>
      </c>
      <c r="AV22" s="231">
        <v>0</v>
      </c>
      <c r="AW22" s="231">
        <v>0</v>
      </c>
      <c r="AX22" s="231">
        <v>0</v>
      </c>
      <c r="AY22" s="412">
        <f t="shared" si="7"/>
        <v>0</v>
      </c>
      <c r="AZ22" s="417">
        <v>0</v>
      </c>
      <c r="BA22" s="231">
        <v>54025.831460925685</v>
      </c>
      <c r="BB22" s="231">
        <v>0</v>
      </c>
      <c r="BC22" s="231">
        <v>51051.853855078967</v>
      </c>
      <c r="BD22" s="231">
        <v>0</v>
      </c>
      <c r="BE22" s="231">
        <v>56261.973805660367</v>
      </c>
      <c r="BF22" s="231">
        <v>0</v>
      </c>
      <c r="BG22" s="231">
        <v>59001.126950894737</v>
      </c>
      <c r="BH22" s="414">
        <f t="shared" si="8"/>
        <v>220340.78607255974</v>
      </c>
      <c r="BI22" s="415">
        <f t="shared" si="9"/>
        <v>220340.78607255974</v>
      </c>
      <c r="BJ22" s="300">
        <v>4</v>
      </c>
      <c r="BK22" s="231">
        <v>0</v>
      </c>
      <c r="BL22" s="231">
        <v>0</v>
      </c>
      <c r="BM22" s="231">
        <v>0</v>
      </c>
      <c r="BN22" s="231">
        <v>0</v>
      </c>
      <c r="BO22" s="231">
        <v>0</v>
      </c>
      <c r="BP22" s="231">
        <v>0</v>
      </c>
      <c r="BQ22" s="231">
        <v>0</v>
      </c>
      <c r="BR22" s="231">
        <v>0</v>
      </c>
      <c r="BS22" s="412">
        <f t="shared" si="10"/>
        <v>0</v>
      </c>
      <c r="BT22" s="417">
        <v>0</v>
      </c>
      <c r="BU22" s="231">
        <v>3556.4088621458836</v>
      </c>
      <c r="BV22" s="231">
        <v>0</v>
      </c>
      <c r="BW22" s="231">
        <v>2340.2454751983382</v>
      </c>
      <c r="BX22" s="231">
        <v>0</v>
      </c>
      <c r="BY22" s="231">
        <v>2268.0559608434237</v>
      </c>
      <c r="BZ22" s="231">
        <v>0</v>
      </c>
      <c r="CA22" s="231">
        <v>1839.5763250467994</v>
      </c>
      <c r="CB22" s="414">
        <f t="shared" si="11"/>
        <v>10004.286623234444</v>
      </c>
      <c r="CC22" s="415">
        <f t="shared" si="12"/>
        <v>10004.286623234444</v>
      </c>
      <c r="CD22" s="300">
        <v>4</v>
      </c>
      <c r="CE22" s="414">
        <f t="shared" si="14"/>
        <v>0</v>
      </c>
      <c r="CF22" s="414">
        <f t="shared" si="15"/>
        <v>0</v>
      </c>
      <c r="CG22" s="414">
        <f t="shared" si="16"/>
        <v>0</v>
      </c>
      <c r="CH22" s="414">
        <f t="shared" si="17"/>
        <v>0</v>
      </c>
      <c r="CI22" s="416">
        <f t="shared" si="18"/>
        <v>0</v>
      </c>
      <c r="CJ22" s="414">
        <f t="shared" si="19"/>
        <v>67761.970623307017</v>
      </c>
      <c r="CK22" s="414">
        <f t="shared" si="20"/>
        <v>62852.558785387904</v>
      </c>
      <c r="CL22" s="414">
        <f t="shared" si="21"/>
        <v>68117.268105252529</v>
      </c>
      <c r="CM22" s="414">
        <f t="shared" si="22"/>
        <v>70501.090242066755</v>
      </c>
      <c r="CN22" s="416">
        <f t="shared" si="23"/>
        <v>269232.88775601418</v>
      </c>
      <c r="CO22" s="414">
        <f t="shared" si="24"/>
        <v>67761.970623307017</v>
      </c>
      <c r="CP22" s="414">
        <f t="shared" si="25"/>
        <v>62852.558785387904</v>
      </c>
      <c r="CQ22" s="414">
        <f t="shared" si="26"/>
        <v>68117.268105252529</v>
      </c>
      <c r="CR22" s="414">
        <f t="shared" si="27"/>
        <v>70501.090242066755</v>
      </c>
      <c r="CS22" s="416">
        <f t="shared" si="13"/>
        <v>269232.88775601418</v>
      </c>
      <c r="CT22" s="319"/>
      <c r="CV22" s="319"/>
      <c r="CX22" s="319"/>
    </row>
    <row r="23" spans="1:131" ht="15.75" customHeight="1">
      <c r="A23" s="135" t="s">
        <v>179</v>
      </c>
      <c r="B23" s="300">
        <v>5</v>
      </c>
      <c r="C23" s="137">
        <f t="shared" ref="C23:J23" si="36">C16+C20+C21+C22</f>
        <v>49112.26</v>
      </c>
      <c r="D23" s="137">
        <f t="shared" si="36"/>
        <v>170360.25</v>
      </c>
      <c r="E23" s="137">
        <f t="shared" si="36"/>
        <v>47307.05</v>
      </c>
      <c r="F23" s="137">
        <f t="shared" si="36"/>
        <v>184600.87</v>
      </c>
      <c r="G23" s="137">
        <f t="shared" si="36"/>
        <v>50462.61</v>
      </c>
      <c r="H23" s="137">
        <f t="shared" si="36"/>
        <v>209230.730000001</v>
      </c>
      <c r="I23" s="137">
        <f t="shared" si="36"/>
        <v>57403.8</v>
      </c>
      <c r="J23" s="137">
        <f t="shared" si="36"/>
        <v>221959.320000001</v>
      </c>
      <c r="K23" s="412">
        <f t="shared" si="1"/>
        <v>990436.89000000199</v>
      </c>
      <c r="L23" s="217">
        <f t="shared" ref="L23:S23" si="37">L16+L20+L21+L22</f>
        <v>0</v>
      </c>
      <c r="M23" s="137">
        <f t="shared" si="37"/>
        <v>529946.73585278925</v>
      </c>
      <c r="N23" s="137">
        <f t="shared" si="37"/>
        <v>0</v>
      </c>
      <c r="O23" s="137">
        <f t="shared" si="37"/>
        <v>544360.29145682359</v>
      </c>
      <c r="P23" s="137">
        <f t="shared" si="37"/>
        <v>0</v>
      </c>
      <c r="Q23" s="137">
        <f t="shared" si="37"/>
        <v>584537.3361421118</v>
      </c>
      <c r="R23" s="137">
        <f t="shared" si="37"/>
        <v>0</v>
      </c>
      <c r="S23" s="137">
        <f t="shared" si="37"/>
        <v>628780.14007459837</v>
      </c>
      <c r="T23" s="414">
        <f t="shared" si="2"/>
        <v>2287624.503526323</v>
      </c>
      <c r="U23" s="217">
        <f t="shared" si="3"/>
        <v>3278061.393526325</v>
      </c>
      <c r="V23" s="300">
        <v>5</v>
      </c>
      <c r="W23" s="137">
        <f t="shared" ref="W23:AD23" si="38">W16+W20+W21+W22</f>
        <v>12651.58</v>
      </c>
      <c r="X23" s="137">
        <f t="shared" si="38"/>
        <v>115584</v>
      </c>
      <c r="Y23" s="137">
        <f t="shared" si="38"/>
        <v>10090.74</v>
      </c>
      <c r="Z23" s="137">
        <f t="shared" si="38"/>
        <v>105264</v>
      </c>
      <c r="AA23" s="137">
        <f t="shared" si="38"/>
        <v>24080.22</v>
      </c>
      <c r="AB23" s="137">
        <f t="shared" si="38"/>
        <v>90816</v>
      </c>
      <c r="AC23" s="137">
        <f t="shared" si="38"/>
        <v>24080.22</v>
      </c>
      <c r="AD23" s="137">
        <f t="shared" si="38"/>
        <v>94944</v>
      </c>
      <c r="AE23" s="412">
        <f t="shared" si="4"/>
        <v>477510.76</v>
      </c>
      <c r="AF23" s="217">
        <f t="shared" ref="AF23:AM23" si="39">AF16+AF20+AF21+AF22</f>
        <v>0</v>
      </c>
      <c r="AG23" s="137">
        <f t="shared" si="39"/>
        <v>213605.96044744615</v>
      </c>
      <c r="AH23" s="137">
        <f t="shared" si="39"/>
        <v>0</v>
      </c>
      <c r="AI23" s="137">
        <f t="shared" si="39"/>
        <v>181648.20679828702</v>
      </c>
      <c r="AJ23" s="137">
        <f t="shared" si="39"/>
        <v>0</v>
      </c>
      <c r="AK23" s="137">
        <f t="shared" si="39"/>
        <v>173658.01039663778</v>
      </c>
      <c r="AL23" s="137">
        <f t="shared" si="39"/>
        <v>0</v>
      </c>
      <c r="AM23" s="137">
        <f t="shared" si="39"/>
        <v>170968.04929152687</v>
      </c>
      <c r="AN23" s="414">
        <f t="shared" si="5"/>
        <v>739880.22693389794</v>
      </c>
      <c r="AO23" s="217">
        <f t="shared" si="6"/>
        <v>1217390.9869338979</v>
      </c>
      <c r="AP23" s="300">
        <v>5</v>
      </c>
      <c r="AQ23" s="137">
        <f t="shared" ref="AQ23:AX23" si="40">AQ16+AQ20+AQ21+AQ22</f>
        <v>1454674.9</v>
      </c>
      <c r="AR23" s="137">
        <f t="shared" si="40"/>
        <v>3140181.3500000397</v>
      </c>
      <c r="AS23" s="137">
        <f t="shared" si="40"/>
        <v>1567363.14</v>
      </c>
      <c r="AT23" s="137">
        <f t="shared" si="40"/>
        <v>3350908.2500000498</v>
      </c>
      <c r="AU23" s="137">
        <f t="shared" si="40"/>
        <v>1666163.1199999999</v>
      </c>
      <c r="AV23" s="137">
        <f t="shared" si="40"/>
        <v>3738957.6899999203</v>
      </c>
      <c r="AW23" s="137">
        <f t="shared" si="40"/>
        <v>1820394.33</v>
      </c>
      <c r="AX23" s="137">
        <f t="shared" si="40"/>
        <v>4115056.9399999096</v>
      </c>
      <c r="AY23" s="412">
        <f t="shared" si="7"/>
        <v>20853699.719999917</v>
      </c>
      <c r="AZ23" s="217">
        <f t="shared" ref="AZ23:BG23" si="41">AZ16+AZ20+AZ21+AZ22</f>
        <v>0</v>
      </c>
      <c r="BA23" s="137">
        <f t="shared" si="41"/>
        <v>3338100.2788609257</v>
      </c>
      <c r="BB23" s="137">
        <f t="shared" si="41"/>
        <v>0</v>
      </c>
      <c r="BC23" s="137">
        <f t="shared" si="41"/>
        <v>3126671.0296550794</v>
      </c>
      <c r="BD23" s="137">
        <f t="shared" si="41"/>
        <v>0</v>
      </c>
      <c r="BE23" s="137">
        <f t="shared" si="41"/>
        <v>3494150.1616056608</v>
      </c>
      <c r="BF23" s="137">
        <f t="shared" si="41"/>
        <v>0</v>
      </c>
      <c r="BG23" s="137">
        <f t="shared" si="41"/>
        <v>3665473.8295508954</v>
      </c>
      <c r="BH23" s="414">
        <f t="shared" si="8"/>
        <v>13624395.299672563</v>
      </c>
      <c r="BI23" s="217">
        <f t="shared" si="9"/>
        <v>34478095.019672483</v>
      </c>
      <c r="BJ23" s="300">
        <v>5</v>
      </c>
      <c r="BK23" s="137">
        <f t="shared" ref="BK23:BR23" si="42">BK16+BK20+BK21+BK22</f>
        <v>59939.100000000006</v>
      </c>
      <c r="BL23" s="137">
        <f t="shared" si="42"/>
        <v>463809.47</v>
      </c>
      <c r="BM23" s="137">
        <f t="shared" si="42"/>
        <v>59939.100000000006</v>
      </c>
      <c r="BN23" s="137">
        <f t="shared" si="42"/>
        <v>353012.22000000003</v>
      </c>
      <c r="BO23" s="137">
        <f t="shared" si="42"/>
        <v>70784.61</v>
      </c>
      <c r="BP23" s="137">
        <f t="shared" si="42"/>
        <v>326391.92000000004</v>
      </c>
      <c r="BQ23" s="137">
        <f t="shared" si="42"/>
        <v>52772.21</v>
      </c>
      <c r="BR23" s="137">
        <f t="shared" si="42"/>
        <v>261704.88999999998</v>
      </c>
      <c r="BS23" s="412">
        <f t="shared" si="10"/>
        <v>1648353.5199999998</v>
      </c>
      <c r="BT23" s="217">
        <f t="shared" ref="BT23:CA23" si="43">BT16+BT20+BT21+BT22</f>
        <v>0</v>
      </c>
      <c r="BU23" s="137">
        <f t="shared" si="43"/>
        <v>214213.4680621459</v>
      </c>
      <c r="BV23" s="137">
        <f t="shared" si="43"/>
        <v>0</v>
      </c>
      <c r="BW23" s="137">
        <f t="shared" si="43"/>
        <v>192184.83347519833</v>
      </c>
      <c r="BX23" s="137">
        <f t="shared" si="43"/>
        <v>0</v>
      </c>
      <c r="BY23" s="137">
        <f t="shared" si="43"/>
        <v>176535.86476084343</v>
      </c>
      <c r="BZ23" s="137">
        <f t="shared" si="43"/>
        <v>0</v>
      </c>
      <c r="CA23" s="137">
        <f t="shared" si="43"/>
        <v>152490.4961250468</v>
      </c>
      <c r="CB23" s="414">
        <f t="shared" si="11"/>
        <v>735424.66242323443</v>
      </c>
      <c r="CC23" s="217">
        <f t="shared" si="12"/>
        <v>2383778.182423234</v>
      </c>
      <c r="CD23" s="300">
        <v>5</v>
      </c>
      <c r="CE23" s="414">
        <f t="shared" si="14"/>
        <v>5466312.9100000383</v>
      </c>
      <c r="CF23" s="414">
        <f t="shared" si="15"/>
        <v>5678485.3700000485</v>
      </c>
      <c r="CG23" s="414">
        <f t="shared" si="16"/>
        <v>6176886.8999999212</v>
      </c>
      <c r="CH23" s="414">
        <f t="shared" si="17"/>
        <v>6648315.7099999096</v>
      </c>
      <c r="CI23" s="416">
        <f t="shared" si="18"/>
        <v>23970000.889999919</v>
      </c>
      <c r="CJ23" s="414">
        <f t="shared" si="19"/>
        <v>4295866.4432233069</v>
      </c>
      <c r="CK23" s="414">
        <f t="shared" si="20"/>
        <v>4044864.3613853878</v>
      </c>
      <c r="CL23" s="414">
        <f t="shared" si="21"/>
        <v>4428881.3729052534</v>
      </c>
      <c r="CM23" s="414">
        <f t="shared" si="22"/>
        <v>4617712.5150420675</v>
      </c>
      <c r="CN23" s="416">
        <f t="shared" si="23"/>
        <v>17387324.692556016</v>
      </c>
      <c r="CO23" s="414">
        <f t="shared" si="24"/>
        <v>9762179.353223348</v>
      </c>
      <c r="CP23" s="414">
        <f t="shared" si="25"/>
        <v>9723349.7313854396</v>
      </c>
      <c r="CQ23" s="414">
        <f t="shared" si="26"/>
        <v>10605768.272905175</v>
      </c>
      <c r="CR23" s="414">
        <f t="shared" si="27"/>
        <v>11266028.22504198</v>
      </c>
      <c r="CS23" s="416">
        <f t="shared" si="13"/>
        <v>41357325.582555935</v>
      </c>
      <c r="CT23" s="319"/>
      <c r="CV23" s="319"/>
      <c r="CX23" s="319"/>
    </row>
    <row r="24" spans="1:131" ht="15.75" customHeight="1">
      <c r="A24" s="135" t="s">
        <v>1340</v>
      </c>
      <c r="B24" s="193"/>
      <c r="C24" s="178"/>
      <c r="D24" s="178"/>
      <c r="E24" s="178"/>
      <c r="F24" s="178"/>
      <c r="G24" s="178"/>
      <c r="H24" s="178"/>
      <c r="I24" s="178"/>
      <c r="J24" s="178"/>
      <c r="K24" s="381"/>
      <c r="L24" s="382"/>
      <c r="M24" s="178"/>
      <c r="N24" s="178"/>
      <c r="O24" s="178"/>
      <c r="P24" s="178"/>
      <c r="Q24" s="178"/>
      <c r="R24" s="178"/>
      <c r="S24" s="178"/>
      <c r="T24" s="178"/>
      <c r="U24" s="382"/>
      <c r="V24" s="193"/>
      <c r="W24" s="178"/>
      <c r="X24" s="178"/>
      <c r="Y24" s="178"/>
      <c r="Z24" s="178"/>
      <c r="AA24" s="178"/>
      <c r="AB24" s="178"/>
      <c r="AC24" s="178"/>
      <c r="AD24" s="178"/>
      <c r="AE24" s="381"/>
      <c r="AF24" s="382"/>
      <c r="AG24" s="178"/>
      <c r="AH24" s="178"/>
      <c r="AI24" s="178"/>
      <c r="AJ24" s="178"/>
      <c r="AK24" s="178"/>
      <c r="AL24" s="178"/>
      <c r="AM24" s="178"/>
      <c r="AN24" s="178"/>
      <c r="AO24" s="382"/>
      <c r="AP24" s="193"/>
      <c r="AQ24" s="178"/>
      <c r="AR24" s="178"/>
      <c r="AS24" s="178"/>
      <c r="AT24" s="178"/>
      <c r="AU24" s="178"/>
      <c r="AV24" s="178"/>
      <c r="AW24" s="178"/>
      <c r="AX24" s="178"/>
      <c r="AY24" s="381"/>
      <c r="AZ24" s="382"/>
      <c r="BA24" s="178"/>
      <c r="BB24" s="178"/>
      <c r="BC24" s="178"/>
      <c r="BD24" s="178"/>
      <c r="BE24" s="178"/>
      <c r="BF24" s="178"/>
      <c r="BG24" s="178"/>
      <c r="BH24" s="178"/>
      <c r="BI24" s="382"/>
      <c r="BJ24" s="193"/>
      <c r="BK24" s="178"/>
      <c r="BL24" s="178"/>
      <c r="BM24" s="178"/>
      <c r="BN24" s="178"/>
      <c r="BO24" s="178"/>
      <c r="BP24" s="178"/>
      <c r="BQ24" s="178"/>
      <c r="BR24" s="178"/>
      <c r="BS24" s="381"/>
      <c r="BT24" s="382"/>
      <c r="BU24" s="178"/>
      <c r="BV24" s="178"/>
      <c r="BW24" s="178"/>
      <c r="BX24" s="178"/>
      <c r="BY24" s="178"/>
      <c r="BZ24" s="178"/>
      <c r="CA24" s="178"/>
      <c r="CB24" s="178"/>
      <c r="CC24" s="382"/>
      <c r="CD24" s="193"/>
      <c r="CE24" s="178"/>
      <c r="CF24" s="178"/>
      <c r="CG24" s="178"/>
      <c r="CH24" s="178"/>
      <c r="CI24" s="419"/>
      <c r="CJ24" s="178"/>
      <c r="CK24" s="178"/>
      <c r="CL24" s="178"/>
      <c r="CM24" s="178"/>
      <c r="CN24" s="419"/>
      <c r="CO24" s="178"/>
      <c r="CP24" s="178"/>
      <c r="CQ24" s="178"/>
      <c r="CR24" s="178"/>
      <c r="CS24" s="419"/>
    </row>
    <row r="25" spans="1:131" ht="15.75" customHeight="1">
      <c r="A25" s="88" t="s">
        <v>181</v>
      </c>
      <c r="B25" s="300">
        <v>6</v>
      </c>
      <c r="C25" s="231"/>
      <c r="D25" s="231"/>
      <c r="E25" s="231"/>
      <c r="F25" s="231"/>
      <c r="G25" s="231"/>
      <c r="H25" s="231"/>
      <c r="I25" s="231"/>
      <c r="J25" s="231"/>
      <c r="K25" s="412">
        <f t="shared" ref="K25:K30" si="44">SUM(C25:J25)</f>
        <v>0</v>
      </c>
      <c r="L25" s="417"/>
      <c r="M25" s="231"/>
      <c r="N25" s="231"/>
      <c r="O25" s="231"/>
      <c r="P25" s="231"/>
      <c r="Q25" s="231"/>
      <c r="R25" s="231"/>
      <c r="S25" s="231"/>
      <c r="T25" s="414">
        <f t="shared" ref="T25:T30" si="45">SUM(L25:S25)</f>
        <v>0</v>
      </c>
      <c r="U25" s="415">
        <f t="shared" ref="U25:U30" si="46">SUM(K25,T25)</f>
        <v>0</v>
      </c>
      <c r="V25" s="300">
        <v>6</v>
      </c>
      <c r="W25" s="231"/>
      <c r="X25" s="231"/>
      <c r="Y25" s="231"/>
      <c r="Z25" s="231"/>
      <c r="AA25" s="231"/>
      <c r="AB25" s="231"/>
      <c r="AC25" s="231"/>
      <c r="AD25" s="231"/>
      <c r="AE25" s="412">
        <f t="shared" ref="AE25:AE30" si="47">SUM(W25:AD25)</f>
        <v>0</v>
      </c>
      <c r="AF25" s="417"/>
      <c r="AG25" s="231"/>
      <c r="AH25" s="231"/>
      <c r="AI25" s="231"/>
      <c r="AJ25" s="231"/>
      <c r="AK25" s="231"/>
      <c r="AL25" s="231"/>
      <c r="AM25" s="231"/>
      <c r="AN25" s="414">
        <f t="shared" ref="AN25:AN30" si="48">SUM(AF25:AM25)</f>
        <v>0</v>
      </c>
      <c r="AO25" s="415">
        <f t="shared" ref="AO25:AO30" si="49">SUM(AE25,AN25)</f>
        <v>0</v>
      </c>
      <c r="AP25" s="300">
        <v>6</v>
      </c>
      <c r="AQ25" s="231"/>
      <c r="AR25" s="231"/>
      <c r="AS25" s="231"/>
      <c r="AT25" s="231"/>
      <c r="AU25" s="231"/>
      <c r="AV25" s="231"/>
      <c r="AW25" s="231"/>
      <c r="AX25" s="231"/>
      <c r="AY25" s="412">
        <f t="shared" ref="AY25:AY30" si="50">SUM(AQ25:AX25)</f>
        <v>0</v>
      </c>
      <c r="AZ25" s="417"/>
      <c r="BA25" s="231"/>
      <c r="BB25" s="231"/>
      <c r="BC25" s="231"/>
      <c r="BD25" s="231"/>
      <c r="BE25" s="231"/>
      <c r="BF25" s="231"/>
      <c r="BG25" s="231"/>
      <c r="BH25" s="414">
        <f t="shared" ref="BH25:BH30" si="51">SUM(AZ25:BG25)</f>
        <v>0</v>
      </c>
      <c r="BI25" s="415">
        <f t="shared" ref="BI25:BI30" si="52">SUM(AY25,BH25)</f>
        <v>0</v>
      </c>
      <c r="BJ25" s="300">
        <v>6</v>
      </c>
      <c r="BK25" s="231">
        <v>4605.9403638361646</v>
      </c>
      <c r="BL25" s="231">
        <v>35640.821417112675</v>
      </c>
      <c r="BM25" s="231">
        <v>4784.4677310011548</v>
      </c>
      <c r="BN25" s="231">
        <v>28178.193787345492</v>
      </c>
      <c r="BO25" s="231">
        <v>5047.8830887348449</v>
      </c>
      <c r="BP25" s="231">
        <v>26631.816604265558</v>
      </c>
      <c r="BQ25" s="231">
        <v>13019.623957850627</v>
      </c>
      <c r="BR25" s="231">
        <v>85269.029458166595</v>
      </c>
      <c r="BS25" s="412">
        <f t="shared" ref="BS25:BS30" si="53">SUM(BK25:BR25)</f>
        <v>203177.7764083131</v>
      </c>
      <c r="BT25" s="417"/>
      <c r="BU25" s="231"/>
      <c r="BV25" s="231"/>
      <c r="BW25" s="231"/>
      <c r="BX25" s="231"/>
      <c r="BY25" s="231"/>
      <c r="BZ25" s="231"/>
      <c r="CA25" s="231"/>
      <c r="CB25" s="414">
        <f t="shared" ref="CB25:CB30" si="54">SUM(BT25:CA25)</f>
        <v>0</v>
      </c>
      <c r="CC25" s="415">
        <f t="shared" ref="CC25:CC30" si="55">SUM(BS25,CB25)</f>
        <v>203177.7764083131</v>
      </c>
      <c r="CD25" s="300">
        <v>6</v>
      </c>
      <c r="CE25" s="414">
        <f t="shared" ref="CE25:CE30" si="56">+C25+D25+W25+X25+AQ25+AR25+BK25+BL25</f>
        <v>40246.761780948837</v>
      </c>
      <c r="CF25" s="414">
        <f t="shared" ref="CF25:CF30" si="57">+E25+F25+Y25+Z25+AS25+AT25+BM25+BN25</f>
        <v>32962.661518346649</v>
      </c>
      <c r="CG25" s="414">
        <f t="shared" ref="CG25:CG30" si="58">+G25+H25+AA25+AB25+AU25+AV25+BO25+BP25</f>
        <v>31679.699693000402</v>
      </c>
      <c r="CH25" s="414">
        <f t="shared" ref="CH25:CH30" si="59">+I25+J25+AC25+AD25+AW25+AX25+BQ25+BR25</f>
        <v>98288.653416017216</v>
      </c>
      <c r="CI25" s="416">
        <f t="shared" ref="CI25:CI30" si="60">SUM(K25,AE25,AY25,BS25)</f>
        <v>203177.7764083131</v>
      </c>
      <c r="CJ25" s="414">
        <f t="shared" ref="CJ25:CJ30" si="61">L25+M25+AF25+AG25+AZ25+BA25+BT25+BU25</f>
        <v>0</v>
      </c>
      <c r="CK25" s="414">
        <f t="shared" ref="CK25:CK30" si="62">N25+O25+AH25+AI25+BB25+BC25+BV25+BW25</f>
        <v>0</v>
      </c>
      <c r="CL25" s="414">
        <f t="shared" ref="CL25:CL30" si="63">P25+Q25+AJ25+AK25+BD25+BE25+BX25+BY25</f>
        <v>0</v>
      </c>
      <c r="CM25" s="414">
        <f t="shared" ref="CM25:CM30" si="64">+R25+S25+AL25+AM25+BF25+BG25+BZ25+CA25</f>
        <v>0</v>
      </c>
      <c r="CN25" s="416">
        <f t="shared" ref="CN25:CN30" si="65">SUM(T25,AN25,BH25,CB25)</f>
        <v>0</v>
      </c>
      <c r="CO25" s="414">
        <f t="shared" ref="CO25:CO30" si="66">+C25+D25+L25+M25+W25+X25+AF25+AG25+AQ25+AR25+AZ25+BA25+BK25+BL25+BT25+BU25</f>
        <v>40246.761780948837</v>
      </c>
      <c r="CP25" s="414">
        <f t="shared" ref="CP25:CP30" si="67">+E25+F25+N25+O25+Y25+Z25+AH25+AI25+AS25+AT25+BB25+BC25+BM25+BN25+BV25+BW25</f>
        <v>32962.661518346649</v>
      </c>
      <c r="CQ25" s="414">
        <f t="shared" ref="CQ25:CQ30" si="68">+G25+H25+P25+Q25+AA25+AB25+AJ25+AK25+AU25+AV25+BD25+BE25+BO25+BP25+BX25+BY25</f>
        <v>31679.699693000402</v>
      </c>
      <c r="CR25" s="414">
        <f t="shared" ref="CR25:CR30" si="69">+I25+J25+R25+S25+AC25+AD25+AL25+AM25+AW25+AX25+BF25+BG25+BQ25+BR25+BZ25+CA25</f>
        <v>98288.653416017216</v>
      </c>
      <c r="CS25" s="416">
        <f t="shared" ref="CS25:CS30" si="70">SUM(CC25,BI25,AO25,U25)</f>
        <v>203177.7764083131</v>
      </c>
      <c r="CT25" s="319"/>
      <c r="CU25" s="319"/>
      <c r="CV25" s="319"/>
      <c r="CW25" s="319"/>
      <c r="CX25" s="319"/>
    </row>
    <row r="26" spans="1:131" ht="15.75" customHeight="1">
      <c r="A26" s="88" t="s">
        <v>183</v>
      </c>
      <c r="B26" s="300">
        <v>7</v>
      </c>
      <c r="C26" s="231"/>
      <c r="D26" s="231"/>
      <c r="E26" s="231"/>
      <c r="F26" s="231"/>
      <c r="G26" s="231"/>
      <c r="H26" s="231"/>
      <c r="I26" s="231"/>
      <c r="J26" s="231"/>
      <c r="K26" s="412">
        <f t="shared" si="44"/>
        <v>0</v>
      </c>
      <c r="L26" s="417"/>
      <c r="M26" s="231"/>
      <c r="N26" s="231"/>
      <c r="O26" s="231"/>
      <c r="P26" s="231"/>
      <c r="Q26" s="231"/>
      <c r="R26" s="231"/>
      <c r="S26" s="231"/>
      <c r="T26" s="414">
        <f t="shared" si="45"/>
        <v>0</v>
      </c>
      <c r="U26" s="415">
        <f t="shared" si="46"/>
        <v>0</v>
      </c>
      <c r="V26" s="300">
        <v>7</v>
      </c>
      <c r="W26" s="231"/>
      <c r="X26" s="231"/>
      <c r="Y26" s="231"/>
      <c r="Z26" s="231"/>
      <c r="AA26" s="231"/>
      <c r="AB26" s="231"/>
      <c r="AC26" s="231"/>
      <c r="AD26" s="231"/>
      <c r="AE26" s="412">
        <f t="shared" si="47"/>
        <v>0</v>
      </c>
      <c r="AF26" s="417"/>
      <c r="AG26" s="231"/>
      <c r="AH26" s="231"/>
      <c r="AI26" s="231"/>
      <c r="AJ26" s="231"/>
      <c r="AK26" s="231"/>
      <c r="AL26" s="231"/>
      <c r="AM26" s="231"/>
      <c r="AN26" s="414">
        <f t="shared" si="48"/>
        <v>0</v>
      </c>
      <c r="AO26" s="415">
        <f t="shared" si="49"/>
        <v>0</v>
      </c>
      <c r="AP26" s="300">
        <v>7</v>
      </c>
      <c r="AQ26" s="231"/>
      <c r="AR26" s="231"/>
      <c r="AS26" s="231"/>
      <c r="AT26" s="231"/>
      <c r="AU26" s="231"/>
      <c r="AV26" s="231"/>
      <c r="AW26" s="231"/>
      <c r="AX26" s="231"/>
      <c r="AY26" s="412">
        <f t="shared" si="50"/>
        <v>0</v>
      </c>
      <c r="AZ26" s="417"/>
      <c r="BA26" s="231"/>
      <c r="BB26" s="231"/>
      <c r="BC26" s="231"/>
      <c r="BD26" s="231"/>
      <c r="BE26" s="231"/>
      <c r="BF26" s="231"/>
      <c r="BG26" s="231"/>
      <c r="BH26" s="414">
        <f t="shared" si="51"/>
        <v>0</v>
      </c>
      <c r="BI26" s="415">
        <f t="shared" si="52"/>
        <v>0</v>
      </c>
      <c r="BJ26" s="300">
        <v>7</v>
      </c>
      <c r="BK26" s="231"/>
      <c r="BL26" s="231"/>
      <c r="BM26" s="231"/>
      <c r="BN26" s="231"/>
      <c r="BO26" s="231"/>
      <c r="BP26" s="231"/>
      <c r="BQ26" s="231"/>
      <c r="BR26" s="231"/>
      <c r="BS26" s="412">
        <f t="shared" si="53"/>
        <v>0</v>
      </c>
      <c r="BT26" s="417"/>
      <c r="BU26" s="231"/>
      <c r="BV26" s="231"/>
      <c r="BW26" s="231"/>
      <c r="BX26" s="231"/>
      <c r="BY26" s="231"/>
      <c r="BZ26" s="231"/>
      <c r="CA26" s="231"/>
      <c r="CB26" s="414">
        <f t="shared" si="54"/>
        <v>0</v>
      </c>
      <c r="CC26" s="415">
        <f t="shared" si="55"/>
        <v>0</v>
      </c>
      <c r="CD26" s="300">
        <v>7</v>
      </c>
      <c r="CE26" s="414">
        <f t="shared" si="56"/>
        <v>0</v>
      </c>
      <c r="CF26" s="414">
        <f t="shared" si="57"/>
        <v>0</v>
      </c>
      <c r="CG26" s="414">
        <f t="shared" si="58"/>
        <v>0</v>
      </c>
      <c r="CH26" s="414">
        <f t="shared" si="59"/>
        <v>0</v>
      </c>
      <c r="CI26" s="416">
        <f t="shared" si="60"/>
        <v>0</v>
      </c>
      <c r="CJ26" s="414">
        <f t="shared" si="61"/>
        <v>0</v>
      </c>
      <c r="CK26" s="414">
        <f t="shared" si="62"/>
        <v>0</v>
      </c>
      <c r="CL26" s="414">
        <f t="shared" si="63"/>
        <v>0</v>
      </c>
      <c r="CM26" s="414">
        <f t="shared" si="64"/>
        <v>0</v>
      </c>
      <c r="CN26" s="416">
        <f t="shared" si="65"/>
        <v>0</v>
      </c>
      <c r="CO26" s="414">
        <f t="shared" si="66"/>
        <v>0</v>
      </c>
      <c r="CP26" s="414">
        <f t="shared" si="67"/>
        <v>0</v>
      </c>
      <c r="CQ26" s="414">
        <f t="shared" si="68"/>
        <v>0</v>
      </c>
      <c r="CR26" s="414">
        <f t="shared" si="69"/>
        <v>0</v>
      </c>
      <c r="CS26" s="416">
        <f t="shared" si="70"/>
        <v>0</v>
      </c>
      <c r="CT26" s="319"/>
      <c r="CV26" s="319"/>
      <c r="CX26" s="319"/>
    </row>
    <row r="27" spans="1:131" ht="15.75" customHeight="1">
      <c r="A27" s="88" t="s">
        <v>185</v>
      </c>
      <c r="B27" s="300">
        <v>8</v>
      </c>
      <c r="C27" s="231"/>
      <c r="D27" s="231"/>
      <c r="E27" s="231"/>
      <c r="F27" s="231"/>
      <c r="G27" s="231"/>
      <c r="H27" s="231"/>
      <c r="I27" s="231"/>
      <c r="J27" s="231"/>
      <c r="K27" s="412">
        <f t="shared" si="44"/>
        <v>0</v>
      </c>
      <c r="L27" s="417"/>
      <c r="M27" s="231"/>
      <c r="N27" s="231"/>
      <c r="O27" s="231"/>
      <c r="P27" s="231"/>
      <c r="Q27" s="231"/>
      <c r="R27" s="231"/>
      <c r="S27" s="231"/>
      <c r="T27" s="414">
        <f t="shared" si="45"/>
        <v>0</v>
      </c>
      <c r="U27" s="415">
        <f t="shared" si="46"/>
        <v>0</v>
      </c>
      <c r="V27" s="300">
        <v>8</v>
      </c>
      <c r="W27" s="231"/>
      <c r="X27" s="231"/>
      <c r="Y27" s="231"/>
      <c r="Z27" s="231"/>
      <c r="AA27" s="231"/>
      <c r="AB27" s="231"/>
      <c r="AC27" s="231"/>
      <c r="AD27" s="231"/>
      <c r="AE27" s="412">
        <f t="shared" si="47"/>
        <v>0</v>
      </c>
      <c r="AF27" s="417"/>
      <c r="AG27" s="231"/>
      <c r="AH27" s="231"/>
      <c r="AI27" s="231"/>
      <c r="AJ27" s="231"/>
      <c r="AK27" s="231"/>
      <c r="AL27" s="231"/>
      <c r="AM27" s="231"/>
      <c r="AN27" s="414">
        <f t="shared" si="48"/>
        <v>0</v>
      </c>
      <c r="AO27" s="415">
        <f t="shared" si="49"/>
        <v>0</v>
      </c>
      <c r="AP27" s="300">
        <v>8</v>
      </c>
      <c r="AQ27" s="231"/>
      <c r="AR27" s="231"/>
      <c r="AS27" s="231"/>
      <c r="AT27" s="231"/>
      <c r="AU27" s="231"/>
      <c r="AV27" s="231"/>
      <c r="AW27" s="231"/>
      <c r="AX27" s="231"/>
      <c r="AY27" s="412">
        <f t="shared" si="50"/>
        <v>0</v>
      </c>
      <c r="AZ27" s="417"/>
      <c r="BA27" s="231"/>
      <c r="BB27" s="231"/>
      <c r="BC27" s="231"/>
      <c r="BD27" s="231"/>
      <c r="BE27" s="231"/>
      <c r="BF27" s="231"/>
      <c r="BG27" s="231"/>
      <c r="BH27" s="414">
        <f t="shared" si="51"/>
        <v>0</v>
      </c>
      <c r="BI27" s="415">
        <f t="shared" si="52"/>
        <v>0</v>
      </c>
      <c r="BJ27" s="300">
        <v>8</v>
      </c>
      <c r="BK27" s="231"/>
      <c r="BL27" s="231"/>
      <c r="BM27" s="231"/>
      <c r="BN27" s="231"/>
      <c r="BO27" s="231"/>
      <c r="BP27" s="231"/>
      <c r="BQ27" s="231"/>
      <c r="BR27" s="231"/>
      <c r="BS27" s="412">
        <f t="shared" si="53"/>
        <v>0</v>
      </c>
      <c r="BT27" s="417"/>
      <c r="BU27" s="231"/>
      <c r="BV27" s="231"/>
      <c r="BW27" s="231"/>
      <c r="BX27" s="231"/>
      <c r="BY27" s="231"/>
      <c r="BZ27" s="231"/>
      <c r="CA27" s="231"/>
      <c r="CB27" s="414">
        <f t="shared" si="54"/>
        <v>0</v>
      </c>
      <c r="CC27" s="415">
        <f t="shared" si="55"/>
        <v>0</v>
      </c>
      <c r="CD27" s="300">
        <v>8</v>
      </c>
      <c r="CE27" s="414">
        <f t="shared" si="56"/>
        <v>0</v>
      </c>
      <c r="CF27" s="414">
        <f t="shared" si="57"/>
        <v>0</v>
      </c>
      <c r="CG27" s="414">
        <f t="shared" si="58"/>
        <v>0</v>
      </c>
      <c r="CH27" s="414">
        <f t="shared" si="59"/>
        <v>0</v>
      </c>
      <c r="CI27" s="416">
        <f t="shared" si="60"/>
        <v>0</v>
      </c>
      <c r="CJ27" s="414">
        <f t="shared" si="61"/>
        <v>0</v>
      </c>
      <c r="CK27" s="414">
        <f t="shared" si="62"/>
        <v>0</v>
      </c>
      <c r="CL27" s="414">
        <f t="shared" si="63"/>
        <v>0</v>
      </c>
      <c r="CM27" s="414">
        <f t="shared" si="64"/>
        <v>0</v>
      </c>
      <c r="CN27" s="416">
        <f t="shared" si="65"/>
        <v>0</v>
      </c>
      <c r="CO27" s="414">
        <f t="shared" si="66"/>
        <v>0</v>
      </c>
      <c r="CP27" s="414">
        <f t="shared" si="67"/>
        <v>0</v>
      </c>
      <c r="CQ27" s="414">
        <f t="shared" si="68"/>
        <v>0</v>
      </c>
      <c r="CR27" s="414">
        <f t="shared" si="69"/>
        <v>0</v>
      </c>
      <c r="CS27" s="416">
        <f t="shared" si="70"/>
        <v>0</v>
      </c>
      <c r="CT27" s="319"/>
      <c r="CV27" s="319"/>
      <c r="CX27" s="319"/>
    </row>
    <row r="28" spans="1:131" ht="15.75" customHeight="1">
      <c r="A28" s="88" t="s">
        <v>187</v>
      </c>
      <c r="B28" s="300">
        <v>9</v>
      </c>
      <c r="C28" s="231"/>
      <c r="D28" s="231"/>
      <c r="E28" s="231"/>
      <c r="F28" s="231"/>
      <c r="G28" s="231"/>
      <c r="H28" s="231"/>
      <c r="I28" s="231"/>
      <c r="J28" s="231"/>
      <c r="K28" s="412">
        <f t="shared" si="44"/>
        <v>0</v>
      </c>
      <c r="L28" s="417"/>
      <c r="M28" s="231"/>
      <c r="N28" s="231"/>
      <c r="O28" s="231"/>
      <c r="P28" s="231"/>
      <c r="Q28" s="231"/>
      <c r="R28" s="231"/>
      <c r="S28" s="231"/>
      <c r="T28" s="414">
        <f t="shared" si="45"/>
        <v>0</v>
      </c>
      <c r="U28" s="415">
        <f t="shared" si="46"/>
        <v>0</v>
      </c>
      <c r="V28" s="300">
        <v>9</v>
      </c>
      <c r="W28" s="231"/>
      <c r="X28" s="231"/>
      <c r="Y28" s="231"/>
      <c r="Z28" s="231"/>
      <c r="AA28" s="231"/>
      <c r="AB28" s="231"/>
      <c r="AC28" s="231"/>
      <c r="AD28" s="231"/>
      <c r="AE28" s="412">
        <f t="shared" si="47"/>
        <v>0</v>
      </c>
      <c r="AF28" s="417"/>
      <c r="AG28" s="231"/>
      <c r="AH28" s="231"/>
      <c r="AI28" s="231"/>
      <c r="AJ28" s="231"/>
      <c r="AK28" s="231"/>
      <c r="AL28" s="231"/>
      <c r="AM28" s="231"/>
      <c r="AN28" s="414">
        <f t="shared" si="48"/>
        <v>0</v>
      </c>
      <c r="AO28" s="415">
        <f t="shared" si="49"/>
        <v>0</v>
      </c>
      <c r="AP28" s="300">
        <v>9</v>
      </c>
      <c r="AQ28" s="231"/>
      <c r="AR28" s="231"/>
      <c r="AS28" s="231"/>
      <c r="AT28" s="231"/>
      <c r="AU28" s="231"/>
      <c r="AV28" s="231"/>
      <c r="AW28" s="231"/>
      <c r="AX28" s="231"/>
      <c r="AY28" s="412">
        <f t="shared" si="50"/>
        <v>0</v>
      </c>
      <c r="AZ28" s="417"/>
      <c r="BA28" s="231"/>
      <c r="BB28" s="231"/>
      <c r="BC28" s="231"/>
      <c r="BD28" s="231"/>
      <c r="BE28" s="231"/>
      <c r="BF28" s="231"/>
      <c r="BG28" s="231"/>
      <c r="BH28" s="414">
        <f t="shared" si="51"/>
        <v>0</v>
      </c>
      <c r="BI28" s="415">
        <f t="shared" si="52"/>
        <v>0</v>
      </c>
      <c r="BJ28" s="300">
        <v>9</v>
      </c>
      <c r="BK28" s="231"/>
      <c r="BL28" s="231"/>
      <c r="BM28" s="231"/>
      <c r="BN28" s="231"/>
      <c r="BO28" s="231"/>
      <c r="BP28" s="231"/>
      <c r="BQ28" s="231"/>
      <c r="BR28" s="231"/>
      <c r="BS28" s="412">
        <f t="shared" si="53"/>
        <v>0</v>
      </c>
      <c r="BT28" s="417"/>
      <c r="BU28" s="231"/>
      <c r="BV28" s="231"/>
      <c r="BW28" s="231"/>
      <c r="BX28" s="231"/>
      <c r="BY28" s="231"/>
      <c r="BZ28" s="231"/>
      <c r="CA28" s="231"/>
      <c r="CB28" s="414">
        <f t="shared" si="54"/>
        <v>0</v>
      </c>
      <c r="CC28" s="415">
        <f t="shared" si="55"/>
        <v>0</v>
      </c>
      <c r="CD28" s="300">
        <v>9</v>
      </c>
      <c r="CE28" s="414">
        <f t="shared" si="56"/>
        <v>0</v>
      </c>
      <c r="CF28" s="414">
        <f t="shared" si="57"/>
        <v>0</v>
      </c>
      <c r="CG28" s="414">
        <f t="shared" si="58"/>
        <v>0</v>
      </c>
      <c r="CH28" s="414">
        <f t="shared" si="59"/>
        <v>0</v>
      </c>
      <c r="CI28" s="416">
        <f t="shared" si="60"/>
        <v>0</v>
      </c>
      <c r="CJ28" s="414">
        <f t="shared" si="61"/>
        <v>0</v>
      </c>
      <c r="CK28" s="414">
        <f t="shared" si="62"/>
        <v>0</v>
      </c>
      <c r="CL28" s="414">
        <f t="shared" si="63"/>
        <v>0</v>
      </c>
      <c r="CM28" s="414">
        <f t="shared" si="64"/>
        <v>0</v>
      </c>
      <c r="CN28" s="416">
        <f t="shared" si="65"/>
        <v>0</v>
      </c>
      <c r="CO28" s="414">
        <f t="shared" si="66"/>
        <v>0</v>
      </c>
      <c r="CP28" s="414">
        <f t="shared" si="67"/>
        <v>0</v>
      </c>
      <c r="CQ28" s="414">
        <f t="shared" si="68"/>
        <v>0</v>
      </c>
      <c r="CR28" s="414">
        <f t="shared" si="69"/>
        <v>0</v>
      </c>
      <c r="CS28" s="416">
        <f t="shared" si="70"/>
        <v>0</v>
      </c>
      <c r="CT28" s="319"/>
      <c r="CV28" s="319"/>
      <c r="CX28" s="319"/>
    </row>
    <row r="29" spans="1:131" ht="15.75" customHeight="1">
      <c r="A29" s="88" t="s">
        <v>189</v>
      </c>
      <c r="B29" s="300">
        <v>10</v>
      </c>
      <c r="C29" s="231">
        <v>0</v>
      </c>
      <c r="D29" s="231">
        <v>0</v>
      </c>
      <c r="E29" s="231">
        <v>0</v>
      </c>
      <c r="F29" s="231">
        <v>0</v>
      </c>
      <c r="G29" s="231">
        <v>0</v>
      </c>
      <c r="H29" s="231">
        <v>0</v>
      </c>
      <c r="I29" s="231">
        <v>0</v>
      </c>
      <c r="J29" s="231">
        <v>0</v>
      </c>
      <c r="K29" s="412">
        <f t="shared" si="44"/>
        <v>0</v>
      </c>
      <c r="L29" s="417">
        <v>0</v>
      </c>
      <c r="M29" s="231">
        <v>6.004208719599823E-6</v>
      </c>
      <c r="N29" s="231">
        <v>0</v>
      </c>
      <c r="O29" s="231">
        <v>6.4111664910636988E-6</v>
      </c>
      <c r="P29" s="231">
        <v>0</v>
      </c>
      <c r="Q29" s="231">
        <v>6.6951584184503823E-6</v>
      </c>
      <c r="R29" s="231">
        <v>0</v>
      </c>
      <c r="S29" s="231">
        <v>7.0374394517908863E-6</v>
      </c>
      <c r="T29" s="414">
        <f t="shared" si="45"/>
        <v>2.614797308090479E-5</v>
      </c>
      <c r="U29" s="415">
        <f t="shared" si="46"/>
        <v>2.614797308090479E-5</v>
      </c>
      <c r="V29" s="300">
        <v>10</v>
      </c>
      <c r="W29" s="231">
        <v>0</v>
      </c>
      <c r="X29" s="231">
        <v>0</v>
      </c>
      <c r="Y29" s="231">
        <v>0</v>
      </c>
      <c r="Z29" s="231">
        <v>0</v>
      </c>
      <c r="AA29" s="231">
        <v>0</v>
      </c>
      <c r="AB29" s="231">
        <v>0</v>
      </c>
      <c r="AC29" s="231">
        <v>0</v>
      </c>
      <c r="AD29" s="231">
        <v>0</v>
      </c>
      <c r="AE29" s="412">
        <f t="shared" si="47"/>
        <v>0</v>
      </c>
      <c r="AF29" s="417">
        <v>0</v>
      </c>
      <c r="AG29" s="231">
        <v>2.414099200978287E-6</v>
      </c>
      <c r="AH29" s="231">
        <v>0</v>
      </c>
      <c r="AI29" s="231">
        <v>1.9527527161661173E-6</v>
      </c>
      <c r="AJ29" s="231">
        <v>0</v>
      </c>
      <c r="AK29" s="231">
        <v>1.6570821265701342E-6</v>
      </c>
      <c r="AL29" s="231">
        <v>0</v>
      </c>
      <c r="AM29" s="231">
        <v>1.7647554622669452E-6</v>
      </c>
      <c r="AN29" s="414">
        <f t="shared" si="48"/>
        <v>7.7886895059814842E-6</v>
      </c>
      <c r="AO29" s="415">
        <f t="shared" si="49"/>
        <v>7.7886895059814842E-6</v>
      </c>
      <c r="AP29" s="300">
        <v>10</v>
      </c>
      <c r="AQ29" s="231">
        <v>0</v>
      </c>
      <c r="AR29" s="231">
        <v>0</v>
      </c>
      <c r="AS29" s="231">
        <v>0</v>
      </c>
      <c r="AT29" s="231">
        <v>0</v>
      </c>
      <c r="AU29" s="231">
        <v>0</v>
      </c>
      <c r="AV29" s="231">
        <v>0</v>
      </c>
      <c r="AW29" s="231">
        <v>0</v>
      </c>
      <c r="AX29" s="231">
        <v>0</v>
      </c>
      <c r="AY29" s="412">
        <f t="shared" si="50"/>
        <v>0</v>
      </c>
      <c r="AZ29" s="417">
        <v>0</v>
      </c>
      <c r="BA29" s="231">
        <v>3.4750031096155386E-5</v>
      </c>
      <c r="BB29" s="231">
        <v>0</v>
      </c>
      <c r="BC29" s="231">
        <v>3.1881770921165428E-5</v>
      </c>
      <c r="BD29" s="231">
        <v>0</v>
      </c>
      <c r="BE29" s="231">
        <v>3.705499068722937E-5</v>
      </c>
      <c r="BF29" s="231">
        <v>0</v>
      </c>
      <c r="BG29" s="231">
        <v>3.9014949820003657E-5</v>
      </c>
      <c r="BH29" s="414">
        <f t="shared" si="51"/>
        <v>1.4270174252455385E-4</v>
      </c>
      <c r="BI29" s="415">
        <f t="shared" si="52"/>
        <v>1.4270174252455385E-4</v>
      </c>
      <c r="BJ29" s="300">
        <v>10</v>
      </c>
      <c r="BK29" s="231">
        <v>0</v>
      </c>
      <c r="BL29" s="231">
        <v>0</v>
      </c>
      <c r="BM29" s="231">
        <v>0</v>
      </c>
      <c r="BN29" s="231">
        <v>0</v>
      </c>
      <c r="BO29" s="231">
        <v>0</v>
      </c>
      <c r="BP29" s="231">
        <v>0</v>
      </c>
      <c r="BQ29" s="231">
        <v>0</v>
      </c>
      <c r="BR29" s="231">
        <v>0</v>
      </c>
      <c r="BS29" s="412">
        <f t="shared" si="53"/>
        <v>0</v>
      </c>
      <c r="BT29" s="417">
        <v>0</v>
      </c>
      <c r="BU29" s="231">
        <v>2.4536913947157122E-6</v>
      </c>
      <c r="BV29" s="231">
        <v>0</v>
      </c>
      <c r="BW29" s="231">
        <v>2.2285456564124914E-6</v>
      </c>
      <c r="BX29" s="231">
        <v>0</v>
      </c>
      <c r="BY29" s="231">
        <v>2.0022549734059726E-6</v>
      </c>
      <c r="BZ29" s="231">
        <v>0</v>
      </c>
      <c r="CA29" s="231">
        <v>1.668807512878634E-6</v>
      </c>
      <c r="CB29" s="414">
        <f t="shared" si="54"/>
        <v>8.3532995374128088E-6</v>
      </c>
      <c r="CC29" s="415">
        <f t="shared" si="55"/>
        <v>8.3532995374128088E-6</v>
      </c>
      <c r="CD29" s="300">
        <v>10</v>
      </c>
      <c r="CE29" s="414">
        <f t="shared" si="56"/>
        <v>0</v>
      </c>
      <c r="CF29" s="414">
        <f t="shared" si="57"/>
        <v>0</v>
      </c>
      <c r="CG29" s="414">
        <f t="shared" si="58"/>
        <v>0</v>
      </c>
      <c r="CH29" s="414">
        <f t="shared" si="59"/>
        <v>0</v>
      </c>
      <c r="CI29" s="416">
        <f t="shared" si="60"/>
        <v>0</v>
      </c>
      <c r="CJ29" s="414">
        <f t="shared" si="61"/>
        <v>4.5622030411449215E-5</v>
      </c>
      <c r="CK29" s="414">
        <f t="shared" si="62"/>
        <v>4.2474235784807735E-5</v>
      </c>
      <c r="CL29" s="414">
        <f t="shared" si="63"/>
        <v>4.7409486205655862E-5</v>
      </c>
      <c r="CM29" s="414">
        <f t="shared" si="64"/>
        <v>4.9485952246940118E-5</v>
      </c>
      <c r="CN29" s="416">
        <f t="shared" si="65"/>
        <v>1.8499170464885293E-4</v>
      </c>
      <c r="CO29" s="414">
        <f t="shared" si="66"/>
        <v>4.5622030411449215E-5</v>
      </c>
      <c r="CP29" s="414">
        <f t="shared" si="67"/>
        <v>4.2474235784807735E-5</v>
      </c>
      <c r="CQ29" s="414">
        <f t="shared" si="68"/>
        <v>4.7409486205655862E-5</v>
      </c>
      <c r="CR29" s="414">
        <f t="shared" si="69"/>
        <v>4.9485952246940118E-5</v>
      </c>
      <c r="CS29" s="416">
        <f t="shared" si="70"/>
        <v>1.8499170464885293E-4</v>
      </c>
      <c r="CT29" s="319"/>
      <c r="CV29" s="319"/>
      <c r="CX29" s="319"/>
    </row>
    <row r="30" spans="1:131" ht="15.75" customHeight="1">
      <c r="A30" s="135" t="s">
        <v>191</v>
      </c>
      <c r="B30" s="300">
        <v>11</v>
      </c>
      <c r="C30" s="137">
        <f t="shared" ref="C30:J30" si="71">SUM(C25:C29)</f>
        <v>0</v>
      </c>
      <c r="D30" s="137">
        <f t="shared" si="71"/>
        <v>0</v>
      </c>
      <c r="E30" s="137">
        <f t="shared" si="71"/>
        <v>0</v>
      </c>
      <c r="F30" s="137">
        <f t="shared" si="71"/>
        <v>0</v>
      </c>
      <c r="G30" s="137">
        <f t="shared" si="71"/>
        <v>0</v>
      </c>
      <c r="H30" s="137">
        <f t="shared" si="71"/>
        <v>0</v>
      </c>
      <c r="I30" s="137">
        <f t="shared" si="71"/>
        <v>0</v>
      </c>
      <c r="J30" s="137">
        <f t="shared" si="71"/>
        <v>0</v>
      </c>
      <c r="K30" s="412">
        <f t="shared" si="44"/>
        <v>0</v>
      </c>
      <c r="L30" s="217">
        <f t="shared" ref="L30:S30" si="72">SUM(L25:L29)</f>
        <v>0</v>
      </c>
      <c r="M30" s="137">
        <f t="shared" si="72"/>
        <v>6.004208719599823E-6</v>
      </c>
      <c r="N30" s="137">
        <f t="shared" si="72"/>
        <v>0</v>
      </c>
      <c r="O30" s="137">
        <f t="shared" si="72"/>
        <v>6.4111664910636988E-6</v>
      </c>
      <c r="P30" s="137">
        <f t="shared" si="72"/>
        <v>0</v>
      </c>
      <c r="Q30" s="137">
        <f t="shared" si="72"/>
        <v>6.6951584184503823E-6</v>
      </c>
      <c r="R30" s="137">
        <f t="shared" si="72"/>
        <v>0</v>
      </c>
      <c r="S30" s="137">
        <f t="shared" si="72"/>
        <v>7.0374394517908863E-6</v>
      </c>
      <c r="T30" s="414">
        <f t="shared" si="45"/>
        <v>2.614797308090479E-5</v>
      </c>
      <c r="U30" s="415">
        <f t="shared" si="46"/>
        <v>2.614797308090479E-5</v>
      </c>
      <c r="V30" s="300">
        <v>11</v>
      </c>
      <c r="W30" s="137">
        <f t="shared" ref="W30:AD30" si="73">SUM(W25:W29)</f>
        <v>0</v>
      </c>
      <c r="X30" s="137">
        <f t="shared" si="73"/>
        <v>0</v>
      </c>
      <c r="Y30" s="137">
        <f t="shared" si="73"/>
        <v>0</v>
      </c>
      <c r="Z30" s="137">
        <f t="shared" si="73"/>
        <v>0</v>
      </c>
      <c r="AA30" s="137">
        <f t="shared" si="73"/>
        <v>0</v>
      </c>
      <c r="AB30" s="137">
        <f t="shared" si="73"/>
        <v>0</v>
      </c>
      <c r="AC30" s="137">
        <f t="shared" si="73"/>
        <v>0</v>
      </c>
      <c r="AD30" s="137">
        <f t="shared" si="73"/>
        <v>0</v>
      </c>
      <c r="AE30" s="412">
        <f t="shared" si="47"/>
        <v>0</v>
      </c>
      <c r="AF30" s="217">
        <f t="shared" ref="AF30:AM30" si="74">SUM(AF25:AF29)</f>
        <v>0</v>
      </c>
      <c r="AG30" s="137">
        <f t="shared" si="74"/>
        <v>2.414099200978287E-6</v>
      </c>
      <c r="AH30" s="137">
        <f t="shared" si="74"/>
        <v>0</v>
      </c>
      <c r="AI30" s="137">
        <f t="shared" si="74"/>
        <v>1.9527527161661173E-6</v>
      </c>
      <c r="AJ30" s="137">
        <f t="shared" si="74"/>
        <v>0</v>
      </c>
      <c r="AK30" s="137">
        <f t="shared" si="74"/>
        <v>1.6570821265701342E-6</v>
      </c>
      <c r="AL30" s="137">
        <f t="shared" si="74"/>
        <v>0</v>
      </c>
      <c r="AM30" s="137">
        <f t="shared" si="74"/>
        <v>1.7647554622669452E-6</v>
      </c>
      <c r="AN30" s="414">
        <f t="shared" si="48"/>
        <v>7.7886895059814842E-6</v>
      </c>
      <c r="AO30" s="415">
        <f t="shared" si="49"/>
        <v>7.7886895059814842E-6</v>
      </c>
      <c r="AP30" s="300">
        <v>11</v>
      </c>
      <c r="AQ30" s="137">
        <f t="shared" ref="AQ30:AX30" si="75">SUM(AQ25:AQ29)</f>
        <v>0</v>
      </c>
      <c r="AR30" s="137">
        <f t="shared" si="75"/>
        <v>0</v>
      </c>
      <c r="AS30" s="137">
        <f t="shared" si="75"/>
        <v>0</v>
      </c>
      <c r="AT30" s="137">
        <f t="shared" si="75"/>
        <v>0</v>
      </c>
      <c r="AU30" s="137">
        <f t="shared" si="75"/>
        <v>0</v>
      </c>
      <c r="AV30" s="137">
        <f t="shared" si="75"/>
        <v>0</v>
      </c>
      <c r="AW30" s="137">
        <f t="shared" si="75"/>
        <v>0</v>
      </c>
      <c r="AX30" s="137">
        <f t="shared" si="75"/>
        <v>0</v>
      </c>
      <c r="AY30" s="412">
        <f t="shared" si="50"/>
        <v>0</v>
      </c>
      <c r="AZ30" s="217">
        <f t="shared" ref="AZ30:BG30" si="76">SUM(AZ25:AZ29)</f>
        <v>0</v>
      </c>
      <c r="BA30" s="137">
        <f t="shared" si="76"/>
        <v>3.4750031096155386E-5</v>
      </c>
      <c r="BB30" s="137">
        <f t="shared" si="76"/>
        <v>0</v>
      </c>
      <c r="BC30" s="137">
        <f t="shared" si="76"/>
        <v>3.1881770921165428E-5</v>
      </c>
      <c r="BD30" s="137">
        <f t="shared" si="76"/>
        <v>0</v>
      </c>
      <c r="BE30" s="137">
        <f t="shared" si="76"/>
        <v>3.705499068722937E-5</v>
      </c>
      <c r="BF30" s="137">
        <f t="shared" si="76"/>
        <v>0</v>
      </c>
      <c r="BG30" s="137">
        <f t="shared" si="76"/>
        <v>3.9014949820003657E-5</v>
      </c>
      <c r="BH30" s="414">
        <f t="shared" si="51"/>
        <v>1.4270174252455385E-4</v>
      </c>
      <c r="BI30" s="415">
        <f t="shared" si="52"/>
        <v>1.4270174252455385E-4</v>
      </c>
      <c r="BJ30" s="300">
        <v>11</v>
      </c>
      <c r="BK30" s="137">
        <f t="shared" ref="BK30:BR30" si="77">SUM(BK25:BK29)</f>
        <v>4605.9403638361646</v>
      </c>
      <c r="BL30" s="137">
        <f t="shared" si="77"/>
        <v>35640.821417112675</v>
      </c>
      <c r="BM30" s="137">
        <f t="shared" si="77"/>
        <v>4784.4677310011548</v>
      </c>
      <c r="BN30" s="137">
        <f t="shared" si="77"/>
        <v>28178.193787345492</v>
      </c>
      <c r="BO30" s="137">
        <f t="shared" si="77"/>
        <v>5047.8830887348449</v>
      </c>
      <c r="BP30" s="137">
        <f t="shared" si="77"/>
        <v>26631.816604265558</v>
      </c>
      <c r="BQ30" s="137">
        <f t="shared" si="77"/>
        <v>13019.623957850627</v>
      </c>
      <c r="BR30" s="137">
        <f t="shared" si="77"/>
        <v>85269.029458166595</v>
      </c>
      <c r="BS30" s="412">
        <f t="shared" si="53"/>
        <v>203177.7764083131</v>
      </c>
      <c r="BT30" s="217">
        <f t="shared" ref="BT30:CA30" si="78">SUM(BT25:BT29)</f>
        <v>0</v>
      </c>
      <c r="BU30" s="137">
        <f t="shared" si="78"/>
        <v>2.4536913947157122E-6</v>
      </c>
      <c r="BV30" s="137">
        <f t="shared" si="78"/>
        <v>0</v>
      </c>
      <c r="BW30" s="137">
        <f t="shared" si="78"/>
        <v>2.2285456564124914E-6</v>
      </c>
      <c r="BX30" s="137">
        <f t="shared" si="78"/>
        <v>0</v>
      </c>
      <c r="BY30" s="137">
        <f t="shared" si="78"/>
        <v>2.0022549734059726E-6</v>
      </c>
      <c r="BZ30" s="137">
        <f t="shared" si="78"/>
        <v>0</v>
      </c>
      <c r="CA30" s="137">
        <f t="shared" si="78"/>
        <v>1.668807512878634E-6</v>
      </c>
      <c r="CB30" s="414">
        <f t="shared" si="54"/>
        <v>8.3532995374128088E-6</v>
      </c>
      <c r="CC30" s="415">
        <f t="shared" si="55"/>
        <v>203177.7764166664</v>
      </c>
      <c r="CD30" s="300">
        <v>11</v>
      </c>
      <c r="CE30" s="414">
        <f t="shared" si="56"/>
        <v>40246.761780948837</v>
      </c>
      <c r="CF30" s="414">
        <f t="shared" si="57"/>
        <v>32962.661518346649</v>
      </c>
      <c r="CG30" s="414">
        <f t="shared" si="58"/>
        <v>31679.699693000402</v>
      </c>
      <c r="CH30" s="414">
        <f t="shared" si="59"/>
        <v>98288.653416017216</v>
      </c>
      <c r="CI30" s="416">
        <f t="shared" si="60"/>
        <v>203177.7764083131</v>
      </c>
      <c r="CJ30" s="414">
        <f t="shared" si="61"/>
        <v>4.5622030411449215E-5</v>
      </c>
      <c r="CK30" s="414">
        <f t="shared" si="62"/>
        <v>4.2474235784807735E-5</v>
      </c>
      <c r="CL30" s="414">
        <f t="shared" si="63"/>
        <v>4.7409486205655862E-5</v>
      </c>
      <c r="CM30" s="414">
        <f t="shared" si="64"/>
        <v>4.9485952246940118E-5</v>
      </c>
      <c r="CN30" s="416">
        <f t="shared" si="65"/>
        <v>1.8499170464885293E-4</v>
      </c>
      <c r="CO30" s="414">
        <f t="shared" si="66"/>
        <v>40246.761826570873</v>
      </c>
      <c r="CP30" s="414">
        <f t="shared" si="67"/>
        <v>32962.661560820881</v>
      </c>
      <c r="CQ30" s="414">
        <f t="shared" si="68"/>
        <v>31679.699740409891</v>
      </c>
      <c r="CR30" s="414">
        <f t="shared" si="69"/>
        <v>98288.653465503186</v>
      </c>
      <c r="CS30" s="416">
        <f t="shared" si="70"/>
        <v>203177.77659330482</v>
      </c>
    </row>
    <row r="31" spans="1:131"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row>
    <row r="32" spans="1:131" s="14" customFormat="1" ht="15.75" customHeight="1">
      <c r="A32" s="16" t="s">
        <v>193</v>
      </c>
      <c r="B32" s="300">
        <v>12</v>
      </c>
      <c r="C32" s="216">
        <f t="shared" ref="C32:U32" si="79">C23+C30</f>
        <v>49112.26</v>
      </c>
      <c r="D32" s="216">
        <f t="shared" si="79"/>
        <v>170360.25</v>
      </c>
      <c r="E32" s="216">
        <f t="shared" si="79"/>
        <v>47307.05</v>
      </c>
      <c r="F32" s="216">
        <f t="shared" si="79"/>
        <v>184600.87</v>
      </c>
      <c r="G32" s="216">
        <f t="shared" si="79"/>
        <v>50462.61</v>
      </c>
      <c r="H32" s="216">
        <f t="shared" si="79"/>
        <v>209230.730000001</v>
      </c>
      <c r="I32" s="216">
        <f t="shared" si="79"/>
        <v>57403.8</v>
      </c>
      <c r="J32" s="216">
        <f t="shared" si="79"/>
        <v>221959.320000001</v>
      </c>
      <c r="K32" s="221">
        <f t="shared" si="79"/>
        <v>990436.89000000199</v>
      </c>
      <c r="L32" s="218">
        <f t="shared" si="79"/>
        <v>0</v>
      </c>
      <c r="M32" s="216">
        <f t="shared" si="79"/>
        <v>529946.73585879349</v>
      </c>
      <c r="N32" s="216">
        <f t="shared" si="79"/>
        <v>0</v>
      </c>
      <c r="O32" s="216">
        <f t="shared" si="79"/>
        <v>544360.29146323481</v>
      </c>
      <c r="P32" s="216">
        <f t="shared" si="79"/>
        <v>0</v>
      </c>
      <c r="Q32" s="216">
        <f t="shared" si="79"/>
        <v>584537.33614880696</v>
      </c>
      <c r="R32" s="216">
        <f t="shared" si="79"/>
        <v>0</v>
      </c>
      <c r="S32" s="216">
        <f t="shared" si="79"/>
        <v>628780.14008163579</v>
      </c>
      <c r="T32" s="219">
        <f t="shared" si="79"/>
        <v>2287624.5035524708</v>
      </c>
      <c r="U32" s="218">
        <f t="shared" si="79"/>
        <v>3278061.3935524728</v>
      </c>
      <c r="V32" s="300">
        <v>12</v>
      </c>
      <c r="W32" s="216">
        <f t="shared" ref="W32:AO32" si="80">W23+W30</f>
        <v>12651.58</v>
      </c>
      <c r="X32" s="216">
        <f t="shared" si="80"/>
        <v>115584</v>
      </c>
      <c r="Y32" s="216">
        <f t="shared" si="80"/>
        <v>10090.74</v>
      </c>
      <c r="Z32" s="216">
        <f t="shared" si="80"/>
        <v>105264</v>
      </c>
      <c r="AA32" s="216">
        <f t="shared" si="80"/>
        <v>24080.22</v>
      </c>
      <c r="AB32" s="216">
        <f t="shared" si="80"/>
        <v>90816</v>
      </c>
      <c r="AC32" s="216">
        <f t="shared" si="80"/>
        <v>24080.22</v>
      </c>
      <c r="AD32" s="216">
        <f t="shared" si="80"/>
        <v>94944</v>
      </c>
      <c r="AE32" s="221">
        <f t="shared" si="80"/>
        <v>477510.76</v>
      </c>
      <c r="AF32" s="218">
        <f t="shared" si="80"/>
        <v>0</v>
      </c>
      <c r="AG32" s="216">
        <f t="shared" si="80"/>
        <v>213605.96044986026</v>
      </c>
      <c r="AH32" s="216">
        <f t="shared" si="80"/>
        <v>0</v>
      </c>
      <c r="AI32" s="216">
        <f t="shared" si="80"/>
        <v>181648.20680023977</v>
      </c>
      <c r="AJ32" s="216">
        <f t="shared" si="80"/>
        <v>0</v>
      </c>
      <c r="AK32" s="216">
        <f t="shared" si="80"/>
        <v>173658.01039829486</v>
      </c>
      <c r="AL32" s="216">
        <f t="shared" si="80"/>
        <v>0</v>
      </c>
      <c r="AM32" s="216">
        <f t="shared" si="80"/>
        <v>170968.04929329164</v>
      </c>
      <c r="AN32" s="219">
        <f t="shared" si="80"/>
        <v>739880.22694168659</v>
      </c>
      <c r="AO32" s="218">
        <f t="shared" si="80"/>
        <v>1217390.9869416866</v>
      </c>
      <c r="AP32" s="300">
        <v>12</v>
      </c>
      <c r="AQ32" s="216">
        <f t="shared" ref="AQ32:BI32" si="81">AQ23+AQ30</f>
        <v>1454674.9</v>
      </c>
      <c r="AR32" s="216">
        <f t="shared" si="81"/>
        <v>3140181.3500000397</v>
      </c>
      <c r="AS32" s="216">
        <f t="shared" si="81"/>
        <v>1567363.14</v>
      </c>
      <c r="AT32" s="216">
        <f t="shared" si="81"/>
        <v>3350908.2500000498</v>
      </c>
      <c r="AU32" s="216">
        <f t="shared" si="81"/>
        <v>1666163.1199999999</v>
      </c>
      <c r="AV32" s="216">
        <f t="shared" si="81"/>
        <v>3738957.6899999203</v>
      </c>
      <c r="AW32" s="216">
        <f t="shared" si="81"/>
        <v>1820394.33</v>
      </c>
      <c r="AX32" s="216">
        <f t="shared" si="81"/>
        <v>4115056.9399999096</v>
      </c>
      <c r="AY32" s="221">
        <f t="shared" si="81"/>
        <v>20853699.719999917</v>
      </c>
      <c r="AZ32" s="218">
        <f t="shared" si="81"/>
        <v>0</v>
      </c>
      <c r="BA32" s="216">
        <f t="shared" si="81"/>
        <v>3338100.2788956757</v>
      </c>
      <c r="BB32" s="216">
        <f t="shared" si="81"/>
        <v>0</v>
      </c>
      <c r="BC32" s="216">
        <f t="shared" si="81"/>
        <v>3126671.0296869613</v>
      </c>
      <c r="BD32" s="216">
        <f t="shared" si="81"/>
        <v>0</v>
      </c>
      <c r="BE32" s="216">
        <f t="shared" si="81"/>
        <v>3494150.1616427158</v>
      </c>
      <c r="BF32" s="216">
        <f t="shared" si="81"/>
        <v>0</v>
      </c>
      <c r="BG32" s="216">
        <f t="shared" si="81"/>
        <v>3665473.8295899103</v>
      </c>
      <c r="BH32" s="219">
        <f t="shared" si="81"/>
        <v>13624395.299815264</v>
      </c>
      <c r="BI32" s="218">
        <f t="shared" si="81"/>
        <v>34478095.019815184</v>
      </c>
      <c r="BJ32" s="300">
        <v>12</v>
      </c>
      <c r="BK32" s="216">
        <f t="shared" ref="BK32:CC32" si="82">BK23+BK30</f>
        <v>64545.040363836168</v>
      </c>
      <c r="BL32" s="216">
        <f t="shared" si="82"/>
        <v>499450.29141711263</v>
      </c>
      <c r="BM32" s="216">
        <f t="shared" si="82"/>
        <v>64723.56773100116</v>
      </c>
      <c r="BN32" s="216">
        <f t="shared" si="82"/>
        <v>381190.41378734552</v>
      </c>
      <c r="BO32" s="216">
        <f t="shared" si="82"/>
        <v>75832.493088734846</v>
      </c>
      <c r="BP32" s="216">
        <f t="shared" si="82"/>
        <v>353023.73660426558</v>
      </c>
      <c r="BQ32" s="216">
        <f t="shared" si="82"/>
        <v>65791.833957850627</v>
      </c>
      <c r="BR32" s="216">
        <f t="shared" si="82"/>
        <v>346973.91945816658</v>
      </c>
      <c r="BS32" s="221">
        <f t="shared" si="82"/>
        <v>1851531.2964083129</v>
      </c>
      <c r="BT32" s="218">
        <f t="shared" si="82"/>
        <v>0</v>
      </c>
      <c r="BU32" s="216">
        <f t="shared" si="82"/>
        <v>214213.46806459958</v>
      </c>
      <c r="BV32" s="216">
        <f t="shared" si="82"/>
        <v>0</v>
      </c>
      <c r="BW32" s="216">
        <f t="shared" si="82"/>
        <v>192184.83347742687</v>
      </c>
      <c r="BX32" s="216">
        <f t="shared" si="82"/>
        <v>0</v>
      </c>
      <c r="BY32" s="216">
        <f t="shared" si="82"/>
        <v>176535.86476284568</v>
      </c>
      <c r="BZ32" s="216">
        <f t="shared" si="82"/>
        <v>0</v>
      </c>
      <c r="CA32" s="216">
        <f t="shared" si="82"/>
        <v>152490.49612671562</v>
      </c>
      <c r="CB32" s="219">
        <f t="shared" si="82"/>
        <v>735424.6624315877</v>
      </c>
      <c r="CC32" s="218">
        <f t="shared" si="82"/>
        <v>2586955.9588399003</v>
      </c>
      <c r="CD32" s="300">
        <v>12</v>
      </c>
      <c r="CE32" s="219">
        <f t="shared" ref="CE32:CH32" si="83">CE23+CE30</f>
        <v>5506559.6717809867</v>
      </c>
      <c r="CF32" s="219">
        <f t="shared" si="83"/>
        <v>5711448.0315183951</v>
      </c>
      <c r="CG32" s="219">
        <f t="shared" si="83"/>
        <v>6208566.5996929212</v>
      </c>
      <c r="CH32" s="219">
        <f t="shared" si="83"/>
        <v>6746604.3634159267</v>
      </c>
      <c r="CI32" s="216">
        <f>SUM(BS32,AY32,AE32,K32)</f>
        <v>24173178.666408233</v>
      </c>
      <c r="CJ32" s="219">
        <f t="shared" ref="CJ32:CM32" si="84">CJ23+CJ30</f>
        <v>4295866.4432689287</v>
      </c>
      <c r="CK32" s="219">
        <f t="shared" si="84"/>
        <v>4044864.3614278622</v>
      </c>
      <c r="CL32" s="219">
        <f t="shared" si="84"/>
        <v>4428881.3729526633</v>
      </c>
      <c r="CM32" s="219">
        <f t="shared" si="84"/>
        <v>4617712.5150915533</v>
      </c>
      <c r="CN32" s="216">
        <f>SUM(BX32,BD32,AJ32,P32)</f>
        <v>0</v>
      </c>
      <c r="CO32" s="219">
        <f t="shared" ref="CO32:CR32" si="85">CO23+CO30</f>
        <v>9802426.1150499191</v>
      </c>
      <c r="CP32" s="219">
        <f t="shared" si="85"/>
        <v>9756312.39294626</v>
      </c>
      <c r="CQ32" s="219">
        <f t="shared" si="85"/>
        <v>10637447.972645584</v>
      </c>
      <c r="CR32" s="219">
        <f t="shared" si="85"/>
        <v>11364316.878507484</v>
      </c>
      <c r="CS32" s="216">
        <f>SUM(CC32,BI32,AO32,U32)</f>
        <v>41560503.359149247</v>
      </c>
      <c r="CT32" s="317"/>
      <c r="CU32" s="317"/>
      <c r="CV32" s="317"/>
      <c r="CW32" s="317"/>
      <c r="CX32" s="317"/>
      <c r="CY32" s="318"/>
      <c r="CZ32" s="318"/>
      <c r="DA32" s="318"/>
      <c r="DB32" s="318"/>
      <c r="DC32" s="318"/>
      <c r="DD32" s="318"/>
      <c r="DE32" s="318"/>
      <c r="DF32" s="318"/>
      <c r="DG32" s="318"/>
      <c r="DH32" s="318"/>
      <c r="DI32" s="318"/>
      <c r="DJ32" s="318"/>
      <c r="DK32" s="318"/>
      <c r="DL32" s="318"/>
      <c r="DM32" s="318"/>
      <c r="DN32" s="318"/>
      <c r="DO32" s="318"/>
      <c r="DP32" s="318"/>
      <c r="DQ32" s="318"/>
      <c r="DR32" s="318"/>
      <c r="DS32" s="318"/>
      <c r="DT32" s="318"/>
      <c r="DU32" s="318"/>
      <c r="DV32" s="318"/>
      <c r="DW32" s="318"/>
      <c r="DX32" s="318"/>
      <c r="DY32" s="318"/>
      <c r="DZ32" s="318"/>
      <c r="EA32" s="318"/>
    </row>
    <row r="33" spans="1:102" ht="15.75" customHeight="1">
      <c r="B33" s="193"/>
      <c r="C33" s="178"/>
      <c r="D33" s="178"/>
      <c r="E33" s="178"/>
      <c r="F33" s="178"/>
      <c r="G33" s="178"/>
      <c r="H33" s="178"/>
      <c r="I33" s="178"/>
      <c r="J33" s="178"/>
      <c r="K33" s="381"/>
      <c r="L33" s="382"/>
      <c r="M33" s="178"/>
      <c r="N33" s="178"/>
      <c r="O33" s="178"/>
      <c r="P33" s="178"/>
      <c r="Q33" s="178"/>
      <c r="R33" s="178"/>
      <c r="S33" s="178"/>
      <c r="T33" s="178"/>
      <c r="U33" s="382"/>
      <c r="V33" s="193"/>
      <c r="W33" s="178"/>
      <c r="X33" s="178"/>
      <c r="Y33" s="178"/>
      <c r="Z33" s="178"/>
      <c r="AA33" s="178"/>
      <c r="AB33" s="178"/>
      <c r="AC33" s="178"/>
      <c r="AD33" s="178"/>
      <c r="AE33" s="381"/>
      <c r="AF33" s="382"/>
      <c r="AG33" s="178"/>
      <c r="AH33" s="178"/>
      <c r="AI33" s="178"/>
      <c r="AJ33" s="178"/>
      <c r="AK33" s="178"/>
      <c r="AL33" s="178"/>
      <c r="AM33" s="178"/>
      <c r="AN33" s="178"/>
      <c r="AO33" s="382"/>
      <c r="AP33" s="193"/>
      <c r="AQ33" s="178"/>
      <c r="AR33" s="178"/>
      <c r="AS33" s="178"/>
      <c r="AT33" s="178"/>
      <c r="AU33" s="178"/>
      <c r="AV33" s="178"/>
      <c r="AW33" s="178"/>
      <c r="AX33" s="178"/>
      <c r="AY33" s="381"/>
      <c r="AZ33" s="382"/>
      <c r="BA33" s="178"/>
      <c r="BB33" s="178"/>
      <c r="BC33" s="178"/>
      <c r="BD33" s="178"/>
      <c r="BE33" s="178"/>
      <c r="BF33" s="178"/>
      <c r="BG33" s="178"/>
      <c r="BH33" s="178"/>
      <c r="BI33" s="382"/>
      <c r="BJ33" s="193"/>
      <c r="BK33" s="178"/>
      <c r="BL33" s="178"/>
      <c r="BM33" s="178"/>
      <c r="BN33" s="178"/>
      <c r="BO33" s="178"/>
      <c r="BP33" s="178"/>
      <c r="BQ33" s="178"/>
      <c r="BR33" s="178"/>
      <c r="BS33" s="381"/>
      <c r="BT33" s="382"/>
      <c r="BU33" s="178"/>
      <c r="BV33" s="178"/>
      <c r="BW33" s="178"/>
      <c r="BX33" s="178"/>
      <c r="BY33" s="178"/>
      <c r="BZ33" s="178"/>
      <c r="CA33" s="178"/>
      <c r="CB33" s="178"/>
      <c r="CC33" s="382"/>
      <c r="CD33" s="193"/>
      <c r="CE33" s="178"/>
      <c r="CF33" s="178"/>
      <c r="CG33" s="178"/>
      <c r="CH33" s="178"/>
      <c r="CI33" s="419"/>
      <c r="CJ33" s="178"/>
      <c r="CK33" s="178"/>
      <c r="CL33" s="178"/>
      <c r="CM33" s="178"/>
      <c r="CN33" s="419"/>
      <c r="CO33" s="178"/>
      <c r="CP33" s="178"/>
      <c r="CQ33" s="178"/>
      <c r="CR33" s="178"/>
      <c r="CS33" s="419"/>
      <c r="CT33" s="319"/>
      <c r="CU33" s="319"/>
      <c r="CV33" s="319"/>
      <c r="CW33" s="319"/>
      <c r="CX33" s="319"/>
    </row>
    <row r="34" spans="1:102"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2"/>
      <c r="V34" s="193"/>
      <c r="W34" s="178"/>
      <c r="X34" s="178"/>
      <c r="Y34" s="178"/>
      <c r="Z34" s="178"/>
      <c r="AA34" s="178"/>
      <c r="AB34" s="178"/>
      <c r="AC34" s="178"/>
      <c r="AD34" s="178"/>
      <c r="AE34" s="381"/>
      <c r="AF34" s="382"/>
      <c r="AG34" s="178"/>
      <c r="AH34" s="178"/>
      <c r="AI34" s="178"/>
      <c r="AJ34" s="178"/>
      <c r="AK34" s="178"/>
      <c r="AL34" s="178"/>
      <c r="AM34" s="178"/>
      <c r="AN34" s="178"/>
      <c r="AO34" s="382"/>
      <c r="AP34" s="193"/>
      <c r="AQ34" s="178"/>
      <c r="AR34" s="178"/>
      <c r="AS34" s="178"/>
      <c r="AT34" s="178"/>
      <c r="AU34" s="178"/>
      <c r="AV34" s="178"/>
      <c r="AW34" s="178"/>
      <c r="AX34" s="178"/>
      <c r="AY34" s="381"/>
      <c r="AZ34" s="382"/>
      <c r="BA34" s="178"/>
      <c r="BB34" s="178"/>
      <c r="BC34" s="178"/>
      <c r="BD34" s="178"/>
      <c r="BE34" s="178"/>
      <c r="BF34" s="178"/>
      <c r="BG34" s="178"/>
      <c r="BH34" s="178"/>
      <c r="BI34" s="382"/>
      <c r="BJ34" s="193"/>
      <c r="BK34" s="178"/>
      <c r="BL34" s="178"/>
      <c r="BM34" s="178"/>
      <c r="BN34" s="178"/>
      <c r="BO34" s="178"/>
      <c r="BP34" s="178"/>
      <c r="BQ34" s="178"/>
      <c r="BR34" s="178"/>
      <c r="BS34" s="381"/>
      <c r="BT34" s="382"/>
      <c r="BU34" s="178"/>
      <c r="BV34" s="178"/>
      <c r="BW34" s="178"/>
      <c r="BX34" s="178"/>
      <c r="BY34" s="178"/>
      <c r="BZ34" s="178"/>
      <c r="CA34" s="178"/>
      <c r="CB34" s="178"/>
      <c r="CC34" s="382"/>
      <c r="CD34" s="193"/>
      <c r="CE34" s="178"/>
      <c r="CF34" s="178"/>
      <c r="CG34" s="178"/>
      <c r="CH34" s="178"/>
      <c r="CI34" s="419"/>
      <c r="CJ34" s="178"/>
      <c r="CK34" s="178"/>
      <c r="CL34" s="178"/>
      <c r="CM34" s="178"/>
      <c r="CN34" s="419"/>
      <c r="CO34" s="178"/>
      <c r="CP34" s="178"/>
      <c r="CQ34" s="178"/>
      <c r="CR34" s="178"/>
      <c r="CS34" s="419"/>
      <c r="CT34" s="319"/>
      <c r="CV34" s="319"/>
      <c r="CX34" s="319"/>
    </row>
    <row r="35" spans="1:102" ht="15.75" customHeight="1">
      <c r="A35" s="88" t="s">
        <v>197</v>
      </c>
      <c r="B35" s="300">
        <v>13</v>
      </c>
      <c r="C35" s="231">
        <v>0</v>
      </c>
      <c r="D35" s="231">
        <v>8184.5287182862658</v>
      </c>
      <c r="E35" s="231">
        <v>57760.822330917923</v>
      </c>
      <c r="F35" s="231">
        <v>16335.224215308759</v>
      </c>
      <c r="G35" s="231">
        <v>4594.6532656175723</v>
      </c>
      <c r="H35" s="231">
        <v>6560.6892133339261</v>
      </c>
      <c r="I35" s="231">
        <v>46281.759567703783</v>
      </c>
      <c r="J35" s="231">
        <v>4973.1976374751657</v>
      </c>
      <c r="K35" s="412">
        <f t="shared" ref="K35:K64" si="86">SUM(C35:J35)</f>
        <v>144690.87494864338</v>
      </c>
      <c r="L35" s="417">
        <v>0</v>
      </c>
      <c r="M35" s="231">
        <v>68176.950623210883</v>
      </c>
      <c r="N35" s="231">
        <v>0</v>
      </c>
      <c r="O35" s="231">
        <v>153112.41653441105</v>
      </c>
      <c r="P35" s="231">
        <v>0</v>
      </c>
      <c r="Q35" s="231">
        <v>223945.9333786176</v>
      </c>
      <c r="R35" s="231">
        <v>0</v>
      </c>
      <c r="S35" s="231">
        <v>133994.06691417479</v>
      </c>
      <c r="T35" s="414">
        <f t="shared" ref="T35:T64" si="87">SUM(L35:S35)</f>
        <v>579229.36745041434</v>
      </c>
      <c r="U35" s="415">
        <f t="shared" ref="U35:U64" si="88">SUM(T35,K35)</f>
        <v>723920.24239905772</v>
      </c>
      <c r="V35" s="300">
        <v>13</v>
      </c>
      <c r="W35" s="231">
        <v>0</v>
      </c>
      <c r="X35" s="231">
        <v>4092.2643591431329</v>
      </c>
      <c r="Y35" s="231">
        <v>0</v>
      </c>
      <c r="Z35" s="231">
        <v>3267.0448430617521</v>
      </c>
      <c r="AA35" s="231">
        <v>0</v>
      </c>
      <c r="AB35" s="231">
        <v>0</v>
      </c>
      <c r="AC35" s="231">
        <v>0</v>
      </c>
      <c r="AD35" s="231">
        <v>0</v>
      </c>
      <c r="AE35" s="412">
        <f t="shared" ref="AE35:AE64" si="89">SUM(W35:AD35)</f>
        <v>7359.309202204885</v>
      </c>
      <c r="AF35" s="417">
        <v>0</v>
      </c>
      <c r="AG35" s="231">
        <v>52788.901006853972</v>
      </c>
      <c r="AH35" s="231">
        <v>0</v>
      </c>
      <c r="AI35" s="231">
        <v>24765.288119257053</v>
      </c>
      <c r="AJ35" s="231">
        <v>0</v>
      </c>
      <c r="AK35" s="231">
        <v>0</v>
      </c>
      <c r="AL35" s="231">
        <v>0</v>
      </c>
      <c r="AM35" s="231">
        <v>12069.11811668365</v>
      </c>
      <c r="AN35" s="414">
        <f t="shared" ref="AN35:AN64" si="90">SUM(AF35:AM35)</f>
        <v>89623.307242794675</v>
      </c>
      <c r="AO35" s="415">
        <f t="shared" ref="AO35:AO64" si="91">SUM(AN35,AE35)</f>
        <v>96982.616444999556</v>
      </c>
      <c r="AP35" s="300">
        <v>13</v>
      </c>
      <c r="AQ35" s="231">
        <v>103043.94661038493</v>
      </c>
      <c r="AR35" s="231">
        <v>41903.106929091133</v>
      </c>
      <c r="AS35" s="231">
        <v>29178.293788167106</v>
      </c>
      <c r="AT35" s="231">
        <v>43392.040814484018</v>
      </c>
      <c r="AU35" s="231">
        <v>43573.800307730227</v>
      </c>
      <c r="AV35" s="231">
        <v>22962.41224666874</v>
      </c>
      <c r="AW35" s="231">
        <v>118077.61777061653</v>
      </c>
      <c r="AX35" s="231">
        <v>28181.45327902594</v>
      </c>
      <c r="AY35" s="412">
        <f t="shared" ref="AY35:AY64" si="92">SUM(AQ35:AX35)</f>
        <v>430312.67174616863</v>
      </c>
      <c r="AZ35" s="417">
        <v>0</v>
      </c>
      <c r="BA35" s="231">
        <v>480716.05983675265</v>
      </c>
      <c r="BB35" s="231">
        <v>0</v>
      </c>
      <c r="BC35" s="231">
        <v>496288.74794372782</v>
      </c>
      <c r="BD35" s="231">
        <v>0</v>
      </c>
      <c r="BE35" s="231">
        <v>575263.89460354031</v>
      </c>
      <c r="BF35" s="231">
        <v>0</v>
      </c>
      <c r="BG35" s="231">
        <v>511642.96499133023</v>
      </c>
      <c r="BH35" s="414">
        <f t="shared" ref="BH35:BH64" si="93">SUM(AZ35:BG35)</f>
        <v>2063911.6673753508</v>
      </c>
      <c r="BI35" s="415">
        <f t="shared" ref="BI35:BI64" si="94">SUM(BH35,AY35)</f>
        <v>2494224.3391215196</v>
      </c>
      <c r="BJ35" s="300">
        <v>13</v>
      </c>
      <c r="BK35" s="231">
        <v>0</v>
      </c>
      <c r="BL35" s="231">
        <v>1364.0881197143776</v>
      </c>
      <c r="BM35" s="231">
        <v>0</v>
      </c>
      <c r="BN35" s="231">
        <v>3267.0448430617521</v>
      </c>
      <c r="BO35" s="231">
        <v>0</v>
      </c>
      <c r="BP35" s="231">
        <v>0</v>
      </c>
      <c r="BQ35" s="231">
        <v>0</v>
      </c>
      <c r="BR35" s="231">
        <v>0</v>
      </c>
      <c r="BS35" s="412">
        <f t="shared" ref="BS35:BS64" si="95">SUM(BK35:BR35)</f>
        <v>4631.1329627761297</v>
      </c>
      <c r="BT35" s="417">
        <v>0</v>
      </c>
      <c r="BU35" s="231">
        <v>18002.492940860026</v>
      </c>
      <c r="BV35" s="231">
        <v>0</v>
      </c>
      <c r="BW35" s="231">
        <v>14468.170317064263</v>
      </c>
      <c r="BX35" s="231">
        <v>0</v>
      </c>
      <c r="BY35" s="231">
        <v>18685.730831483343</v>
      </c>
      <c r="BZ35" s="231">
        <v>0</v>
      </c>
      <c r="CA35" s="231">
        <v>44949.536711768182</v>
      </c>
      <c r="CB35" s="414">
        <f t="shared" ref="CB35:CB64" si="96">SUM(BT35:CA35)</f>
        <v>96105.930801175811</v>
      </c>
      <c r="CC35" s="415">
        <f t="shared" ref="CC35:CC64" si="97">SUM(CB35,BS35)</f>
        <v>100737.06376395194</v>
      </c>
      <c r="CD35" s="300">
        <v>13</v>
      </c>
      <c r="CE35" s="414">
        <f t="shared" ref="CE35:CE64" si="98">+C35+D35+W35+X35+AQ35+AR35+BK35+BL35</f>
        <v>158587.93473661982</v>
      </c>
      <c r="CF35" s="414">
        <f t="shared" ref="CF35:CF64" si="99">+E35+F35+Y35+Z35+AS35+AT35+BM35+BN35</f>
        <v>153200.4708350013</v>
      </c>
      <c r="CG35" s="414">
        <f t="shared" ref="CG35:CG64" si="100">+G35+H35+AA35+AB35+AU35+AV35+BO35+BP35</f>
        <v>77691.555033350465</v>
      </c>
      <c r="CH35" s="414">
        <f t="shared" ref="CH35:CH64" si="101">+I35+J35+AC35+AD35+AW35+AX35+BQ35+BR35</f>
        <v>197514.02825482143</v>
      </c>
      <c r="CI35" s="416">
        <f t="shared" ref="CI35:CI64" si="102">SUM(K35,AE35,AY35,BS35)</f>
        <v>586993.98885979305</v>
      </c>
      <c r="CJ35" s="414">
        <f t="shared" ref="CJ35:CJ64" si="103">L35+M35+AF35+AG35+AZ35+BA35+BT35+BU35</f>
        <v>619684.40440767747</v>
      </c>
      <c r="CK35" s="414">
        <f t="shared" ref="CK35:CK64" si="104">N35+O35+AH35+AI35+BB35+BC35+BV35+BW35</f>
        <v>688634.62291446025</v>
      </c>
      <c r="CL35" s="414">
        <f t="shared" ref="CL35:CL64" si="105">P35+Q35+AJ35+AK35+BD35+BE35+BX35+BY35</f>
        <v>817895.55881364131</v>
      </c>
      <c r="CM35" s="414">
        <f t="shared" ref="CM35:CM64" si="106">+R35+S35+AL35+AM35+BF35+BG35+BZ35+CA35</f>
        <v>702655.6867339568</v>
      </c>
      <c r="CN35" s="416">
        <f t="shared" ref="CN35:CN64" si="107">SUM(T35,AN35,BH35,CB35)</f>
        <v>2828870.272869736</v>
      </c>
      <c r="CO35" s="414">
        <f t="shared" ref="CO35:CO64" si="108">+C35+D35+L35+M35+W35+X35+AF35+AG35+AQ35+AR35+AZ35+BA35+BK35+BL35+BT35+BU35</f>
        <v>778272.33914429741</v>
      </c>
      <c r="CP35" s="414">
        <f t="shared" ref="CP35:CP64" si="109">+E35+F35+N35+O35+Y35+Z35+AH35+AI35+AS35+AT35+BB35+BC35+BM35+BN35+BV35+BW35</f>
        <v>841835.09374946146</v>
      </c>
      <c r="CQ35" s="414">
        <f t="shared" ref="CQ35:CQ64" si="110">+G35+H35+P35+Q35+AA35+AB35+AJ35+AK35+AU35+AV35+BD35+BE35+BO35+BP35+BX35+BY35</f>
        <v>895587.11384699179</v>
      </c>
      <c r="CR35" s="414">
        <f t="shared" ref="CR35:CR64" si="111">+I35+J35+R35+S35+AC35+AD35+AL35+AM35+AW35+AX35+BF35+BG35+BQ35+BR35+BZ35+CA35</f>
        <v>900169.71498877823</v>
      </c>
      <c r="CS35" s="416">
        <f t="shared" ref="CS35:CS64" si="112">SUM(CC35,BI35,AO35,U35)</f>
        <v>3415864.2617295287</v>
      </c>
      <c r="CT35" s="319"/>
      <c r="CV35" s="319"/>
      <c r="CX35" s="319"/>
    </row>
    <row r="36" spans="1:102" ht="15.75" customHeight="1">
      <c r="A36" s="88" t="s">
        <v>199</v>
      </c>
      <c r="B36" s="300">
        <v>14</v>
      </c>
      <c r="C36" s="231">
        <v>0</v>
      </c>
      <c r="D36" s="231">
        <v>0</v>
      </c>
      <c r="E36" s="231">
        <v>0</v>
      </c>
      <c r="F36" s="231">
        <v>0</v>
      </c>
      <c r="G36" s="231">
        <v>0</v>
      </c>
      <c r="H36" s="231">
        <v>0</v>
      </c>
      <c r="I36" s="231">
        <v>0</v>
      </c>
      <c r="J36" s="231">
        <v>0</v>
      </c>
      <c r="K36" s="412">
        <f t="shared" si="86"/>
        <v>0</v>
      </c>
      <c r="L36" s="417">
        <v>0</v>
      </c>
      <c r="M36" s="231">
        <v>0</v>
      </c>
      <c r="N36" s="231">
        <v>0</v>
      </c>
      <c r="O36" s="231">
        <v>0</v>
      </c>
      <c r="P36" s="231">
        <v>0</v>
      </c>
      <c r="Q36" s="231">
        <v>0</v>
      </c>
      <c r="R36" s="231">
        <v>0</v>
      </c>
      <c r="S36" s="231">
        <v>0</v>
      </c>
      <c r="T36" s="414">
        <f t="shared" si="87"/>
        <v>0</v>
      </c>
      <c r="U36" s="415">
        <f t="shared" si="88"/>
        <v>0</v>
      </c>
      <c r="V36" s="300">
        <v>14</v>
      </c>
      <c r="W36" s="231">
        <v>0</v>
      </c>
      <c r="X36" s="231">
        <v>0</v>
      </c>
      <c r="Y36" s="231">
        <v>1705.8598390578591</v>
      </c>
      <c r="Z36" s="231">
        <v>0</v>
      </c>
      <c r="AA36" s="231">
        <v>0</v>
      </c>
      <c r="AB36" s="231">
        <v>0</v>
      </c>
      <c r="AC36" s="231">
        <v>0</v>
      </c>
      <c r="AD36" s="231">
        <v>0</v>
      </c>
      <c r="AE36" s="412">
        <f t="shared" si="89"/>
        <v>1705.8598390578591</v>
      </c>
      <c r="AF36" s="417">
        <v>0</v>
      </c>
      <c r="AG36" s="231">
        <v>0</v>
      </c>
      <c r="AH36" s="231">
        <v>0</v>
      </c>
      <c r="AI36" s="231">
        <v>0</v>
      </c>
      <c r="AJ36" s="231">
        <v>0</v>
      </c>
      <c r="AK36" s="231">
        <v>0</v>
      </c>
      <c r="AL36" s="231">
        <v>0</v>
      </c>
      <c r="AM36" s="231">
        <v>0</v>
      </c>
      <c r="AN36" s="414">
        <f t="shared" si="90"/>
        <v>0</v>
      </c>
      <c r="AO36" s="415">
        <f t="shared" si="91"/>
        <v>1705.8598390578591</v>
      </c>
      <c r="AP36" s="300">
        <v>14</v>
      </c>
      <c r="AQ36" s="231">
        <v>0</v>
      </c>
      <c r="AR36" s="231">
        <v>1364.0881197143776</v>
      </c>
      <c r="AS36" s="231">
        <v>0</v>
      </c>
      <c r="AT36" s="231">
        <v>0</v>
      </c>
      <c r="AU36" s="231">
        <v>0</v>
      </c>
      <c r="AV36" s="231">
        <v>1640.1723033334815</v>
      </c>
      <c r="AW36" s="231">
        <v>0</v>
      </c>
      <c r="AX36" s="231">
        <v>0</v>
      </c>
      <c r="AY36" s="412">
        <f t="shared" si="92"/>
        <v>3004.2604230478591</v>
      </c>
      <c r="AZ36" s="417">
        <v>0</v>
      </c>
      <c r="BA36" s="231">
        <v>30211.557362475647</v>
      </c>
      <c r="BB36" s="231">
        <v>0</v>
      </c>
      <c r="BC36" s="231">
        <v>0</v>
      </c>
      <c r="BD36" s="231">
        <v>0</v>
      </c>
      <c r="BE36" s="231">
        <v>27078.907164063425</v>
      </c>
      <c r="BF36" s="231">
        <v>0</v>
      </c>
      <c r="BG36" s="231">
        <v>17574.622234998333</v>
      </c>
      <c r="BH36" s="414">
        <f t="shared" si="93"/>
        <v>74865.086761537401</v>
      </c>
      <c r="BI36" s="415">
        <f t="shared" si="94"/>
        <v>77869.347184585262</v>
      </c>
      <c r="BJ36" s="300">
        <v>14</v>
      </c>
      <c r="BK36" s="231">
        <v>0</v>
      </c>
      <c r="BL36" s="231">
        <v>0</v>
      </c>
      <c r="BM36" s="231">
        <v>0</v>
      </c>
      <c r="BN36" s="231">
        <v>0</v>
      </c>
      <c r="BO36" s="231">
        <v>0</v>
      </c>
      <c r="BP36" s="231">
        <v>1640.1723033334815</v>
      </c>
      <c r="BQ36" s="231">
        <v>0</v>
      </c>
      <c r="BR36" s="231">
        <v>0</v>
      </c>
      <c r="BS36" s="412">
        <f t="shared" si="95"/>
        <v>1640.1723033334815</v>
      </c>
      <c r="BT36" s="417">
        <v>0</v>
      </c>
      <c r="BU36" s="231">
        <v>0</v>
      </c>
      <c r="BV36" s="231">
        <v>0</v>
      </c>
      <c r="BW36" s="231">
        <v>0</v>
      </c>
      <c r="BX36" s="231">
        <v>0</v>
      </c>
      <c r="BY36" s="231">
        <v>4317.083588917857</v>
      </c>
      <c r="BZ36" s="231">
        <v>0</v>
      </c>
      <c r="CA36" s="231">
        <v>0</v>
      </c>
      <c r="CB36" s="414">
        <f t="shared" si="96"/>
        <v>4317.083588917857</v>
      </c>
      <c r="CC36" s="415">
        <f t="shared" si="97"/>
        <v>5957.2558922513381</v>
      </c>
      <c r="CD36" s="300">
        <v>14</v>
      </c>
      <c r="CE36" s="414">
        <f t="shared" si="98"/>
        <v>1364.0881197143776</v>
      </c>
      <c r="CF36" s="414">
        <f t="shared" si="99"/>
        <v>1705.8598390578591</v>
      </c>
      <c r="CG36" s="414">
        <f t="shared" si="100"/>
        <v>3280.344606666963</v>
      </c>
      <c r="CH36" s="414">
        <f t="shared" si="101"/>
        <v>0</v>
      </c>
      <c r="CI36" s="416">
        <f t="shared" si="102"/>
        <v>6350.2925654392002</v>
      </c>
      <c r="CJ36" s="414">
        <f t="shared" si="103"/>
        <v>30211.557362475647</v>
      </c>
      <c r="CK36" s="414">
        <f t="shared" si="104"/>
        <v>0</v>
      </c>
      <c r="CL36" s="414">
        <f t="shared" si="105"/>
        <v>31395.990752981281</v>
      </c>
      <c r="CM36" s="414">
        <f t="shared" si="106"/>
        <v>17574.622234998333</v>
      </c>
      <c r="CN36" s="416">
        <f t="shared" si="107"/>
        <v>79182.170350455257</v>
      </c>
      <c r="CO36" s="414">
        <f t="shared" si="108"/>
        <v>31575.645482190026</v>
      </c>
      <c r="CP36" s="414">
        <f t="shared" si="109"/>
        <v>1705.8598390578591</v>
      </c>
      <c r="CQ36" s="414">
        <f t="shared" si="110"/>
        <v>34676.335359648248</v>
      </c>
      <c r="CR36" s="414">
        <f t="shared" si="111"/>
        <v>17574.622234998333</v>
      </c>
      <c r="CS36" s="416">
        <f t="shared" si="112"/>
        <v>85532.462915894459</v>
      </c>
      <c r="CT36" s="319"/>
      <c r="CV36" s="319"/>
      <c r="CX36" s="319"/>
    </row>
    <row r="37" spans="1:102" ht="15.75" customHeight="1">
      <c r="A37" s="88" t="s">
        <v>200</v>
      </c>
      <c r="B37" s="300">
        <v>15</v>
      </c>
      <c r="C37" s="231">
        <v>5996.6473817584556</v>
      </c>
      <c r="D37" s="231">
        <v>17407.074492186555</v>
      </c>
      <c r="E37" s="231">
        <v>26942.319889739647</v>
      </c>
      <c r="F37" s="231">
        <v>21135.998474125277</v>
      </c>
      <c r="G37" s="231">
        <v>20898.277513089412</v>
      </c>
      <c r="H37" s="231">
        <v>25022.2354979066</v>
      </c>
      <c r="I37" s="231">
        <v>7986.5125311589036</v>
      </c>
      <c r="J37" s="231">
        <v>7964.8258952193446</v>
      </c>
      <c r="K37" s="412">
        <f t="shared" si="86"/>
        <v>133353.89167518422</v>
      </c>
      <c r="L37" s="417">
        <v>0</v>
      </c>
      <c r="M37" s="231">
        <v>60390.125850448865</v>
      </c>
      <c r="N37" s="231">
        <v>0</v>
      </c>
      <c r="O37" s="231">
        <v>173180.17078718243</v>
      </c>
      <c r="P37" s="231">
        <v>0</v>
      </c>
      <c r="Q37" s="231">
        <v>174083.78615581495</v>
      </c>
      <c r="R37" s="231">
        <v>0</v>
      </c>
      <c r="S37" s="231">
        <v>185128.12587138978</v>
      </c>
      <c r="T37" s="414">
        <f t="shared" si="87"/>
        <v>592782.20866483601</v>
      </c>
      <c r="U37" s="415">
        <f t="shared" si="88"/>
        <v>726136.10034002026</v>
      </c>
      <c r="V37" s="300">
        <v>15</v>
      </c>
      <c r="W37" s="231">
        <v>1679.4484919069964</v>
      </c>
      <c r="X37" s="231">
        <v>7189.05441092198</v>
      </c>
      <c r="Y37" s="231">
        <v>892.34165074693078</v>
      </c>
      <c r="Z37" s="231">
        <v>2753.1559052932671</v>
      </c>
      <c r="AA37" s="231">
        <v>8062.1302760104527</v>
      </c>
      <c r="AB37" s="231">
        <v>2124.304534927724</v>
      </c>
      <c r="AC37" s="231">
        <v>522.02322913628211</v>
      </c>
      <c r="AD37" s="231">
        <v>161.08040877263315</v>
      </c>
      <c r="AE37" s="412">
        <f t="shared" si="89"/>
        <v>23383.538907716262</v>
      </c>
      <c r="AF37" s="417">
        <v>0</v>
      </c>
      <c r="AG37" s="231">
        <v>33228.989096910802</v>
      </c>
      <c r="AH37" s="231">
        <v>0</v>
      </c>
      <c r="AI37" s="231">
        <v>13339.520911156922</v>
      </c>
      <c r="AJ37" s="231">
        <v>0</v>
      </c>
      <c r="AK37" s="231">
        <v>9556.7381171429261</v>
      </c>
      <c r="AL37" s="231">
        <v>0</v>
      </c>
      <c r="AM37" s="231">
        <v>6591.1453455933079</v>
      </c>
      <c r="AN37" s="414">
        <f t="shared" si="90"/>
        <v>62716.39347080396</v>
      </c>
      <c r="AO37" s="415">
        <f t="shared" si="91"/>
        <v>86099.932378520229</v>
      </c>
      <c r="AP37" s="300">
        <v>15</v>
      </c>
      <c r="AQ37" s="231">
        <v>49180.417041306908</v>
      </c>
      <c r="AR37" s="231">
        <v>77152.31401809727</v>
      </c>
      <c r="AS37" s="231">
        <v>70284.073837521661</v>
      </c>
      <c r="AT37" s="231">
        <v>80290.920087339866</v>
      </c>
      <c r="AU37" s="231">
        <v>87567.884718114277</v>
      </c>
      <c r="AV37" s="231">
        <v>60638.496664190003</v>
      </c>
      <c r="AW37" s="231">
        <v>115020.42172130807</v>
      </c>
      <c r="AX37" s="231">
        <v>74109.431187179827</v>
      </c>
      <c r="AY37" s="412">
        <f t="shared" si="92"/>
        <v>614243.95927505789</v>
      </c>
      <c r="AZ37" s="417">
        <v>0</v>
      </c>
      <c r="BA37" s="231">
        <v>358776.4662554845</v>
      </c>
      <c r="BB37" s="231">
        <v>0</v>
      </c>
      <c r="BC37" s="231">
        <v>391222.36245762301</v>
      </c>
      <c r="BD37" s="231">
        <v>0</v>
      </c>
      <c r="BE37" s="231">
        <v>317855.31002595829</v>
      </c>
      <c r="BF37" s="231">
        <v>0</v>
      </c>
      <c r="BG37" s="231">
        <v>472771.28441213386</v>
      </c>
      <c r="BH37" s="414">
        <f t="shared" si="93"/>
        <v>1540625.4231511997</v>
      </c>
      <c r="BI37" s="415">
        <f t="shared" si="94"/>
        <v>2154869.3824262577</v>
      </c>
      <c r="BJ37" s="300">
        <v>15</v>
      </c>
      <c r="BK37" s="231">
        <v>3450.0728737512059</v>
      </c>
      <c r="BL37" s="231">
        <v>1775.4846958191456</v>
      </c>
      <c r="BM37" s="231">
        <v>0</v>
      </c>
      <c r="BN37" s="231">
        <v>977.21074763516799</v>
      </c>
      <c r="BO37" s="231">
        <v>1977.1613811709506</v>
      </c>
      <c r="BP37" s="231">
        <v>1831.1438358576409</v>
      </c>
      <c r="BQ37" s="231">
        <v>0</v>
      </c>
      <c r="BR37" s="231">
        <v>1668.8551998549478</v>
      </c>
      <c r="BS37" s="412">
        <f t="shared" si="95"/>
        <v>11679.928734089061</v>
      </c>
      <c r="BT37" s="417">
        <v>0</v>
      </c>
      <c r="BU37" s="231">
        <v>19910.696276203762</v>
      </c>
      <c r="BV37" s="231">
        <v>0</v>
      </c>
      <c r="BW37" s="231">
        <v>20499.957779397126</v>
      </c>
      <c r="BX37" s="231">
        <v>0</v>
      </c>
      <c r="BY37" s="231">
        <v>20504.842515551078</v>
      </c>
      <c r="BZ37" s="231">
        <v>0</v>
      </c>
      <c r="CA37" s="231">
        <v>11316.128627050068</v>
      </c>
      <c r="CB37" s="414">
        <f t="shared" si="96"/>
        <v>72231.625198202033</v>
      </c>
      <c r="CC37" s="415">
        <f t="shared" si="97"/>
        <v>83911.553932291092</v>
      </c>
      <c r="CD37" s="300">
        <v>15</v>
      </c>
      <c r="CE37" s="414">
        <f t="shared" si="98"/>
        <v>163830.5134057485</v>
      </c>
      <c r="CF37" s="414">
        <f t="shared" si="99"/>
        <v>203276.02059240179</v>
      </c>
      <c r="CG37" s="414">
        <f t="shared" si="100"/>
        <v>208121.63442126702</v>
      </c>
      <c r="CH37" s="414">
        <f t="shared" si="101"/>
        <v>207433.15017262998</v>
      </c>
      <c r="CI37" s="416">
        <f t="shared" si="102"/>
        <v>782661.31859204732</v>
      </c>
      <c r="CJ37" s="414">
        <f t="shared" si="103"/>
        <v>472306.27747904795</v>
      </c>
      <c r="CK37" s="414">
        <f t="shared" si="104"/>
        <v>598242.01193535945</v>
      </c>
      <c r="CL37" s="414">
        <f t="shared" si="105"/>
        <v>522000.67681446724</v>
      </c>
      <c r="CM37" s="414">
        <f t="shared" si="106"/>
        <v>675806.68425616703</v>
      </c>
      <c r="CN37" s="416">
        <f t="shared" si="107"/>
        <v>2268355.650485042</v>
      </c>
      <c r="CO37" s="414">
        <f t="shared" si="108"/>
        <v>636136.7908847963</v>
      </c>
      <c r="CP37" s="414">
        <f t="shared" si="109"/>
        <v>801518.03252776142</v>
      </c>
      <c r="CQ37" s="414">
        <f t="shared" si="110"/>
        <v>730122.31123573426</v>
      </c>
      <c r="CR37" s="414">
        <f t="shared" si="111"/>
        <v>883239.83442879701</v>
      </c>
      <c r="CS37" s="416">
        <f t="shared" si="112"/>
        <v>3051016.9690770893</v>
      </c>
      <c r="CT37" s="319"/>
    </row>
    <row r="38" spans="1:102" ht="15.75" customHeight="1">
      <c r="A38" s="88" t="s">
        <v>201</v>
      </c>
      <c r="B38" s="300">
        <v>16</v>
      </c>
      <c r="C38" s="231">
        <v>0</v>
      </c>
      <c r="D38" s="231">
        <v>833.08381698362746</v>
      </c>
      <c r="E38" s="231">
        <v>0</v>
      </c>
      <c r="F38" s="231">
        <v>1399.2741051639207</v>
      </c>
      <c r="G38" s="231">
        <v>1159.6379987281687</v>
      </c>
      <c r="H38" s="231">
        <v>1622.2630689919358</v>
      </c>
      <c r="I38" s="231">
        <v>2138.0178887432298</v>
      </c>
      <c r="J38" s="231">
        <v>2507.168110436699</v>
      </c>
      <c r="K38" s="412">
        <f t="shared" si="86"/>
        <v>9659.4449890475807</v>
      </c>
      <c r="L38" s="417">
        <v>0</v>
      </c>
      <c r="M38" s="231">
        <v>1141.1969991247629</v>
      </c>
      <c r="N38" s="231">
        <v>0</v>
      </c>
      <c r="O38" s="231">
        <v>5913.5495271263353</v>
      </c>
      <c r="P38" s="231">
        <v>0</v>
      </c>
      <c r="Q38" s="231">
        <v>9956.5695613197113</v>
      </c>
      <c r="R38" s="231">
        <v>0</v>
      </c>
      <c r="S38" s="231">
        <v>5616.7111687412507</v>
      </c>
      <c r="T38" s="414">
        <f t="shared" si="87"/>
        <v>22628.02725631206</v>
      </c>
      <c r="U38" s="415">
        <f t="shared" si="88"/>
        <v>32287.472245359641</v>
      </c>
      <c r="V38" s="300">
        <v>16</v>
      </c>
      <c r="W38" s="231">
        <v>1953.696208233443</v>
      </c>
      <c r="X38" s="231">
        <v>2851.5742109035045</v>
      </c>
      <c r="Y38" s="231">
        <v>888.57814320712941</v>
      </c>
      <c r="Z38" s="231">
        <v>768.01578066215745</v>
      </c>
      <c r="AA38" s="231">
        <v>928.21491276701613</v>
      </c>
      <c r="AB38" s="231">
        <v>379.37024574897214</v>
      </c>
      <c r="AC38" s="231">
        <v>833.83337594505508</v>
      </c>
      <c r="AD38" s="231">
        <v>65.527160864690131</v>
      </c>
      <c r="AE38" s="412">
        <f t="shared" si="89"/>
        <v>8668.8100383319688</v>
      </c>
      <c r="AF38" s="417">
        <v>0</v>
      </c>
      <c r="AG38" s="231">
        <v>5754.4280275266365</v>
      </c>
      <c r="AH38" s="231">
        <v>0</v>
      </c>
      <c r="AI38" s="231">
        <v>7073.5113513203241</v>
      </c>
      <c r="AJ38" s="231">
        <v>0</v>
      </c>
      <c r="AK38" s="231">
        <v>3000.9167667436095</v>
      </c>
      <c r="AL38" s="231">
        <v>0</v>
      </c>
      <c r="AM38" s="231">
        <v>5513.657397199876</v>
      </c>
      <c r="AN38" s="414">
        <f t="shared" si="90"/>
        <v>21342.513542790446</v>
      </c>
      <c r="AO38" s="415">
        <f t="shared" si="91"/>
        <v>30011.323581122415</v>
      </c>
      <c r="AP38" s="300">
        <v>16</v>
      </c>
      <c r="AQ38" s="231">
        <v>0</v>
      </c>
      <c r="AR38" s="231">
        <v>8837.340889771569</v>
      </c>
      <c r="AS38" s="231">
        <v>0</v>
      </c>
      <c r="AT38" s="231">
        <v>9388.6200711058973</v>
      </c>
      <c r="AU38" s="231">
        <v>214.13695629366723</v>
      </c>
      <c r="AV38" s="231">
        <v>9546.3153592456547</v>
      </c>
      <c r="AW38" s="231">
        <v>2645.5562734533687</v>
      </c>
      <c r="AX38" s="231">
        <v>10616.720557818509</v>
      </c>
      <c r="AY38" s="412">
        <f t="shared" si="92"/>
        <v>41248.690107688664</v>
      </c>
      <c r="AZ38" s="417">
        <v>0</v>
      </c>
      <c r="BA38" s="231">
        <v>36335.674842014749</v>
      </c>
      <c r="BB38" s="231">
        <v>0</v>
      </c>
      <c r="BC38" s="231">
        <v>45828.198304325291</v>
      </c>
      <c r="BD38" s="231">
        <v>0</v>
      </c>
      <c r="BE38" s="231">
        <v>40872.593344729881</v>
      </c>
      <c r="BF38" s="231">
        <v>0</v>
      </c>
      <c r="BG38" s="231">
        <v>57113.75940818902</v>
      </c>
      <c r="BH38" s="414">
        <f t="shared" si="93"/>
        <v>180150.22589925895</v>
      </c>
      <c r="BI38" s="415">
        <f t="shared" si="94"/>
        <v>221398.91600694761</v>
      </c>
      <c r="BJ38" s="300">
        <v>16</v>
      </c>
      <c r="BK38" s="231">
        <v>0</v>
      </c>
      <c r="BL38" s="231">
        <v>1057.2582985929935</v>
      </c>
      <c r="BM38" s="231">
        <v>0</v>
      </c>
      <c r="BN38" s="231">
        <v>490.81743543007371</v>
      </c>
      <c r="BO38" s="231">
        <v>0</v>
      </c>
      <c r="BP38" s="231">
        <v>279.75389850239458</v>
      </c>
      <c r="BQ38" s="231">
        <v>0</v>
      </c>
      <c r="BR38" s="231">
        <v>191.65501026119574</v>
      </c>
      <c r="BS38" s="412">
        <f t="shared" si="95"/>
        <v>2019.4846427866573</v>
      </c>
      <c r="BT38" s="417">
        <v>0</v>
      </c>
      <c r="BU38" s="231">
        <v>2118.3898786792815</v>
      </c>
      <c r="BV38" s="231">
        <v>0</v>
      </c>
      <c r="BW38" s="231">
        <v>3606.2269734935085</v>
      </c>
      <c r="BX38" s="231">
        <v>0</v>
      </c>
      <c r="BY38" s="231">
        <v>2167.1043584545519</v>
      </c>
      <c r="BZ38" s="231">
        <v>0</v>
      </c>
      <c r="CA38" s="231">
        <v>2691.3065412509768</v>
      </c>
      <c r="CB38" s="414">
        <f t="shared" si="96"/>
        <v>10583.027751878319</v>
      </c>
      <c r="CC38" s="415">
        <f t="shared" si="97"/>
        <v>12602.512394664976</v>
      </c>
      <c r="CD38" s="300">
        <v>16</v>
      </c>
      <c r="CE38" s="414">
        <f t="shared" si="98"/>
        <v>15532.953424485137</v>
      </c>
      <c r="CF38" s="414">
        <f t="shared" si="99"/>
        <v>12935.305535569178</v>
      </c>
      <c r="CG38" s="414">
        <f t="shared" si="100"/>
        <v>14129.69244027781</v>
      </c>
      <c r="CH38" s="414">
        <f t="shared" si="101"/>
        <v>18998.478377522748</v>
      </c>
      <c r="CI38" s="416">
        <f t="shared" si="102"/>
        <v>61596.429777854872</v>
      </c>
      <c r="CJ38" s="414">
        <f t="shared" si="103"/>
        <v>45349.68974734543</v>
      </c>
      <c r="CK38" s="414">
        <f t="shared" si="104"/>
        <v>62421.486156265462</v>
      </c>
      <c r="CL38" s="414">
        <f t="shared" si="105"/>
        <v>55997.184031247758</v>
      </c>
      <c r="CM38" s="414">
        <f t="shared" si="106"/>
        <v>70935.43451538113</v>
      </c>
      <c r="CN38" s="416">
        <f t="shared" si="107"/>
        <v>234703.79445023977</v>
      </c>
      <c r="CO38" s="414">
        <f t="shared" si="108"/>
        <v>60882.643171830568</v>
      </c>
      <c r="CP38" s="414">
        <f t="shared" si="109"/>
        <v>75356.791691834645</v>
      </c>
      <c r="CQ38" s="414">
        <f t="shared" si="110"/>
        <v>70126.876471525567</v>
      </c>
      <c r="CR38" s="414">
        <f t="shared" si="111"/>
        <v>89933.912892903871</v>
      </c>
      <c r="CS38" s="416">
        <f t="shared" si="112"/>
        <v>296300.22422809462</v>
      </c>
      <c r="CT38" s="319"/>
    </row>
    <row r="39" spans="1:102" ht="15.75" customHeight="1">
      <c r="A39" s="88" t="s">
        <v>202</v>
      </c>
      <c r="B39" s="300">
        <v>17</v>
      </c>
      <c r="C39" s="231">
        <v>6692.5223350875285</v>
      </c>
      <c r="D39" s="231">
        <v>22434.759279230024</v>
      </c>
      <c r="E39" s="231">
        <v>20640.54671957039</v>
      </c>
      <c r="F39" s="231">
        <v>16548.222727135817</v>
      </c>
      <c r="G39" s="231">
        <v>14168.113878486409</v>
      </c>
      <c r="H39" s="231">
        <v>21013.119724548906</v>
      </c>
      <c r="I39" s="231">
        <v>10264.218765307687</v>
      </c>
      <c r="J39" s="231">
        <v>8667.2799038377925</v>
      </c>
      <c r="K39" s="412">
        <f t="shared" si="86"/>
        <v>120428.78333320454</v>
      </c>
      <c r="L39" s="417">
        <v>0</v>
      </c>
      <c r="M39" s="231">
        <v>47114.104401375349</v>
      </c>
      <c r="N39" s="231">
        <v>0</v>
      </c>
      <c r="O39" s="231">
        <v>106402.13158045674</v>
      </c>
      <c r="P39" s="231">
        <v>0</v>
      </c>
      <c r="Q39" s="231">
        <v>105920.40751935111</v>
      </c>
      <c r="R39" s="231">
        <v>0</v>
      </c>
      <c r="S39" s="231">
        <v>85689.501860743156</v>
      </c>
      <c r="T39" s="414">
        <f t="shared" si="87"/>
        <v>345126.14536192635</v>
      </c>
      <c r="U39" s="415">
        <f t="shared" si="88"/>
        <v>465554.92869513086</v>
      </c>
      <c r="V39" s="300">
        <v>17</v>
      </c>
      <c r="W39" s="231">
        <v>1329.8959109071677</v>
      </c>
      <c r="X39" s="231">
        <v>6585.7354366834988</v>
      </c>
      <c r="Y39" s="231">
        <v>786.90338366110836</v>
      </c>
      <c r="Z39" s="231">
        <v>3178.8026024476817</v>
      </c>
      <c r="AA39" s="231">
        <v>3048.8210199519308</v>
      </c>
      <c r="AB39" s="231">
        <v>2316.2609748399154</v>
      </c>
      <c r="AC39" s="231">
        <v>590.9430534219623</v>
      </c>
      <c r="AD39" s="231">
        <v>420.93404840067581</v>
      </c>
      <c r="AE39" s="412">
        <f t="shared" si="89"/>
        <v>18258.296430313942</v>
      </c>
      <c r="AF39" s="417">
        <v>0</v>
      </c>
      <c r="AG39" s="231">
        <v>19887.47002799431</v>
      </c>
      <c r="AH39" s="231">
        <v>0</v>
      </c>
      <c r="AI39" s="231">
        <v>14221.457309258718</v>
      </c>
      <c r="AJ39" s="231">
        <v>0</v>
      </c>
      <c r="AK39" s="231">
        <v>12246.501381890306</v>
      </c>
      <c r="AL39" s="231">
        <v>0</v>
      </c>
      <c r="AM39" s="231">
        <v>11829.050483325658</v>
      </c>
      <c r="AN39" s="414">
        <f t="shared" si="90"/>
        <v>58184.479202468996</v>
      </c>
      <c r="AO39" s="415">
        <f t="shared" si="91"/>
        <v>76442.775632782941</v>
      </c>
      <c r="AP39" s="300">
        <v>17</v>
      </c>
      <c r="AQ39" s="231">
        <v>52098.175527696287</v>
      </c>
      <c r="AR39" s="231">
        <v>93489.019364733686</v>
      </c>
      <c r="AS39" s="231">
        <v>42923.904517578383</v>
      </c>
      <c r="AT39" s="231">
        <v>67820.908199364349</v>
      </c>
      <c r="AU39" s="231">
        <v>68831.609572733243</v>
      </c>
      <c r="AV39" s="231">
        <v>71604.184170493158</v>
      </c>
      <c r="AW39" s="231">
        <v>79947.757997007488</v>
      </c>
      <c r="AX39" s="231">
        <v>69605.182927419693</v>
      </c>
      <c r="AY39" s="412">
        <f t="shared" si="92"/>
        <v>546320.74227702629</v>
      </c>
      <c r="AZ39" s="417">
        <v>0</v>
      </c>
      <c r="BA39" s="231">
        <v>272006.70388679352</v>
      </c>
      <c r="BB39" s="231">
        <v>0</v>
      </c>
      <c r="BC39" s="231">
        <v>274680.60672587564</v>
      </c>
      <c r="BD39" s="231">
        <v>0</v>
      </c>
      <c r="BE39" s="231">
        <v>328124.44339393161</v>
      </c>
      <c r="BF39" s="231">
        <v>0</v>
      </c>
      <c r="BG39" s="231">
        <v>379974.89894780488</v>
      </c>
      <c r="BH39" s="414">
        <f t="shared" si="93"/>
        <v>1254786.6529544056</v>
      </c>
      <c r="BI39" s="415">
        <f t="shared" si="94"/>
        <v>1801107.3952314318</v>
      </c>
      <c r="BJ39" s="300">
        <v>17</v>
      </c>
      <c r="BK39" s="231">
        <v>1146.7040767654667</v>
      </c>
      <c r="BL39" s="231">
        <v>6820.6006089085122</v>
      </c>
      <c r="BM39" s="231">
        <v>347.53389704640654</v>
      </c>
      <c r="BN39" s="231">
        <v>2042.9640157413044</v>
      </c>
      <c r="BO39" s="231">
        <v>905.81329472700179</v>
      </c>
      <c r="BP39" s="231">
        <v>2285.9499474694876</v>
      </c>
      <c r="BQ39" s="231">
        <v>198.83648642478835</v>
      </c>
      <c r="BR39" s="231">
        <v>786.01104245397426</v>
      </c>
      <c r="BS39" s="412">
        <f t="shared" si="95"/>
        <v>14534.413369536944</v>
      </c>
      <c r="BT39" s="417">
        <v>0</v>
      </c>
      <c r="BU39" s="231">
        <v>16165.238691885635</v>
      </c>
      <c r="BV39" s="231">
        <v>0</v>
      </c>
      <c r="BW39" s="231">
        <v>16965.300616734738</v>
      </c>
      <c r="BX39" s="231">
        <v>0</v>
      </c>
      <c r="BY39" s="231">
        <v>16466.948880914031</v>
      </c>
      <c r="BZ39" s="231">
        <v>0</v>
      </c>
      <c r="CA39" s="231">
        <v>18842.870377984735</v>
      </c>
      <c r="CB39" s="414">
        <f t="shared" si="96"/>
        <v>68440.358567519143</v>
      </c>
      <c r="CC39" s="415">
        <f t="shared" si="97"/>
        <v>82974.771937056081</v>
      </c>
      <c r="CD39" s="300">
        <v>17</v>
      </c>
      <c r="CE39" s="414">
        <f t="shared" si="98"/>
        <v>190597.41254001216</v>
      </c>
      <c r="CF39" s="414">
        <f t="shared" si="99"/>
        <v>154289.78606254543</v>
      </c>
      <c r="CG39" s="414">
        <f t="shared" si="100"/>
        <v>184173.87258325008</v>
      </c>
      <c r="CH39" s="414">
        <f t="shared" si="101"/>
        <v>170481.16422427405</v>
      </c>
      <c r="CI39" s="416">
        <f t="shared" si="102"/>
        <v>699542.2354100818</v>
      </c>
      <c r="CJ39" s="414">
        <f t="shared" si="103"/>
        <v>355173.51700804883</v>
      </c>
      <c r="CK39" s="414">
        <f t="shared" si="104"/>
        <v>412269.49623232585</v>
      </c>
      <c r="CL39" s="414">
        <f t="shared" si="105"/>
        <v>462758.30117608706</v>
      </c>
      <c r="CM39" s="414">
        <f t="shared" si="106"/>
        <v>496336.32166985841</v>
      </c>
      <c r="CN39" s="416">
        <f t="shared" si="107"/>
        <v>1726537.63608632</v>
      </c>
      <c r="CO39" s="414">
        <f t="shared" si="108"/>
        <v>545770.92954806087</v>
      </c>
      <c r="CP39" s="414">
        <f t="shared" si="109"/>
        <v>566559.28229487129</v>
      </c>
      <c r="CQ39" s="414">
        <f t="shared" si="110"/>
        <v>646932.17375933717</v>
      </c>
      <c r="CR39" s="414">
        <f t="shared" si="111"/>
        <v>666817.48589413241</v>
      </c>
      <c r="CS39" s="416">
        <f t="shared" si="112"/>
        <v>2426079.8714964017</v>
      </c>
      <c r="CT39" s="319"/>
    </row>
    <row r="40" spans="1:102" ht="15.75" customHeight="1">
      <c r="A40" s="88" t="s">
        <v>203</v>
      </c>
      <c r="B40" s="300">
        <v>18</v>
      </c>
      <c r="C40" s="231">
        <v>300.0193811688514</v>
      </c>
      <c r="D40" s="231">
        <v>2861.3848446677252</v>
      </c>
      <c r="E40" s="231">
        <v>916.20389004184278</v>
      </c>
      <c r="F40" s="231">
        <v>5060.8566522053443</v>
      </c>
      <c r="G40" s="231">
        <v>0</v>
      </c>
      <c r="H40" s="231">
        <v>5451.3216916968968</v>
      </c>
      <c r="I40" s="231">
        <v>461.51395967868501</v>
      </c>
      <c r="J40" s="231">
        <v>4080.5919544826615</v>
      </c>
      <c r="K40" s="412">
        <f t="shared" si="86"/>
        <v>19131.89237394201</v>
      </c>
      <c r="L40" s="417">
        <v>0</v>
      </c>
      <c r="M40" s="231">
        <v>0</v>
      </c>
      <c r="N40" s="231">
        <v>0</v>
      </c>
      <c r="O40" s="231">
        <v>0</v>
      </c>
      <c r="P40" s="231">
        <v>0</v>
      </c>
      <c r="Q40" s="231">
        <v>0</v>
      </c>
      <c r="R40" s="231">
        <v>0</v>
      </c>
      <c r="S40" s="231">
        <v>0</v>
      </c>
      <c r="T40" s="414">
        <f t="shared" si="87"/>
        <v>0</v>
      </c>
      <c r="U40" s="415">
        <f t="shared" si="88"/>
        <v>19131.89237394201</v>
      </c>
      <c r="V40" s="300">
        <v>18</v>
      </c>
      <c r="W40" s="231">
        <v>0</v>
      </c>
      <c r="X40" s="231">
        <v>469.11030439561597</v>
      </c>
      <c r="Y40" s="231">
        <v>180.16791413943486</v>
      </c>
      <c r="Z40" s="231">
        <v>836.83992386342175</v>
      </c>
      <c r="AA40" s="231">
        <v>180.90135698531046</v>
      </c>
      <c r="AB40" s="231">
        <v>1304.0173817532223</v>
      </c>
      <c r="AC40" s="231">
        <v>0</v>
      </c>
      <c r="AD40" s="231">
        <v>350.43978450345838</v>
      </c>
      <c r="AE40" s="412">
        <f t="shared" si="89"/>
        <v>3321.4766656404636</v>
      </c>
      <c r="AF40" s="417">
        <v>0</v>
      </c>
      <c r="AG40" s="231">
        <v>0</v>
      </c>
      <c r="AH40" s="231">
        <v>0</v>
      </c>
      <c r="AI40" s="231">
        <v>0</v>
      </c>
      <c r="AJ40" s="231">
        <v>0</v>
      </c>
      <c r="AK40" s="231">
        <v>0</v>
      </c>
      <c r="AL40" s="231">
        <v>0</v>
      </c>
      <c r="AM40" s="231">
        <v>0</v>
      </c>
      <c r="AN40" s="414">
        <f t="shared" si="90"/>
        <v>0</v>
      </c>
      <c r="AO40" s="415">
        <f t="shared" si="91"/>
        <v>3321.4766656404636</v>
      </c>
      <c r="AP40" s="300">
        <v>18</v>
      </c>
      <c r="AQ40" s="231">
        <v>1318.9552041405434</v>
      </c>
      <c r="AR40" s="231">
        <v>8463.9767705529703</v>
      </c>
      <c r="AS40" s="231">
        <v>3325.9997882996004</v>
      </c>
      <c r="AT40" s="231">
        <v>9719.648585351415</v>
      </c>
      <c r="AU40" s="231">
        <v>1694.7743629168813</v>
      </c>
      <c r="AV40" s="231">
        <v>7564.6816945270111</v>
      </c>
      <c r="AW40" s="231">
        <v>4974.3149817156118</v>
      </c>
      <c r="AX40" s="231">
        <v>10072.888800643708</v>
      </c>
      <c r="AY40" s="412">
        <f t="shared" si="92"/>
        <v>47135.240188147742</v>
      </c>
      <c r="AZ40" s="417">
        <v>0</v>
      </c>
      <c r="BA40" s="231">
        <v>0</v>
      </c>
      <c r="BB40" s="231">
        <v>0</v>
      </c>
      <c r="BC40" s="231">
        <v>0</v>
      </c>
      <c r="BD40" s="231">
        <v>0</v>
      </c>
      <c r="BE40" s="231">
        <v>0</v>
      </c>
      <c r="BF40" s="231">
        <v>0</v>
      </c>
      <c r="BG40" s="231">
        <v>0</v>
      </c>
      <c r="BH40" s="414">
        <f t="shared" si="93"/>
        <v>0</v>
      </c>
      <c r="BI40" s="415">
        <f t="shared" si="94"/>
        <v>47135.240188147742</v>
      </c>
      <c r="BJ40" s="300">
        <v>18</v>
      </c>
      <c r="BK40" s="231">
        <v>0</v>
      </c>
      <c r="BL40" s="231">
        <v>516.99339763016474</v>
      </c>
      <c r="BM40" s="231">
        <v>0</v>
      </c>
      <c r="BN40" s="231">
        <v>348.48478325992016</v>
      </c>
      <c r="BO40" s="231">
        <v>0</v>
      </c>
      <c r="BP40" s="231">
        <v>209.20236927812348</v>
      </c>
      <c r="BQ40" s="231">
        <v>0</v>
      </c>
      <c r="BR40" s="231">
        <v>211.44216099199971</v>
      </c>
      <c r="BS40" s="412">
        <f t="shared" si="95"/>
        <v>1286.1227111602082</v>
      </c>
      <c r="BT40" s="417">
        <v>0</v>
      </c>
      <c r="BU40" s="231">
        <v>0</v>
      </c>
      <c r="BV40" s="231">
        <v>0</v>
      </c>
      <c r="BW40" s="231">
        <v>0</v>
      </c>
      <c r="BX40" s="231">
        <v>0</v>
      </c>
      <c r="BY40" s="231">
        <v>0</v>
      </c>
      <c r="BZ40" s="231">
        <v>0</v>
      </c>
      <c r="CA40" s="231">
        <v>0</v>
      </c>
      <c r="CB40" s="414">
        <f t="shared" si="96"/>
        <v>0</v>
      </c>
      <c r="CC40" s="415">
        <f t="shared" si="97"/>
        <v>1286.1227111602082</v>
      </c>
      <c r="CD40" s="300">
        <v>18</v>
      </c>
      <c r="CE40" s="414">
        <f t="shared" si="98"/>
        <v>13930.439902555871</v>
      </c>
      <c r="CF40" s="414">
        <f t="shared" si="99"/>
        <v>20388.201537160981</v>
      </c>
      <c r="CG40" s="414">
        <f t="shared" si="100"/>
        <v>16404.898857157445</v>
      </c>
      <c r="CH40" s="414">
        <f t="shared" si="101"/>
        <v>20151.191642016125</v>
      </c>
      <c r="CI40" s="416">
        <f t="shared" si="102"/>
        <v>70874.731938890429</v>
      </c>
      <c r="CJ40" s="414">
        <f t="shared" si="103"/>
        <v>0</v>
      </c>
      <c r="CK40" s="414">
        <f t="shared" si="104"/>
        <v>0</v>
      </c>
      <c r="CL40" s="414">
        <f t="shared" si="105"/>
        <v>0</v>
      </c>
      <c r="CM40" s="414">
        <f t="shared" si="106"/>
        <v>0</v>
      </c>
      <c r="CN40" s="416">
        <f t="shared" si="107"/>
        <v>0</v>
      </c>
      <c r="CO40" s="414">
        <f t="shared" si="108"/>
        <v>13930.439902555871</v>
      </c>
      <c r="CP40" s="414">
        <f t="shared" si="109"/>
        <v>20388.201537160981</v>
      </c>
      <c r="CQ40" s="414">
        <f t="shared" si="110"/>
        <v>16404.898857157445</v>
      </c>
      <c r="CR40" s="414">
        <f t="shared" si="111"/>
        <v>20151.191642016125</v>
      </c>
      <c r="CS40" s="416">
        <f t="shared" si="112"/>
        <v>70874.731938890414</v>
      </c>
      <c r="CT40" s="319"/>
    </row>
    <row r="41" spans="1:102" ht="15.75" customHeight="1">
      <c r="A41" s="88" t="s">
        <v>204</v>
      </c>
      <c r="B41" s="300">
        <v>19</v>
      </c>
      <c r="C41" s="231">
        <v>143</v>
      </c>
      <c r="D41" s="231">
        <v>13628.541456171819</v>
      </c>
      <c r="E41" s="231">
        <v>3649</v>
      </c>
      <c r="F41" s="231">
        <v>23417.26</v>
      </c>
      <c r="G41" s="231">
        <v>10378</v>
      </c>
      <c r="H41" s="231">
        <v>37586</v>
      </c>
      <c r="I41" s="231">
        <v>5432</v>
      </c>
      <c r="J41" s="231">
        <v>36390</v>
      </c>
      <c r="K41" s="412">
        <f t="shared" si="86"/>
        <v>130623.80145617182</v>
      </c>
      <c r="L41" s="417">
        <v>0</v>
      </c>
      <c r="M41" s="231">
        <v>1648.7935502172018</v>
      </c>
      <c r="N41" s="231">
        <v>0</v>
      </c>
      <c r="O41" s="231">
        <v>549.80038864924279</v>
      </c>
      <c r="P41" s="231">
        <v>0</v>
      </c>
      <c r="Q41" s="231">
        <v>0</v>
      </c>
      <c r="R41" s="231">
        <v>0</v>
      </c>
      <c r="S41" s="231">
        <v>0</v>
      </c>
      <c r="T41" s="414">
        <f t="shared" si="87"/>
        <v>2198.5939388664447</v>
      </c>
      <c r="U41" s="415">
        <f t="shared" si="88"/>
        <v>132822.39539503827</v>
      </c>
      <c r="V41" s="300">
        <v>19</v>
      </c>
      <c r="W41" s="231">
        <v>0</v>
      </c>
      <c r="X41" s="231">
        <v>7770</v>
      </c>
      <c r="Y41" s="231">
        <v>0</v>
      </c>
      <c r="Z41" s="231">
        <v>2117</v>
      </c>
      <c r="AA41" s="231">
        <v>0</v>
      </c>
      <c r="AB41" s="231">
        <v>5460</v>
      </c>
      <c r="AC41" s="231">
        <v>0</v>
      </c>
      <c r="AD41" s="231">
        <v>5507</v>
      </c>
      <c r="AE41" s="412">
        <f t="shared" si="89"/>
        <v>20854</v>
      </c>
      <c r="AF41" s="417">
        <v>0</v>
      </c>
      <c r="AG41" s="231">
        <v>0</v>
      </c>
      <c r="AH41" s="231">
        <v>0</v>
      </c>
      <c r="AI41" s="231">
        <v>0</v>
      </c>
      <c r="AJ41" s="231">
        <v>0</v>
      </c>
      <c r="AK41" s="231">
        <v>0</v>
      </c>
      <c r="AL41" s="231">
        <v>0</v>
      </c>
      <c r="AM41" s="231">
        <v>0</v>
      </c>
      <c r="AN41" s="414">
        <f t="shared" si="90"/>
        <v>0</v>
      </c>
      <c r="AO41" s="415">
        <f t="shared" si="91"/>
        <v>20854</v>
      </c>
      <c r="AP41" s="300">
        <v>19</v>
      </c>
      <c r="AQ41" s="231">
        <v>29284</v>
      </c>
      <c r="AR41" s="231">
        <v>58093.95064280877</v>
      </c>
      <c r="AS41" s="231">
        <v>53839</v>
      </c>
      <c r="AT41" s="231">
        <v>52335</v>
      </c>
      <c r="AU41" s="231">
        <v>39363</v>
      </c>
      <c r="AV41" s="231">
        <v>99049.573446066672</v>
      </c>
      <c r="AW41" s="231">
        <v>29431</v>
      </c>
      <c r="AX41" s="231">
        <v>94652</v>
      </c>
      <c r="AY41" s="412">
        <f t="shared" si="92"/>
        <v>456047.52408887545</v>
      </c>
      <c r="AZ41" s="417">
        <v>0</v>
      </c>
      <c r="BA41" s="231">
        <v>39.010494408633399</v>
      </c>
      <c r="BB41" s="231">
        <v>0</v>
      </c>
      <c r="BC41" s="231">
        <v>0</v>
      </c>
      <c r="BD41" s="231">
        <v>0</v>
      </c>
      <c r="BE41" s="231">
        <v>128.89177214587656</v>
      </c>
      <c r="BF41" s="231">
        <v>0</v>
      </c>
      <c r="BG41" s="231">
        <v>0</v>
      </c>
      <c r="BH41" s="414">
        <f t="shared" si="93"/>
        <v>167.90226655450996</v>
      </c>
      <c r="BI41" s="415">
        <f t="shared" si="94"/>
        <v>456215.42635542998</v>
      </c>
      <c r="BJ41" s="300">
        <v>19</v>
      </c>
      <c r="BK41" s="231">
        <v>0</v>
      </c>
      <c r="BL41" s="231">
        <v>420.8</v>
      </c>
      <c r="BM41" s="231">
        <v>0</v>
      </c>
      <c r="BN41" s="231">
        <v>875</v>
      </c>
      <c r="BO41" s="231">
        <v>0</v>
      </c>
      <c r="BP41" s="231">
        <v>194</v>
      </c>
      <c r="BQ41" s="231">
        <v>0</v>
      </c>
      <c r="BR41" s="231">
        <v>1511</v>
      </c>
      <c r="BS41" s="412">
        <f t="shared" si="95"/>
        <v>3000.8</v>
      </c>
      <c r="BT41" s="417">
        <v>0</v>
      </c>
      <c r="BU41" s="231">
        <v>0</v>
      </c>
      <c r="BV41" s="231">
        <v>0</v>
      </c>
      <c r="BW41" s="231">
        <v>0</v>
      </c>
      <c r="BX41" s="231">
        <v>0</v>
      </c>
      <c r="BY41" s="231">
        <v>0</v>
      </c>
      <c r="BZ41" s="231">
        <v>0</v>
      </c>
      <c r="CA41" s="231">
        <v>0</v>
      </c>
      <c r="CB41" s="414">
        <f t="shared" si="96"/>
        <v>0</v>
      </c>
      <c r="CC41" s="415">
        <f t="shared" si="97"/>
        <v>3000.8</v>
      </c>
      <c r="CD41" s="300">
        <v>19</v>
      </c>
      <c r="CE41" s="414">
        <f t="shared" si="98"/>
        <v>109340.29209898059</v>
      </c>
      <c r="CF41" s="414">
        <f t="shared" si="99"/>
        <v>136232.26</v>
      </c>
      <c r="CG41" s="414">
        <f t="shared" si="100"/>
        <v>192030.57344606667</v>
      </c>
      <c r="CH41" s="414">
        <f t="shared" si="101"/>
        <v>172923</v>
      </c>
      <c r="CI41" s="416">
        <f t="shared" si="102"/>
        <v>610526.12554504734</v>
      </c>
      <c r="CJ41" s="414">
        <f t="shared" si="103"/>
        <v>1687.8040446258351</v>
      </c>
      <c r="CK41" s="414">
        <f t="shared" si="104"/>
        <v>549.80038864924279</v>
      </c>
      <c r="CL41" s="414">
        <f t="shared" si="105"/>
        <v>128.89177214587656</v>
      </c>
      <c r="CM41" s="414">
        <f t="shared" si="106"/>
        <v>0</v>
      </c>
      <c r="CN41" s="416">
        <f t="shared" si="107"/>
        <v>2366.4962054209545</v>
      </c>
      <c r="CO41" s="414">
        <f t="shared" si="108"/>
        <v>111028.09614360642</v>
      </c>
      <c r="CP41" s="414">
        <f t="shared" si="109"/>
        <v>136782.06038864923</v>
      </c>
      <c r="CQ41" s="414">
        <f t="shared" si="110"/>
        <v>192159.46521821254</v>
      </c>
      <c r="CR41" s="414">
        <f t="shared" si="111"/>
        <v>172923</v>
      </c>
      <c r="CS41" s="416">
        <f t="shared" si="112"/>
        <v>612892.62175046827</v>
      </c>
      <c r="CT41" s="319"/>
    </row>
    <row r="42" spans="1:102" ht="15.75" customHeight="1">
      <c r="A42" s="88" t="s">
        <v>205</v>
      </c>
      <c r="B42" s="300">
        <v>20</v>
      </c>
      <c r="C42" s="231">
        <v>0</v>
      </c>
      <c r="D42" s="231">
        <v>1927.8745401608442</v>
      </c>
      <c r="E42" s="231">
        <v>0</v>
      </c>
      <c r="F42" s="231">
        <v>165.11388398022874</v>
      </c>
      <c r="G42" s="231">
        <v>0</v>
      </c>
      <c r="H42" s="231">
        <v>845.74399413249057</v>
      </c>
      <c r="I42" s="231">
        <v>0</v>
      </c>
      <c r="J42" s="231">
        <v>1950.3243716981601</v>
      </c>
      <c r="K42" s="412">
        <f t="shared" si="86"/>
        <v>4889.0567899717234</v>
      </c>
      <c r="L42" s="417">
        <v>0</v>
      </c>
      <c r="M42" s="231">
        <v>365.69837835375301</v>
      </c>
      <c r="N42" s="231">
        <v>0</v>
      </c>
      <c r="O42" s="231">
        <v>1559.7510879997124</v>
      </c>
      <c r="P42" s="231">
        <v>0</v>
      </c>
      <c r="Q42" s="231">
        <v>4228.1034385962839</v>
      </c>
      <c r="R42" s="231">
        <v>0</v>
      </c>
      <c r="S42" s="231">
        <v>3019.4071369901394</v>
      </c>
      <c r="T42" s="414">
        <f t="shared" si="87"/>
        <v>9172.9600419398885</v>
      </c>
      <c r="U42" s="415">
        <f t="shared" si="88"/>
        <v>14062.016831911613</v>
      </c>
      <c r="V42" s="300">
        <v>20</v>
      </c>
      <c r="W42" s="231">
        <v>0</v>
      </c>
      <c r="X42" s="231">
        <v>53.323444679743851</v>
      </c>
      <c r="Y42" s="231">
        <v>0</v>
      </c>
      <c r="Z42" s="231">
        <v>0</v>
      </c>
      <c r="AA42" s="231">
        <v>0</v>
      </c>
      <c r="AB42" s="231">
        <v>0</v>
      </c>
      <c r="AC42" s="231">
        <v>0</v>
      </c>
      <c r="AD42" s="231">
        <v>0</v>
      </c>
      <c r="AE42" s="412">
        <f t="shared" si="89"/>
        <v>53.323444679743851</v>
      </c>
      <c r="AF42" s="417">
        <v>0</v>
      </c>
      <c r="AG42" s="231">
        <v>209.02623119415699</v>
      </c>
      <c r="AH42" s="231">
        <v>0</v>
      </c>
      <c r="AI42" s="231">
        <v>0</v>
      </c>
      <c r="AJ42" s="231">
        <v>0</v>
      </c>
      <c r="AK42" s="231">
        <v>0</v>
      </c>
      <c r="AL42" s="231">
        <v>0</v>
      </c>
      <c r="AM42" s="231">
        <v>0</v>
      </c>
      <c r="AN42" s="414">
        <f t="shared" si="90"/>
        <v>209.02623119415699</v>
      </c>
      <c r="AO42" s="415">
        <f t="shared" si="91"/>
        <v>262.34967587390082</v>
      </c>
      <c r="AP42" s="300">
        <v>20</v>
      </c>
      <c r="AQ42" s="231">
        <v>2057.982945127736</v>
      </c>
      <c r="AR42" s="231">
        <v>5753.7216888260382</v>
      </c>
      <c r="AS42" s="231">
        <v>275.19647951942341</v>
      </c>
      <c r="AT42" s="231">
        <v>3651.9335543064008</v>
      </c>
      <c r="AU42" s="231">
        <v>1105.4580423110681</v>
      </c>
      <c r="AV42" s="231">
        <v>2299.7487009773113</v>
      </c>
      <c r="AW42" s="231">
        <v>5171.8919164511708</v>
      </c>
      <c r="AX42" s="231">
        <v>5338.0308473305486</v>
      </c>
      <c r="AY42" s="412">
        <f t="shared" si="92"/>
        <v>25653.964174849698</v>
      </c>
      <c r="AZ42" s="417">
        <v>0</v>
      </c>
      <c r="BA42" s="231">
        <v>4439.1742045032515</v>
      </c>
      <c r="BB42" s="231">
        <v>0</v>
      </c>
      <c r="BC42" s="231">
        <v>8825.0334719809071</v>
      </c>
      <c r="BD42" s="231">
        <v>0</v>
      </c>
      <c r="BE42" s="231">
        <v>9091.0454454327537</v>
      </c>
      <c r="BF42" s="231">
        <v>0</v>
      </c>
      <c r="BG42" s="231">
        <v>7846.2196675023924</v>
      </c>
      <c r="BH42" s="414">
        <f t="shared" si="93"/>
        <v>30201.472789419302</v>
      </c>
      <c r="BI42" s="415">
        <f t="shared" si="94"/>
        <v>55855.436964269</v>
      </c>
      <c r="BJ42" s="300">
        <v>20</v>
      </c>
      <c r="BK42" s="231">
        <v>0</v>
      </c>
      <c r="BL42" s="231">
        <v>0</v>
      </c>
      <c r="BM42" s="231">
        <v>0</v>
      </c>
      <c r="BN42" s="231">
        <v>0</v>
      </c>
      <c r="BO42" s="231">
        <v>0</v>
      </c>
      <c r="BP42" s="231">
        <v>0</v>
      </c>
      <c r="BQ42" s="231">
        <v>0</v>
      </c>
      <c r="BR42" s="231">
        <v>0</v>
      </c>
      <c r="BS42" s="412">
        <f t="shared" si="95"/>
        <v>0</v>
      </c>
      <c r="BT42" s="417">
        <v>0</v>
      </c>
      <c r="BU42" s="231">
        <v>0</v>
      </c>
      <c r="BV42" s="231">
        <v>0</v>
      </c>
      <c r="BW42" s="231">
        <v>0</v>
      </c>
      <c r="BX42" s="231">
        <v>0</v>
      </c>
      <c r="BY42" s="231">
        <v>0</v>
      </c>
      <c r="BZ42" s="231">
        <v>0</v>
      </c>
      <c r="CA42" s="231">
        <v>0</v>
      </c>
      <c r="CB42" s="414">
        <f t="shared" si="96"/>
        <v>0</v>
      </c>
      <c r="CC42" s="415">
        <f t="shared" si="97"/>
        <v>0</v>
      </c>
      <c r="CD42" s="300">
        <v>20</v>
      </c>
      <c r="CE42" s="414">
        <f t="shared" si="98"/>
        <v>9792.9026187943618</v>
      </c>
      <c r="CF42" s="414">
        <f t="shared" si="99"/>
        <v>4092.2439178060531</v>
      </c>
      <c r="CG42" s="414">
        <f t="shared" si="100"/>
        <v>4250.9507374208697</v>
      </c>
      <c r="CH42" s="414">
        <f t="shared" si="101"/>
        <v>12460.24713547988</v>
      </c>
      <c r="CI42" s="416">
        <f t="shared" si="102"/>
        <v>30596.344409501166</v>
      </c>
      <c r="CJ42" s="414">
        <f t="shared" si="103"/>
        <v>5013.898814051161</v>
      </c>
      <c r="CK42" s="414">
        <f t="shared" si="104"/>
        <v>10384.784559980619</v>
      </c>
      <c r="CL42" s="414">
        <f t="shared" si="105"/>
        <v>13319.148884029037</v>
      </c>
      <c r="CM42" s="414">
        <f t="shared" si="106"/>
        <v>10865.626804492531</v>
      </c>
      <c r="CN42" s="416">
        <f t="shared" si="107"/>
        <v>39583.459062553346</v>
      </c>
      <c r="CO42" s="414">
        <f t="shared" si="108"/>
        <v>14806.801432845525</v>
      </c>
      <c r="CP42" s="414">
        <f t="shared" si="109"/>
        <v>14477.028477786673</v>
      </c>
      <c r="CQ42" s="414">
        <f t="shared" si="110"/>
        <v>17570.09962144991</v>
      </c>
      <c r="CR42" s="414">
        <f t="shared" si="111"/>
        <v>23325.873939972411</v>
      </c>
      <c r="CS42" s="416">
        <f t="shared" si="112"/>
        <v>70179.803472054511</v>
      </c>
      <c r="CT42" s="319"/>
    </row>
    <row r="43" spans="1:102" ht="15.75" customHeight="1">
      <c r="A43" s="88" t="s">
        <v>206</v>
      </c>
      <c r="B43" s="300">
        <v>21</v>
      </c>
      <c r="C43" s="231"/>
      <c r="D43" s="231"/>
      <c r="E43" s="231"/>
      <c r="F43" s="231"/>
      <c r="G43" s="231"/>
      <c r="H43" s="231"/>
      <c r="I43" s="231"/>
      <c r="J43" s="231"/>
      <c r="K43" s="412">
        <f t="shared" si="86"/>
        <v>0</v>
      </c>
      <c r="L43" s="417"/>
      <c r="M43" s="231">
        <f>M19</f>
        <v>43914</v>
      </c>
      <c r="N43" s="231">
        <f t="shared" ref="N43:S43" si="113">N19</f>
        <v>0</v>
      </c>
      <c r="O43" s="231">
        <f t="shared" si="113"/>
        <v>44442</v>
      </c>
      <c r="P43" s="231">
        <f t="shared" si="113"/>
        <v>0</v>
      </c>
      <c r="Q43" s="231">
        <f t="shared" si="113"/>
        <v>59927</v>
      </c>
      <c r="R43" s="231">
        <f t="shared" si="113"/>
        <v>0</v>
      </c>
      <c r="S43" s="231">
        <f t="shared" si="113"/>
        <v>82955</v>
      </c>
      <c r="T43" s="414">
        <f t="shared" si="87"/>
        <v>231238</v>
      </c>
      <c r="U43" s="415">
        <f t="shared" si="88"/>
        <v>231238</v>
      </c>
      <c r="V43" s="300">
        <v>21</v>
      </c>
      <c r="W43" s="231"/>
      <c r="X43" s="231"/>
      <c r="Y43" s="231"/>
      <c r="Z43" s="231"/>
      <c r="AA43" s="231"/>
      <c r="AB43" s="231"/>
      <c r="AC43" s="231"/>
      <c r="AD43" s="231"/>
      <c r="AE43" s="412">
        <f t="shared" si="89"/>
        <v>0</v>
      </c>
      <c r="AF43" s="417"/>
      <c r="AG43" s="231">
        <f>AG19</f>
        <v>18270</v>
      </c>
      <c r="AH43" s="231"/>
      <c r="AI43" s="231">
        <f>AI19</f>
        <v>18641</v>
      </c>
      <c r="AJ43" s="231"/>
      <c r="AK43" s="231">
        <f>AK19</f>
        <v>41637</v>
      </c>
      <c r="AL43" s="231"/>
      <c r="AM43" s="231">
        <f>AM19</f>
        <v>31125</v>
      </c>
      <c r="AN43" s="414">
        <f t="shared" si="90"/>
        <v>109673</v>
      </c>
      <c r="AO43" s="415">
        <f t="shared" si="91"/>
        <v>109673</v>
      </c>
      <c r="AP43" s="300">
        <v>21</v>
      </c>
      <c r="AQ43" s="231">
        <f t="shared" ref="AQ43:AX43" si="114">AQ19</f>
        <v>0</v>
      </c>
      <c r="AR43" s="231">
        <f t="shared" si="114"/>
        <v>0</v>
      </c>
      <c r="AS43" s="231">
        <f t="shared" si="114"/>
        <v>0</v>
      </c>
      <c r="AT43" s="231">
        <f t="shared" si="114"/>
        <v>0</v>
      </c>
      <c r="AU43" s="231">
        <f t="shared" si="114"/>
        <v>0</v>
      </c>
      <c r="AV43" s="231">
        <f t="shared" si="114"/>
        <v>0</v>
      </c>
      <c r="AW43" s="231">
        <f t="shared" si="114"/>
        <v>0</v>
      </c>
      <c r="AX43" s="231">
        <f t="shared" si="114"/>
        <v>0</v>
      </c>
      <c r="AY43" s="412">
        <f t="shared" si="92"/>
        <v>0</v>
      </c>
      <c r="AZ43" s="417">
        <f t="shared" ref="AZ43:BG43" si="115">AZ19</f>
        <v>0</v>
      </c>
      <c r="BA43" s="231">
        <f t="shared" si="115"/>
        <v>447431</v>
      </c>
      <c r="BB43" s="231">
        <f t="shared" si="115"/>
        <v>0</v>
      </c>
      <c r="BC43" s="231">
        <f t="shared" si="115"/>
        <v>597712</v>
      </c>
      <c r="BD43" s="231">
        <f t="shared" si="115"/>
        <v>0</v>
      </c>
      <c r="BE43" s="231">
        <f t="shared" si="115"/>
        <v>549097</v>
      </c>
      <c r="BF43" s="231">
        <f t="shared" si="115"/>
        <v>0</v>
      </c>
      <c r="BG43" s="231">
        <f t="shared" si="115"/>
        <v>579171</v>
      </c>
      <c r="BH43" s="414">
        <f t="shared" si="93"/>
        <v>2173411</v>
      </c>
      <c r="BI43" s="415">
        <f t="shared" si="94"/>
        <v>2173411</v>
      </c>
      <c r="BJ43" s="300">
        <v>21</v>
      </c>
      <c r="BK43" s="231">
        <f t="shared" ref="BK43:BR43" si="116">BK19</f>
        <v>0</v>
      </c>
      <c r="BL43" s="231">
        <f t="shared" si="116"/>
        <v>0</v>
      </c>
      <c r="BM43" s="231">
        <f t="shared" si="116"/>
        <v>0</v>
      </c>
      <c r="BN43" s="231">
        <f t="shared" si="116"/>
        <v>0</v>
      </c>
      <c r="BO43" s="231">
        <f t="shared" si="116"/>
        <v>0</v>
      </c>
      <c r="BP43" s="231">
        <f t="shared" si="116"/>
        <v>0</v>
      </c>
      <c r="BQ43" s="231">
        <f t="shared" si="116"/>
        <v>0</v>
      </c>
      <c r="BR43" s="231">
        <f t="shared" si="116"/>
        <v>0</v>
      </c>
      <c r="BS43" s="412">
        <f t="shared" si="95"/>
        <v>0</v>
      </c>
      <c r="BT43" s="417">
        <f t="shared" ref="BT43:CA43" si="117">BT19</f>
        <v>0</v>
      </c>
      <c r="BU43" s="231">
        <f t="shared" si="117"/>
        <v>17304</v>
      </c>
      <c r="BV43" s="231">
        <f t="shared" si="117"/>
        <v>0</v>
      </c>
      <c r="BW43" s="231">
        <f t="shared" si="117"/>
        <v>19618</v>
      </c>
      <c r="BX43" s="231">
        <f t="shared" si="117"/>
        <v>0</v>
      </c>
      <c r="BY43" s="231">
        <f t="shared" si="117"/>
        <v>24928</v>
      </c>
      <c r="BZ43" s="231">
        <f t="shared" si="117"/>
        <v>0</v>
      </c>
      <c r="CA43" s="231">
        <f t="shared" si="117"/>
        <v>22977</v>
      </c>
      <c r="CB43" s="414">
        <f t="shared" si="96"/>
        <v>84827</v>
      </c>
      <c r="CC43" s="415">
        <f t="shared" si="97"/>
        <v>84827</v>
      </c>
      <c r="CD43" s="300">
        <v>21</v>
      </c>
      <c r="CE43" s="414">
        <f t="shared" si="98"/>
        <v>0</v>
      </c>
      <c r="CF43" s="414">
        <f t="shared" si="99"/>
        <v>0</v>
      </c>
      <c r="CG43" s="414">
        <f t="shared" si="100"/>
        <v>0</v>
      </c>
      <c r="CH43" s="414">
        <f t="shared" si="101"/>
        <v>0</v>
      </c>
      <c r="CI43" s="416">
        <f t="shared" si="102"/>
        <v>0</v>
      </c>
      <c r="CJ43" s="414">
        <f t="shared" si="103"/>
        <v>526919</v>
      </c>
      <c r="CK43" s="414">
        <f t="shared" si="104"/>
        <v>680413</v>
      </c>
      <c r="CL43" s="414">
        <f t="shared" si="105"/>
        <v>675589</v>
      </c>
      <c r="CM43" s="414">
        <f t="shared" si="106"/>
        <v>716228</v>
      </c>
      <c r="CN43" s="416">
        <f t="shared" si="107"/>
        <v>2599149</v>
      </c>
      <c r="CO43" s="414">
        <f t="shared" si="108"/>
        <v>526919</v>
      </c>
      <c r="CP43" s="414">
        <f t="shared" si="109"/>
        <v>680413</v>
      </c>
      <c r="CQ43" s="414">
        <f t="shared" si="110"/>
        <v>675589</v>
      </c>
      <c r="CR43" s="414">
        <f t="shared" si="111"/>
        <v>716228</v>
      </c>
      <c r="CS43" s="416">
        <f t="shared" si="112"/>
        <v>2599149</v>
      </c>
      <c r="CT43" s="319"/>
    </row>
    <row r="44" spans="1:102" ht="15.75" customHeight="1">
      <c r="A44" s="88" t="s">
        <v>207</v>
      </c>
      <c r="B44" s="300">
        <v>22</v>
      </c>
      <c r="C44" s="231">
        <v>3191.3000000000006</v>
      </c>
      <c r="D44" s="231">
        <v>0</v>
      </c>
      <c r="E44" s="231">
        <v>6027.5199166080529</v>
      </c>
      <c r="F44" s="231">
        <v>1142.0643890727508</v>
      </c>
      <c r="G44" s="231">
        <v>19231.109999999997</v>
      </c>
      <c r="H44" s="231">
        <v>34.753160691955749</v>
      </c>
      <c r="I44" s="231">
        <v>15489.5</v>
      </c>
      <c r="J44" s="231">
        <v>0</v>
      </c>
      <c r="K44" s="412">
        <f t="shared" si="86"/>
        <v>45116.247466372763</v>
      </c>
      <c r="L44" s="417">
        <v>0</v>
      </c>
      <c r="M44" s="231">
        <v>47084.246718400223</v>
      </c>
      <c r="N44" s="231">
        <v>0</v>
      </c>
      <c r="O44" s="231">
        <v>48288.275593214552</v>
      </c>
      <c r="P44" s="231">
        <v>0</v>
      </c>
      <c r="Q44" s="231">
        <v>62072.059999999736</v>
      </c>
      <c r="R44" s="231">
        <v>0</v>
      </c>
      <c r="S44" s="231">
        <v>55839.760000000009</v>
      </c>
      <c r="T44" s="414">
        <f t="shared" si="87"/>
        <v>213284.34231161451</v>
      </c>
      <c r="U44" s="415">
        <f t="shared" si="88"/>
        <v>258400.58977798728</v>
      </c>
      <c r="V44" s="300">
        <v>22</v>
      </c>
      <c r="W44" s="231">
        <v>63.330000000000005</v>
      </c>
      <c r="X44" s="231">
        <v>0</v>
      </c>
      <c r="Y44" s="231">
        <v>1180.8799999999999</v>
      </c>
      <c r="Z44" s="231">
        <v>22.500970610302751</v>
      </c>
      <c r="AA44" s="231">
        <v>994.65</v>
      </c>
      <c r="AB44" s="231">
        <v>0</v>
      </c>
      <c r="AC44" s="231">
        <v>343.40999999999997</v>
      </c>
      <c r="AD44" s="231">
        <v>0</v>
      </c>
      <c r="AE44" s="412">
        <f t="shared" si="89"/>
        <v>2604.7709706103024</v>
      </c>
      <c r="AF44" s="417">
        <v>0</v>
      </c>
      <c r="AG44" s="231">
        <v>37417.023745696613</v>
      </c>
      <c r="AH44" s="231">
        <v>0</v>
      </c>
      <c r="AI44" s="231">
        <v>26437.120484016352</v>
      </c>
      <c r="AJ44" s="231">
        <v>0</v>
      </c>
      <c r="AK44" s="231">
        <v>7995.3500000000058</v>
      </c>
      <c r="AL44" s="231">
        <v>0</v>
      </c>
      <c r="AM44" s="231">
        <v>18419.409999999996</v>
      </c>
      <c r="AN44" s="414">
        <f t="shared" si="90"/>
        <v>90268.904229712964</v>
      </c>
      <c r="AO44" s="415">
        <f t="shared" si="91"/>
        <v>92873.675200323269</v>
      </c>
      <c r="AP44" s="300">
        <v>22</v>
      </c>
      <c r="AQ44" s="231">
        <v>112356.63000000012</v>
      </c>
      <c r="AR44" s="231">
        <v>0</v>
      </c>
      <c r="AS44" s="231">
        <v>103554.22377451797</v>
      </c>
      <c r="AT44" s="231">
        <v>10226.681133054037</v>
      </c>
      <c r="AU44" s="231">
        <v>102116.19232393778</v>
      </c>
      <c r="AV44" s="231">
        <v>0</v>
      </c>
      <c r="AW44" s="231">
        <v>153219.10000000009</v>
      </c>
      <c r="AX44" s="231">
        <v>0</v>
      </c>
      <c r="AY44" s="412">
        <f t="shared" si="92"/>
        <v>481472.82723151002</v>
      </c>
      <c r="AZ44" s="417">
        <v>0</v>
      </c>
      <c r="BA44" s="231">
        <v>448829.68325168261</v>
      </c>
      <c r="BB44" s="231">
        <v>0</v>
      </c>
      <c r="BC44" s="231">
        <v>425507.78599383408</v>
      </c>
      <c r="BD44" s="231">
        <v>0</v>
      </c>
      <c r="BE44" s="231">
        <v>528219.13286672113</v>
      </c>
      <c r="BF44" s="231">
        <v>0</v>
      </c>
      <c r="BG44" s="231">
        <v>564157.81103966676</v>
      </c>
      <c r="BH44" s="414">
        <f t="shared" si="93"/>
        <v>1966714.4131519045</v>
      </c>
      <c r="BI44" s="415">
        <f t="shared" si="94"/>
        <v>2448187.2403834146</v>
      </c>
      <c r="BJ44" s="300">
        <v>22</v>
      </c>
      <c r="BK44" s="231">
        <v>0</v>
      </c>
      <c r="BL44" s="231">
        <v>0</v>
      </c>
      <c r="BM44" s="231">
        <v>0</v>
      </c>
      <c r="BN44" s="231">
        <v>0</v>
      </c>
      <c r="BO44" s="231">
        <v>489.08</v>
      </c>
      <c r="BP44" s="231">
        <v>0</v>
      </c>
      <c r="BQ44" s="231">
        <v>649.24999999999989</v>
      </c>
      <c r="BR44" s="231">
        <v>0</v>
      </c>
      <c r="BS44" s="412">
        <f t="shared" si="95"/>
        <v>1138.33</v>
      </c>
      <c r="BT44" s="417">
        <v>0</v>
      </c>
      <c r="BU44" s="231">
        <v>11762.949999999997</v>
      </c>
      <c r="BV44" s="231">
        <v>0</v>
      </c>
      <c r="BW44" s="231">
        <v>12145.740000000009</v>
      </c>
      <c r="BX44" s="231">
        <v>0</v>
      </c>
      <c r="BY44" s="231">
        <v>4795.6600000000253</v>
      </c>
      <c r="BZ44" s="231">
        <v>0</v>
      </c>
      <c r="CA44" s="231">
        <v>2775.4999999999964</v>
      </c>
      <c r="CB44" s="414">
        <f t="shared" si="96"/>
        <v>31479.850000000028</v>
      </c>
      <c r="CC44" s="415">
        <f t="shared" si="97"/>
        <v>32618.180000000029</v>
      </c>
      <c r="CD44" s="300">
        <v>22</v>
      </c>
      <c r="CE44" s="414">
        <f t="shared" si="98"/>
        <v>115611.26000000013</v>
      </c>
      <c r="CF44" s="414">
        <f t="shared" si="99"/>
        <v>122153.87018386311</v>
      </c>
      <c r="CG44" s="414">
        <f t="shared" si="100"/>
        <v>122865.78548462973</v>
      </c>
      <c r="CH44" s="414">
        <f t="shared" si="101"/>
        <v>169701.2600000001</v>
      </c>
      <c r="CI44" s="416">
        <f t="shared" si="102"/>
        <v>530332.17566849303</v>
      </c>
      <c r="CJ44" s="414">
        <f t="shared" si="103"/>
        <v>545093.90371577942</v>
      </c>
      <c r="CK44" s="414">
        <f t="shared" si="104"/>
        <v>512378.922071065</v>
      </c>
      <c r="CL44" s="414">
        <f t="shared" si="105"/>
        <v>603082.20286672085</v>
      </c>
      <c r="CM44" s="414">
        <f t="shared" si="106"/>
        <v>641192.4810396668</v>
      </c>
      <c r="CN44" s="416">
        <f t="shared" si="107"/>
        <v>2301747.5096932319</v>
      </c>
      <c r="CO44" s="414">
        <f t="shared" si="108"/>
        <v>660705.16371577955</v>
      </c>
      <c r="CP44" s="414">
        <f t="shared" si="109"/>
        <v>634532.79225492803</v>
      </c>
      <c r="CQ44" s="414">
        <f t="shared" si="110"/>
        <v>725947.98835135065</v>
      </c>
      <c r="CR44" s="414">
        <f t="shared" si="111"/>
        <v>810893.74103966681</v>
      </c>
      <c r="CS44" s="416">
        <f t="shared" si="112"/>
        <v>2832079.6853617253</v>
      </c>
      <c r="CU44" s="319"/>
    </row>
    <row r="45" spans="1:102" ht="15.75" customHeight="1">
      <c r="A45" s="88" t="s">
        <v>209</v>
      </c>
      <c r="B45" s="300">
        <v>23</v>
      </c>
      <c r="C45" s="231">
        <v>2325.7451937653709</v>
      </c>
      <c r="D45" s="231">
        <v>0</v>
      </c>
      <c r="E45" s="231">
        <v>4681.6739044111782</v>
      </c>
      <c r="F45" s="231">
        <v>1142.0643890727508</v>
      </c>
      <c r="G45" s="231">
        <v>15215.867295292581</v>
      </c>
      <c r="H45" s="231">
        <v>34.753160691955749</v>
      </c>
      <c r="I45" s="231">
        <v>12471.808348593897</v>
      </c>
      <c r="J45" s="231">
        <v>0</v>
      </c>
      <c r="K45" s="412">
        <f t="shared" si="86"/>
        <v>35871.912291827735</v>
      </c>
      <c r="L45" s="417">
        <v>0</v>
      </c>
      <c r="M45" s="231">
        <v>19862.007349596392</v>
      </c>
      <c r="N45" s="231">
        <v>0</v>
      </c>
      <c r="O45" s="231">
        <v>21690.619121257714</v>
      </c>
      <c r="P45" s="231">
        <v>0</v>
      </c>
      <c r="Q45" s="231">
        <v>29548.137698509337</v>
      </c>
      <c r="R45" s="231">
        <v>0</v>
      </c>
      <c r="S45" s="231">
        <v>20553.539274020324</v>
      </c>
      <c r="T45" s="414">
        <f t="shared" si="87"/>
        <v>91654.303443383775</v>
      </c>
      <c r="U45" s="415">
        <f t="shared" si="88"/>
        <v>127526.2157352115</v>
      </c>
      <c r="V45" s="300">
        <v>23</v>
      </c>
      <c r="W45" s="231">
        <v>46.153430614846904</v>
      </c>
      <c r="X45" s="231">
        <v>0</v>
      </c>
      <c r="Y45" s="231">
        <v>894.25266669617565</v>
      </c>
      <c r="Z45" s="231">
        <v>22.500970610302751</v>
      </c>
      <c r="AA45" s="231">
        <v>786.97809982173499</v>
      </c>
      <c r="AB45" s="231">
        <v>0</v>
      </c>
      <c r="AC45" s="231">
        <v>276.50625940092516</v>
      </c>
      <c r="AD45" s="231">
        <v>0</v>
      </c>
      <c r="AE45" s="412">
        <f t="shared" si="89"/>
        <v>2026.3914271439853</v>
      </c>
      <c r="AF45" s="417">
        <v>0</v>
      </c>
      <c r="AG45" s="231">
        <v>20750.965033919576</v>
      </c>
      <c r="AH45" s="231">
        <v>0</v>
      </c>
      <c r="AI45" s="231">
        <v>13418.040943824328</v>
      </c>
      <c r="AJ45" s="231">
        <v>0</v>
      </c>
      <c r="AK45" s="231">
        <v>-5236.2181086933051</v>
      </c>
      <c r="AL45" s="231">
        <v>0</v>
      </c>
      <c r="AM45" s="231">
        <v>5823.5805335328114</v>
      </c>
      <c r="AN45" s="414">
        <f t="shared" si="90"/>
        <v>34756.368402583408</v>
      </c>
      <c r="AO45" s="415">
        <f t="shared" si="91"/>
        <v>36782.759829727394</v>
      </c>
      <c r="AP45" s="300">
        <v>23</v>
      </c>
      <c r="AQ45" s="231">
        <v>81882.897944465993</v>
      </c>
      <c r="AR45" s="231">
        <v>0</v>
      </c>
      <c r="AS45" s="231">
        <v>78930.61831968787</v>
      </c>
      <c r="AT45" s="231">
        <v>10226.681133054037</v>
      </c>
      <c r="AU45" s="231">
        <v>80798.912399870271</v>
      </c>
      <c r="AV45" s="231">
        <v>0</v>
      </c>
      <c r="AW45" s="231">
        <v>123368.68527351072</v>
      </c>
      <c r="AX45" s="231">
        <v>0</v>
      </c>
      <c r="AY45" s="412">
        <f t="shared" si="92"/>
        <v>375207.79507058894</v>
      </c>
      <c r="AZ45" s="417">
        <v>0</v>
      </c>
      <c r="BA45" s="231">
        <v>180599.32558893514</v>
      </c>
      <c r="BB45" s="231">
        <v>0</v>
      </c>
      <c r="BC45" s="231">
        <v>131262.51161692472</v>
      </c>
      <c r="BD45" s="231">
        <v>0</v>
      </c>
      <c r="BE45" s="231">
        <v>241020.93098179021</v>
      </c>
      <c r="BF45" s="231">
        <v>0</v>
      </c>
      <c r="BG45" s="231">
        <v>273540.39175977343</v>
      </c>
      <c r="BH45" s="414">
        <f t="shared" si="93"/>
        <v>826423.1599474235</v>
      </c>
      <c r="BI45" s="415">
        <f t="shared" si="94"/>
        <v>1201630.9550180123</v>
      </c>
      <c r="BJ45" s="300">
        <v>23</v>
      </c>
      <c r="BK45" s="231">
        <v>0</v>
      </c>
      <c r="BL45" s="231">
        <v>0</v>
      </c>
      <c r="BM45" s="231">
        <v>0</v>
      </c>
      <c r="BN45" s="231">
        <v>0</v>
      </c>
      <c r="BO45" s="231">
        <v>386.9655145637301</v>
      </c>
      <c r="BP45" s="231">
        <v>0</v>
      </c>
      <c r="BQ45" s="231">
        <v>522.76197232477398</v>
      </c>
      <c r="BR45" s="231">
        <v>0</v>
      </c>
      <c r="BS45" s="412">
        <f t="shared" si="95"/>
        <v>909.72748688850402</v>
      </c>
      <c r="BT45" s="417">
        <v>0</v>
      </c>
      <c r="BU45" s="231">
        <v>3061.5929498441292</v>
      </c>
      <c r="BV45" s="231">
        <v>0</v>
      </c>
      <c r="BW45" s="231">
        <v>2947.5701005569354</v>
      </c>
      <c r="BX45" s="231">
        <v>0</v>
      </c>
      <c r="BY45" s="231">
        <v>-3128.4169374111734</v>
      </c>
      <c r="BZ45" s="231">
        <v>0</v>
      </c>
      <c r="CA45" s="231">
        <v>-3771.6373315352648</v>
      </c>
      <c r="CB45" s="414">
        <f t="shared" si="96"/>
        <v>-890.8912185453737</v>
      </c>
      <c r="CC45" s="415">
        <f t="shared" si="97"/>
        <v>18.836268343130314</v>
      </c>
      <c r="CD45" s="300">
        <v>23</v>
      </c>
      <c r="CE45" s="414">
        <f t="shared" si="98"/>
        <v>84254.796568846214</v>
      </c>
      <c r="CF45" s="414">
        <f t="shared" si="99"/>
        <v>95897.791383532312</v>
      </c>
      <c r="CG45" s="414">
        <f t="shared" si="100"/>
        <v>97223.476470240275</v>
      </c>
      <c r="CH45" s="414">
        <f t="shared" si="101"/>
        <v>136639.76185383034</v>
      </c>
      <c r="CI45" s="416">
        <f t="shared" si="102"/>
        <v>414015.8262764492</v>
      </c>
      <c r="CJ45" s="414">
        <f t="shared" si="103"/>
        <v>224273.89092229525</v>
      </c>
      <c r="CK45" s="414">
        <f t="shared" si="104"/>
        <v>169318.74178256371</v>
      </c>
      <c r="CL45" s="414">
        <f t="shared" si="105"/>
        <v>262204.43363419507</v>
      </c>
      <c r="CM45" s="414">
        <f t="shared" si="106"/>
        <v>296145.87423579127</v>
      </c>
      <c r="CN45" s="416">
        <f t="shared" si="107"/>
        <v>951942.9405748453</v>
      </c>
      <c r="CO45" s="414">
        <f t="shared" si="108"/>
        <v>308528.68749114143</v>
      </c>
      <c r="CP45" s="414">
        <f t="shared" si="109"/>
        <v>265216.53316609602</v>
      </c>
      <c r="CQ45" s="414">
        <f t="shared" si="110"/>
        <v>359427.91010443529</v>
      </c>
      <c r="CR45" s="414">
        <f t="shared" si="111"/>
        <v>432785.63608962158</v>
      </c>
      <c r="CS45" s="416">
        <f t="shared" si="112"/>
        <v>1365958.7668512943</v>
      </c>
      <c r="CU45" s="319"/>
      <c r="CV45" s="319"/>
    </row>
    <row r="46" spans="1:102" ht="15.75" customHeight="1">
      <c r="A46" s="88" t="s">
        <v>211</v>
      </c>
      <c r="B46" s="300">
        <v>24</v>
      </c>
      <c r="C46" s="231">
        <v>0</v>
      </c>
      <c r="D46" s="231">
        <v>0</v>
      </c>
      <c r="E46" s="231">
        <v>555.85</v>
      </c>
      <c r="F46" s="231">
        <v>0</v>
      </c>
      <c r="G46" s="231">
        <v>1400.53</v>
      </c>
      <c r="H46" s="231">
        <v>0</v>
      </c>
      <c r="I46" s="231">
        <v>1135.2799999999997</v>
      </c>
      <c r="J46" s="231">
        <v>0</v>
      </c>
      <c r="K46" s="412">
        <f t="shared" si="86"/>
        <v>3091.66</v>
      </c>
      <c r="L46" s="417">
        <v>0</v>
      </c>
      <c r="M46" s="231">
        <v>5274.8500000000013</v>
      </c>
      <c r="N46" s="231">
        <v>0</v>
      </c>
      <c r="O46" s="231">
        <v>3838.42</v>
      </c>
      <c r="P46" s="231">
        <v>0</v>
      </c>
      <c r="Q46" s="231">
        <v>6564.23</v>
      </c>
      <c r="R46" s="231">
        <v>0</v>
      </c>
      <c r="S46" s="231">
        <v>10667.48</v>
      </c>
      <c r="T46" s="414">
        <f t="shared" si="87"/>
        <v>26344.98</v>
      </c>
      <c r="U46" s="415">
        <f t="shared" si="88"/>
        <v>29436.639999999999</v>
      </c>
      <c r="V46" s="300">
        <v>24</v>
      </c>
      <c r="W46" s="231">
        <v>0</v>
      </c>
      <c r="X46" s="231">
        <v>0</v>
      </c>
      <c r="Y46" s="231">
        <v>0</v>
      </c>
      <c r="Z46" s="231">
        <v>0</v>
      </c>
      <c r="AA46" s="231">
        <v>97.8</v>
      </c>
      <c r="AB46" s="231">
        <v>0</v>
      </c>
      <c r="AC46" s="231">
        <v>0</v>
      </c>
      <c r="AD46" s="231">
        <v>0</v>
      </c>
      <c r="AE46" s="412">
        <f t="shared" si="89"/>
        <v>97.8</v>
      </c>
      <c r="AF46" s="417">
        <v>0</v>
      </c>
      <c r="AG46" s="231">
        <v>1183.3899999999999</v>
      </c>
      <c r="AH46" s="231">
        <v>0</v>
      </c>
      <c r="AI46" s="231">
        <v>1254.32</v>
      </c>
      <c r="AJ46" s="231">
        <v>0</v>
      </c>
      <c r="AK46" s="231">
        <v>1871.4199999999998</v>
      </c>
      <c r="AL46" s="231">
        <v>0</v>
      </c>
      <c r="AM46" s="231">
        <v>1498.6599999999999</v>
      </c>
      <c r="AN46" s="414">
        <f t="shared" si="90"/>
        <v>5807.79</v>
      </c>
      <c r="AO46" s="415">
        <f t="shared" si="91"/>
        <v>5905.59</v>
      </c>
      <c r="AP46" s="300">
        <v>24</v>
      </c>
      <c r="AQ46" s="231">
        <v>1341.4099999999999</v>
      </c>
      <c r="AR46" s="231">
        <v>0</v>
      </c>
      <c r="AS46" s="231">
        <v>749.36000000000013</v>
      </c>
      <c r="AT46" s="231">
        <v>0</v>
      </c>
      <c r="AU46" s="231">
        <v>5081.7</v>
      </c>
      <c r="AV46" s="231">
        <v>0</v>
      </c>
      <c r="AW46" s="231">
        <v>11060.070000000002</v>
      </c>
      <c r="AX46" s="231">
        <v>0</v>
      </c>
      <c r="AY46" s="412">
        <f t="shared" si="92"/>
        <v>18232.54</v>
      </c>
      <c r="AZ46" s="417">
        <v>0</v>
      </c>
      <c r="BA46" s="231">
        <v>25092.550000000003</v>
      </c>
      <c r="BB46" s="231">
        <v>0</v>
      </c>
      <c r="BC46" s="231">
        <v>34567.510000000009</v>
      </c>
      <c r="BD46" s="231">
        <v>0</v>
      </c>
      <c r="BE46" s="231">
        <v>53440.420000000049</v>
      </c>
      <c r="BF46" s="231">
        <v>0</v>
      </c>
      <c r="BG46" s="231">
        <v>59961.30999999999</v>
      </c>
      <c r="BH46" s="414">
        <f t="shared" si="93"/>
        <v>173061.79000000007</v>
      </c>
      <c r="BI46" s="415">
        <f t="shared" si="94"/>
        <v>191294.33000000007</v>
      </c>
      <c r="BJ46" s="300">
        <v>24</v>
      </c>
      <c r="BK46" s="231">
        <v>0</v>
      </c>
      <c r="BL46" s="231">
        <v>0</v>
      </c>
      <c r="BM46" s="231">
        <v>0</v>
      </c>
      <c r="BN46" s="231">
        <v>0</v>
      </c>
      <c r="BO46" s="231">
        <v>0</v>
      </c>
      <c r="BP46" s="231">
        <v>0</v>
      </c>
      <c r="BQ46" s="231">
        <v>0</v>
      </c>
      <c r="BR46" s="231">
        <v>0</v>
      </c>
      <c r="BS46" s="412">
        <f t="shared" si="95"/>
        <v>0</v>
      </c>
      <c r="BT46" s="417">
        <v>0</v>
      </c>
      <c r="BU46" s="231">
        <v>1288.56</v>
      </c>
      <c r="BV46" s="231">
        <v>0</v>
      </c>
      <c r="BW46" s="231">
        <v>730.8900000000001</v>
      </c>
      <c r="BX46" s="231">
        <v>0</v>
      </c>
      <c r="BY46" s="231">
        <v>279.74</v>
      </c>
      <c r="BZ46" s="231">
        <v>0</v>
      </c>
      <c r="CA46" s="231">
        <v>523.16000000000008</v>
      </c>
      <c r="CB46" s="414">
        <f t="shared" si="96"/>
        <v>2822.3500000000004</v>
      </c>
      <c r="CC46" s="415">
        <f t="shared" si="97"/>
        <v>2822.3500000000004</v>
      </c>
      <c r="CD46" s="300">
        <v>24</v>
      </c>
      <c r="CE46" s="414">
        <f t="shared" si="98"/>
        <v>1341.4099999999999</v>
      </c>
      <c r="CF46" s="414">
        <f t="shared" si="99"/>
        <v>1305.21</v>
      </c>
      <c r="CG46" s="414">
        <f t="shared" si="100"/>
        <v>6580.03</v>
      </c>
      <c r="CH46" s="414">
        <f t="shared" si="101"/>
        <v>12195.350000000002</v>
      </c>
      <c r="CI46" s="416">
        <f t="shared" si="102"/>
        <v>21422</v>
      </c>
      <c r="CJ46" s="414">
        <f t="shared" si="103"/>
        <v>32839.350000000006</v>
      </c>
      <c r="CK46" s="414">
        <f t="shared" si="104"/>
        <v>40391.140000000007</v>
      </c>
      <c r="CL46" s="414">
        <f t="shared" si="105"/>
        <v>62155.810000000049</v>
      </c>
      <c r="CM46" s="414">
        <f t="shared" si="106"/>
        <v>72650.609999999986</v>
      </c>
      <c r="CN46" s="416">
        <f t="shared" si="107"/>
        <v>208036.91000000006</v>
      </c>
      <c r="CO46" s="414">
        <f t="shared" si="108"/>
        <v>34180.76</v>
      </c>
      <c r="CP46" s="414">
        <f t="shared" si="109"/>
        <v>41696.350000000006</v>
      </c>
      <c r="CQ46" s="414">
        <f t="shared" si="110"/>
        <v>68735.840000000055</v>
      </c>
      <c r="CR46" s="414">
        <f t="shared" si="111"/>
        <v>84845.959999999992</v>
      </c>
      <c r="CS46" s="416">
        <f t="shared" si="112"/>
        <v>229458.91000000009</v>
      </c>
    </row>
    <row r="47" spans="1:102" ht="15.75" customHeight="1">
      <c r="A47" s="88" t="s">
        <v>212</v>
      </c>
      <c r="B47" s="300">
        <v>25</v>
      </c>
      <c r="C47" s="231">
        <v>0</v>
      </c>
      <c r="D47" s="231">
        <v>0</v>
      </c>
      <c r="E47" s="231">
        <v>420.93213940711109</v>
      </c>
      <c r="F47" s="231">
        <v>0</v>
      </c>
      <c r="G47" s="231">
        <v>1108.11485260477</v>
      </c>
      <c r="H47" s="231">
        <v>0</v>
      </c>
      <c r="I47" s="231">
        <v>914.10275231554772</v>
      </c>
      <c r="J47" s="231">
        <v>0</v>
      </c>
      <c r="K47" s="412">
        <f t="shared" si="86"/>
        <v>2443.1497443274288</v>
      </c>
      <c r="L47" s="417">
        <v>0</v>
      </c>
      <c r="M47" s="231">
        <v>3508.1017707756473</v>
      </c>
      <c r="N47" s="231">
        <v>0</v>
      </c>
      <c r="O47" s="231">
        <v>2553.064681260757</v>
      </c>
      <c r="P47" s="231">
        <v>0</v>
      </c>
      <c r="Q47" s="231">
        <v>5144.2020258253669</v>
      </c>
      <c r="R47" s="231">
        <v>0</v>
      </c>
      <c r="S47" s="231">
        <v>8580.9001918852664</v>
      </c>
      <c r="T47" s="414">
        <f t="shared" si="87"/>
        <v>19786.268669747038</v>
      </c>
      <c r="U47" s="415">
        <f t="shared" si="88"/>
        <v>22229.418414074466</v>
      </c>
      <c r="V47" s="300">
        <v>25</v>
      </c>
      <c r="W47" s="231">
        <v>0</v>
      </c>
      <c r="X47" s="231">
        <v>0</v>
      </c>
      <c r="Y47" s="231">
        <v>0</v>
      </c>
      <c r="Z47" s="231">
        <v>0</v>
      </c>
      <c r="AA47" s="231">
        <v>77.380443535480509</v>
      </c>
      <c r="AB47" s="231">
        <v>0</v>
      </c>
      <c r="AC47" s="231">
        <v>0</v>
      </c>
      <c r="AD47" s="231">
        <v>0</v>
      </c>
      <c r="AE47" s="412">
        <f t="shared" si="89"/>
        <v>77.380443535480509</v>
      </c>
      <c r="AF47" s="417">
        <v>0</v>
      </c>
      <c r="AG47" s="231">
        <v>787.0276035371985</v>
      </c>
      <c r="AH47" s="231">
        <v>0</v>
      </c>
      <c r="AI47" s="231">
        <v>834.29121643775102</v>
      </c>
      <c r="AJ47" s="231">
        <v>0</v>
      </c>
      <c r="AK47" s="231">
        <v>1466.5791045058002</v>
      </c>
      <c r="AL47" s="231">
        <v>0</v>
      </c>
      <c r="AM47" s="231">
        <v>1205.5191930587894</v>
      </c>
      <c r="AN47" s="414">
        <f t="shared" si="90"/>
        <v>4293.4171175395386</v>
      </c>
      <c r="AO47" s="415">
        <f t="shared" si="91"/>
        <v>4370.7975610750191</v>
      </c>
      <c r="AP47" s="300">
        <v>25</v>
      </c>
      <c r="AQ47" s="231">
        <v>977.58839982728205</v>
      </c>
      <c r="AR47" s="231">
        <v>0</v>
      </c>
      <c r="AS47" s="231">
        <v>567.47271383666953</v>
      </c>
      <c r="AT47" s="231">
        <v>0</v>
      </c>
      <c r="AU47" s="231">
        <v>4020.6973406365159</v>
      </c>
      <c r="AV47" s="231">
        <v>0</v>
      </c>
      <c r="AW47" s="231">
        <v>8905.3276969581275</v>
      </c>
      <c r="AX47" s="231">
        <v>0</v>
      </c>
      <c r="AY47" s="412">
        <f t="shared" si="92"/>
        <v>14471.086151258594</v>
      </c>
      <c r="AZ47" s="417">
        <v>0</v>
      </c>
      <c r="BA47" s="231">
        <v>16688.099014811123</v>
      </c>
      <c r="BB47" s="231">
        <v>0</v>
      </c>
      <c r="BC47" s="231">
        <v>22992.035499014713</v>
      </c>
      <c r="BD47" s="231">
        <v>0</v>
      </c>
      <c r="BE47" s="231">
        <v>41879.75083520211</v>
      </c>
      <c r="BF47" s="231">
        <v>0</v>
      </c>
      <c r="BG47" s="231">
        <v>48232.761297390942</v>
      </c>
      <c r="BH47" s="414">
        <f t="shared" si="93"/>
        <v>129792.64664641889</v>
      </c>
      <c r="BI47" s="415">
        <f t="shared" si="94"/>
        <v>144263.73279767748</v>
      </c>
      <c r="BJ47" s="300">
        <v>25</v>
      </c>
      <c r="BK47" s="231">
        <v>0</v>
      </c>
      <c r="BL47" s="231">
        <v>0</v>
      </c>
      <c r="BM47" s="231">
        <v>0</v>
      </c>
      <c r="BN47" s="231">
        <v>0</v>
      </c>
      <c r="BO47" s="231">
        <v>0</v>
      </c>
      <c r="BP47" s="231">
        <v>0</v>
      </c>
      <c r="BQ47" s="231">
        <v>0</v>
      </c>
      <c r="BR47" s="231">
        <v>0</v>
      </c>
      <c r="BS47" s="412">
        <f t="shared" si="95"/>
        <v>0</v>
      </c>
      <c r="BT47" s="417">
        <v>0</v>
      </c>
      <c r="BU47" s="231">
        <v>856.97216371094282</v>
      </c>
      <c r="BV47" s="231">
        <v>0</v>
      </c>
      <c r="BW47" s="231">
        <v>486.13998595429234</v>
      </c>
      <c r="BX47" s="231">
        <v>0</v>
      </c>
      <c r="BY47" s="231">
        <v>219.22435300170596</v>
      </c>
      <c r="BZ47" s="231">
        <v>0</v>
      </c>
      <c r="CA47" s="231">
        <v>420.82888783355554</v>
      </c>
      <c r="CB47" s="414">
        <f t="shared" si="96"/>
        <v>1983.1653905004969</v>
      </c>
      <c r="CC47" s="415">
        <f t="shared" si="97"/>
        <v>1983.1653905004969</v>
      </c>
      <c r="CD47" s="300">
        <v>25</v>
      </c>
      <c r="CE47" s="414">
        <f t="shared" si="98"/>
        <v>977.58839982728205</v>
      </c>
      <c r="CF47" s="414">
        <f t="shared" si="99"/>
        <v>988.40485324378062</v>
      </c>
      <c r="CG47" s="414">
        <f t="shared" si="100"/>
        <v>5206.1926367767664</v>
      </c>
      <c r="CH47" s="414">
        <f t="shared" si="101"/>
        <v>9819.4304492736755</v>
      </c>
      <c r="CI47" s="416">
        <f t="shared" si="102"/>
        <v>16991.616339121505</v>
      </c>
      <c r="CJ47" s="414">
        <f t="shared" si="103"/>
        <v>21840.200552834915</v>
      </c>
      <c r="CK47" s="414">
        <f t="shared" si="104"/>
        <v>26865.531382667512</v>
      </c>
      <c r="CL47" s="414">
        <f t="shared" si="105"/>
        <v>48709.756318534986</v>
      </c>
      <c r="CM47" s="414">
        <f t="shared" si="106"/>
        <v>58440.009570168557</v>
      </c>
      <c r="CN47" s="416">
        <f t="shared" si="107"/>
        <v>155855.49782420596</v>
      </c>
      <c r="CO47" s="414">
        <f t="shared" si="108"/>
        <v>22817.788952662195</v>
      </c>
      <c r="CP47" s="414">
        <f t="shared" si="109"/>
        <v>27853.936235911293</v>
      </c>
      <c r="CQ47" s="414">
        <f t="shared" si="110"/>
        <v>53915.948955311753</v>
      </c>
      <c r="CR47" s="414">
        <f t="shared" si="111"/>
        <v>68259.440019442234</v>
      </c>
      <c r="CS47" s="416">
        <f t="shared" si="112"/>
        <v>172847.11416332747</v>
      </c>
    </row>
    <row r="48" spans="1:102" ht="15.75" customHeight="1">
      <c r="A48" s="88" t="s">
        <v>213</v>
      </c>
      <c r="B48" s="300">
        <v>26</v>
      </c>
      <c r="C48" s="231">
        <v>832.6637898499913</v>
      </c>
      <c r="D48" s="231">
        <v>1747.3028752813516</v>
      </c>
      <c r="E48" s="231">
        <v>2263.0291135340613</v>
      </c>
      <c r="F48" s="231">
        <v>725.51617158237741</v>
      </c>
      <c r="G48" s="231">
        <v>2188.6149673360023</v>
      </c>
      <c r="H48" s="231">
        <v>100.10880094059318</v>
      </c>
      <c r="I48" s="231">
        <v>944.93802414502125</v>
      </c>
      <c r="J48" s="231">
        <v>188.58739243742633</v>
      </c>
      <c r="K48" s="412">
        <f t="shared" si="86"/>
        <v>8990.7611351068244</v>
      </c>
      <c r="L48" s="417">
        <v>0</v>
      </c>
      <c r="M48" s="231">
        <v>10614.26539673632</v>
      </c>
      <c r="N48" s="231">
        <v>0</v>
      </c>
      <c r="O48" s="231">
        <v>12193.782898212788</v>
      </c>
      <c r="P48" s="231">
        <v>0</v>
      </c>
      <c r="Q48" s="231">
        <v>9128.3782244536669</v>
      </c>
      <c r="R48" s="231">
        <v>0</v>
      </c>
      <c r="S48" s="231">
        <v>23335.796444012012</v>
      </c>
      <c r="T48" s="414">
        <f t="shared" si="87"/>
        <v>55272.222963414788</v>
      </c>
      <c r="U48" s="415">
        <f t="shared" si="88"/>
        <v>64262.984098521614</v>
      </c>
      <c r="V48" s="300">
        <v>26</v>
      </c>
      <c r="W48" s="231">
        <v>125.9481362146838</v>
      </c>
      <c r="X48" s="231">
        <v>417.9469992602879</v>
      </c>
      <c r="Y48" s="231">
        <v>0</v>
      </c>
      <c r="Z48" s="231">
        <v>0</v>
      </c>
      <c r="AA48" s="231">
        <v>0</v>
      </c>
      <c r="AB48" s="231">
        <v>30.140176088830337</v>
      </c>
      <c r="AC48" s="231">
        <v>119.48473000330959</v>
      </c>
      <c r="AD48" s="231">
        <v>0</v>
      </c>
      <c r="AE48" s="412">
        <f t="shared" si="89"/>
        <v>693.52004156711155</v>
      </c>
      <c r="AF48" s="417">
        <v>0</v>
      </c>
      <c r="AG48" s="231">
        <v>2290.5461913118429</v>
      </c>
      <c r="AH48" s="231">
        <v>0</v>
      </c>
      <c r="AI48" s="231">
        <v>2025.8914262554542</v>
      </c>
      <c r="AJ48" s="231">
        <v>0</v>
      </c>
      <c r="AK48" s="231">
        <v>2366.3199650162442</v>
      </c>
      <c r="AL48" s="231">
        <v>0</v>
      </c>
      <c r="AM48" s="231">
        <v>1139.4181731171263</v>
      </c>
      <c r="AN48" s="414">
        <f t="shared" si="90"/>
        <v>7822.1757557006677</v>
      </c>
      <c r="AO48" s="415">
        <f t="shared" si="91"/>
        <v>8515.6957972677792</v>
      </c>
      <c r="AP48" s="300">
        <v>26</v>
      </c>
      <c r="AQ48" s="231">
        <v>2687.4336074660246</v>
      </c>
      <c r="AR48" s="231">
        <v>5579.950463253037</v>
      </c>
      <c r="AS48" s="231">
        <v>2715.9612403520368</v>
      </c>
      <c r="AT48" s="231">
        <v>2053.4337734185187</v>
      </c>
      <c r="AU48" s="231">
        <v>4080.7024603469172</v>
      </c>
      <c r="AV48" s="231">
        <v>2002.3870703950133</v>
      </c>
      <c r="AW48" s="231">
        <v>5361.9216987262625</v>
      </c>
      <c r="AX48" s="231">
        <v>3148.0462937316752</v>
      </c>
      <c r="AY48" s="412">
        <f t="shared" si="92"/>
        <v>27629.836607689482</v>
      </c>
      <c r="AZ48" s="417">
        <v>0</v>
      </c>
      <c r="BA48" s="231">
        <v>39225.152154789612</v>
      </c>
      <c r="BB48" s="231">
        <v>0</v>
      </c>
      <c r="BC48" s="231">
        <v>25362.728258824809</v>
      </c>
      <c r="BD48" s="231">
        <v>0</v>
      </c>
      <c r="BE48" s="231">
        <v>30622.690488129523</v>
      </c>
      <c r="BF48" s="231">
        <v>0</v>
      </c>
      <c r="BG48" s="231">
        <v>44432.635157413453</v>
      </c>
      <c r="BH48" s="414">
        <f t="shared" si="93"/>
        <v>139643.20605915738</v>
      </c>
      <c r="BI48" s="415">
        <f t="shared" si="94"/>
        <v>167273.04266684686</v>
      </c>
      <c r="BJ48" s="300">
        <v>26</v>
      </c>
      <c r="BK48" s="231">
        <v>584.11773384367564</v>
      </c>
      <c r="BL48" s="231">
        <v>350.51264301956911</v>
      </c>
      <c r="BM48" s="231">
        <v>0</v>
      </c>
      <c r="BN48" s="231">
        <v>74.129087339814134</v>
      </c>
      <c r="BO48" s="231">
        <v>206.02654545549248</v>
      </c>
      <c r="BP48" s="231">
        <v>44.009280124370811</v>
      </c>
      <c r="BQ48" s="231">
        <v>0</v>
      </c>
      <c r="BR48" s="231">
        <v>24.165108618368912</v>
      </c>
      <c r="BS48" s="412">
        <f t="shared" si="95"/>
        <v>1282.9603984012911</v>
      </c>
      <c r="BT48" s="417">
        <v>0</v>
      </c>
      <c r="BU48" s="231">
        <v>1972.0105004290406</v>
      </c>
      <c r="BV48" s="231">
        <v>0</v>
      </c>
      <c r="BW48" s="231">
        <v>1249.1611475601435</v>
      </c>
      <c r="BX48" s="231">
        <v>0</v>
      </c>
      <c r="BY48" s="231">
        <v>733.03606686292665</v>
      </c>
      <c r="BZ48" s="231">
        <v>0</v>
      </c>
      <c r="CA48" s="231">
        <v>1289.5548342408263</v>
      </c>
      <c r="CB48" s="414">
        <f t="shared" si="96"/>
        <v>5243.7625490929368</v>
      </c>
      <c r="CC48" s="415">
        <f t="shared" si="97"/>
        <v>6526.7229474942278</v>
      </c>
      <c r="CD48" s="300">
        <v>26</v>
      </c>
      <c r="CE48" s="414">
        <f t="shared" si="98"/>
        <v>12325.876248188621</v>
      </c>
      <c r="CF48" s="414">
        <f t="shared" si="99"/>
        <v>7832.069386226809</v>
      </c>
      <c r="CG48" s="414">
        <f t="shared" si="100"/>
        <v>8651.9893006872171</v>
      </c>
      <c r="CH48" s="414">
        <f t="shared" si="101"/>
        <v>9787.143247662063</v>
      </c>
      <c r="CI48" s="416">
        <f t="shared" si="102"/>
        <v>38597.078182764715</v>
      </c>
      <c r="CJ48" s="414">
        <f t="shared" si="103"/>
        <v>54101.974243266814</v>
      </c>
      <c r="CK48" s="414">
        <f t="shared" si="104"/>
        <v>40831.563730853195</v>
      </c>
      <c r="CL48" s="414">
        <f t="shared" si="105"/>
        <v>42850.424744462362</v>
      </c>
      <c r="CM48" s="414">
        <f t="shared" si="106"/>
        <v>70197.404608783414</v>
      </c>
      <c r="CN48" s="416">
        <f t="shared" si="107"/>
        <v>207981.36732736579</v>
      </c>
      <c r="CO48" s="414">
        <f t="shared" si="108"/>
        <v>66427.850491455436</v>
      </c>
      <c r="CP48" s="414">
        <f t="shared" si="109"/>
        <v>48663.633117080011</v>
      </c>
      <c r="CQ48" s="414">
        <f t="shared" si="110"/>
        <v>51502.414045149584</v>
      </c>
      <c r="CR48" s="414">
        <f t="shared" si="111"/>
        <v>79984.547856445482</v>
      </c>
      <c r="CS48" s="416">
        <f t="shared" si="112"/>
        <v>246578.44551013046</v>
      </c>
      <c r="CT48" s="319"/>
    </row>
    <row r="49" spans="1:98" ht="15.75" customHeight="1">
      <c r="A49" s="88" t="s">
        <v>214</v>
      </c>
      <c r="B49" s="300">
        <v>27</v>
      </c>
      <c r="C49" s="231">
        <v>0</v>
      </c>
      <c r="D49" s="231">
        <v>51316.375023600471</v>
      </c>
      <c r="E49" s="231">
        <v>32385.783126277209</v>
      </c>
      <c r="F49" s="231">
        <v>74146.633692785603</v>
      </c>
      <c r="G49" s="231">
        <v>19057.495654934606</v>
      </c>
      <c r="H49" s="231">
        <v>38857.299928107663</v>
      </c>
      <c r="I49" s="231">
        <v>0</v>
      </c>
      <c r="J49" s="231">
        <v>3000.749849816179</v>
      </c>
      <c r="K49" s="412">
        <f t="shared" si="86"/>
        <v>218764.33727552174</v>
      </c>
      <c r="L49" s="417">
        <v>0</v>
      </c>
      <c r="M49" s="231">
        <v>4667.0355026131738</v>
      </c>
      <c r="N49" s="231">
        <v>0</v>
      </c>
      <c r="O49" s="231">
        <v>62018.01072165696</v>
      </c>
      <c r="P49" s="231">
        <v>0</v>
      </c>
      <c r="Q49" s="231">
        <v>4946.1399080598194</v>
      </c>
      <c r="R49" s="231">
        <v>0</v>
      </c>
      <c r="S49" s="231">
        <v>21455.50134951753</v>
      </c>
      <c r="T49" s="414">
        <f t="shared" si="87"/>
        <v>93086.687481847475</v>
      </c>
      <c r="U49" s="415">
        <f t="shared" si="88"/>
        <v>311851.02475736919</v>
      </c>
      <c r="V49" s="300">
        <v>27</v>
      </c>
      <c r="W49" s="231">
        <v>0</v>
      </c>
      <c r="X49" s="231">
        <v>1056.0682217143569</v>
      </c>
      <c r="Y49" s="231">
        <v>0</v>
      </c>
      <c r="Z49" s="231">
        <v>0</v>
      </c>
      <c r="AA49" s="231">
        <v>0</v>
      </c>
      <c r="AB49" s="231">
        <v>0</v>
      </c>
      <c r="AC49" s="231">
        <v>0</v>
      </c>
      <c r="AD49" s="231">
        <v>0</v>
      </c>
      <c r="AE49" s="412">
        <f t="shared" si="89"/>
        <v>1056.0682217143569</v>
      </c>
      <c r="AF49" s="417">
        <v>0</v>
      </c>
      <c r="AG49" s="231">
        <v>11713.151013464028</v>
      </c>
      <c r="AH49" s="231">
        <v>0</v>
      </c>
      <c r="AI49" s="231">
        <v>7377.3499898004557</v>
      </c>
      <c r="AJ49" s="231">
        <v>0</v>
      </c>
      <c r="AK49" s="231">
        <v>0</v>
      </c>
      <c r="AL49" s="231">
        <v>0</v>
      </c>
      <c r="AM49" s="231">
        <v>0</v>
      </c>
      <c r="AN49" s="414">
        <f t="shared" si="90"/>
        <v>19090.501003264486</v>
      </c>
      <c r="AO49" s="415">
        <f t="shared" si="91"/>
        <v>20146.569224978844</v>
      </c>
      <c r="AP49" s="300">
        <v>27</v>
      </c>
      <c r="AQ49" s="231">
        <v>2766.1786943768097</v>
      </c>
      <c r="AR49" s="231">
        <v>67478.949121406549</v>
      </c>
      <c r="AS49" s="231">
        <v>6145.7277378673889</v>
      </c>
      <c r="AT49" s="231">
        <v>2091.669408530332</v>
      </c>
      <c r="AU49" s="231">
        <v>0</v>
      </c>
      <c r="AV49" s="231">
        <v>9862.5811816329169</v>
      </c>
      <c r="AW49" s="231">
        <v>12174.989150894065</v>
      </c>
      <c r="AX49" s="231">
        <v>5219.958034140167</v>
      </c>
      <c r="AY49" s="412">
        <f t="shared" si="92"/>
        <v>105740.05332884824</v>
      </c>
      <c r="AZ49" s="417">
        <v>0</v>
      </c>
      <c r="BA49" s="231">
        <v>114065.68538175666</v>
      </c>
      <c r="BB49" s="231">
        <v>0</v>
      </c>
      <c r="BC49" s="231">
        <v>47211.814535270489</v>
      </c>
      <c r="BD49" s="231">
        <v>0</v>
      </c>
      <c r="BE49" s="231">
        <v>77190.889857049042</v>
      </c>
      <c r="BF49" s="231">
        <v>0</v>
      </c>
      <c r="BG49" s="231">
        <v>132533.98711942029</v>
      </c>
      <c r="BH49" s="414">
        <f t="shared" si="93"/>
        <v>371002.37689349649</v>
      </c>
      <c r="BI49" s="415">
        <f t="shared" si="94"/>
        <v>476742.4302223447</v>
      </c>
      <c r="BJ49" s="300">
        <v>27</v>
      </c>
      <c r="BK49" s="231">
        <v>51320.97532077838</v>
      </c>
      <c r="BL49" s="231">
        <v>392617.11295665469</v>
      </c>
      <c r="BM49" s="231">
        <v>50594.012958322404</v>
      </c>
      <c r="BN49" s="231">
        <v>253755.19652411749</v>
      </c>
      <c r="BO49" s="231">
        <v>44867.335460853683</v>
      </c>
      <c r="BP49" s="231">
        <v>328547.07481194031</v>
      </c>
      <c r="BQ49" s="231">
        <v>25223.924335965185</v>
      </c>
      <c r="BR49" s="231">
        <v>335343.2956824206</v>
      </c>
      <c r="BS49" s="412">
        <f t="shared" si="95"/>
        <v>1482268.9280510526</v>
      </c>
      <c r="BT49" s="417">
        <v>0</v>
      </c>
      <c r="BU49" s="231">
        <v>7135.1994757746925</v>
      </c>
      <c r="BV49" s="231">
        <v>0</v>
      </c>
      <c r="BW49" s="231">
        <v>87522.336019797076</v>
      </c>
      <c r="BX49" s="231">
        <v>0</v>
      </c>
      <c r="BY49" s="231">
        <v>27031.057541734932</v>
      </c>
      <c r="BZ49" s="231">
        <v>0</v>
      </c>
      <c r="CA49" s="231">
        <v>14475.386436282462</v>
      </c>
      <c r="CB49" s="414">
        <f t="shared" si="96"/>
        <v>136163.97947358916</v>
      </c>
      <c r="CC49" s="415">
        <f t="shared" si="97"/>
        <v>1618432.9075246418</v>
      </c>
      <c r="CD49" s="300">
        <v>27</v>
      </c>
      <c r="CE49" s="414">
        <f t="shared" si="98"/>
        <v>566555.65933853132</v>
      </c>
      <c r="CF49" s="414">
        <f t="shared" si="99"/>
        <v>419119.02344790043</v>
      </c>
      <c r="CG49" s="414">
        <f t="shared" si="100"/>
        <v>441191.78703746921</v>
      </c>
      <c r="CH49" s="414">
        <f t="shared" si="101"/>
        <v>380962.91705323622</v>
      </c>
      <c r="CI49" s="416">
        <f t="shared" si="102"/>
        <v>1807829.386877137</v>
      </c>
      <c r="CJ49" s="414">
        <f t="shared" si="103"/>
        <v>137581.07137360855</v>
      </c>
      <c r="CK49" s="414">
        <f t="shared" si="104"/>
        <v>204129.51126652496</v>
      </c>
      <c r="CL49" s="414">
        <f t="shared" si="105"/>
        <v>109168.08730684379</v>
      </c>
      <c r="CM49" s="414">
        <f t="shared" si="106"/>
        <v>168464.87490522026</v>
      </c>
      <c r="CN49" s="416">
        <f t="shared" si="107"/>
        <v>619343.54485219764</v>
      </c>
      <c r="CO49" s="414">
        <f t="shared" si="108"/>
        <v>704136.73071213986</v>
      </c>
      <c r="CP49" s="414">
        <f t="shared" si="109"/>
        <v>623248.53471442545</v>
      </c>
      <c r="CQ49" s="414">
        <f t="shared" si="110"/>
        <v>550359.87434431294</v>
      </c>
      <c r="CR49" s="414">
        <f t="shared" si="111"/>
        <v>549427.79195845639</v>
      </c>
      <c r="CS49" s="416">
        <f t="shared" si="112"/>
        <v>2427172.9317293344</v>
      </c>
      <c r="CT49" s="319"/>
    </row>
    <row r="50" spans="1:98" ht="15.75" customHeight="1">
      <c r="A50" s="88" t="s">
        <v>215</v>
      </c>
      <c r="B50" s="300">
        <v>28</v>
      </c>
      <c r="C50" s="231">
        <v>0</v>
      </c>
      <c r="D50" s="231">
        <v>12548.720643874805</v>
      </c>
      <c r="E50" s="231">
        <v>19596.81397430351</v>
      </c>
      <c r="F50" s="231">
        <v>77940.039097005705</v>
      </c>
      <c r="G50" s="231">
        <v>17319.797420035269</v>
      </c>
      <c r="H50" s="231">
        <v>97945.391562330493</v>
      </c>
      <c r="I50" s="231">
        <v>8672.2774798950613</v>
      </c>
      <c r="J50" s="231">
        <v>43222.278041539823</v>
      </c>
      <c r="K50" s="412">
        <f t="shared" si="86"/>
        <v>277245.31821898464</v>
      </c>
      <c r="L50" s="417">
        <v>0</v>
      </c>
      <c r="M50" s="231">
        <v>0</v>
      </c>
      <c r="N50" s="231">
        <v>0</v>
      </c>
      <c r="O50" s="231">
        <v>0</v>
      </c>
      <c r="P50" s="231">
        <v>0</v>
      </c>
      <c r="Q50" s="231">
        <v>0</v>
      </c>
      <c r="R50" s="231">
        <v>0</v>
      </c>
      <c r="S50" s="231">
        <v>0</v>
      </c>
      <c r="T50" s="414">
        <f t="shared" si="87"/>
        <v>0</v>
      </c>
      <c r="U50" s="415">
        <f t="shared" si="88"/>
        <v>277245.31821898464</v>
      </c>
      <c r="V50" s="300">
        <v>28</v>
      </c>
      <c r="W50" s="231">
        <v>0</v>
      </c>
      <c r="X50" s="231">
        <v>0</v>
      </c>
      <c r="Y50" s="231">
        <v>0</v>
      </c>
      <c r="Z50" s="231">
        <v>284.96558419720611</v>
      </c>
      <c r="AA50" s="231">
        <v>0</v>
      </c>
      <c r="AB50" s="231">
        <v>0</v>
      </c>
      <c r="AC50" s="231">
        <v>0</v>
      </c>
      <c r="AD50" s="231">
        <v>0</v>
      </c>
      <c r="AE50" s="412">
        <f t="shared" si="89"/>
        <v>284.96558419720611</v>
      </c>
      <c r="AF50" s="417">
        <v>0</v>
      </c>
      <c r="AG50" s="231">
        <v>0</v>
      </c>
      <c r="AH50" s="231">
        <v>0</v>
      </c>
      <c r="AI50" s="231">
        <v>0</v>
      </c>
      <c r="AJ50" s="231">
        <v>0</v>
      </c>
      <c r="AK50" s="231">
        <v>0</v>
      </c>
      <c r="AL50" s="231">
        <v>0</v>
      </c>
      <c r="AM50" s="231">
        <v>0</v>
      </c>
      <c r="AN50" s="414">
        <f t="shared" si="90"/>
        <v>0</v>
      </c>
      <c r="AO50" s="415">
        <f t="shared" si="91"/>
        <v>284.96558419720611</v>
      </c>
      <c r="AP50" s="300">
        <v>28</v>
      </c>
      <c r="AQ50" s="231">
        <v>166085.65908753467</v>
      </c>
      <c r="AR50" s="231">
        <v>1135856.4360108862</v>
      </c>
      <c r="AS50" s="231">
        <v>151195.71242638642</v>
      </c>
      <c r="AT50" s="231">
        <v>1074107.8744900101</v>
      </c>
      <c r="AU50" s="231">
        <v>199495.79541673971</v>
      </c>
      <c r="AV50" s="231">
        <v>1208643.9250835853</v>
      </c>
      <c r="AW50" s="231">
        <v>244727.17550833611</v>
      </c>
      <c r="AX50" s="231">
        <v>1370255.9218846869</v>
      </c>
      <c r="AY50" s="412">
        <f t="shared" si="92"/>
        <v>5550368.4999081651</v>
      </c>
      <c r="AZ50" s="417">
        <v>0</v>
      </c>
      <c r="BA50" s="231">
        <v>0</v>
      </c>
      <c r="BB50" s="231">
        <v>0</v>
      </c>
      <c r="BC50" s="231">
        <v>0</v>
      </c>
      <c r="BD50" s="231">
        <v>0</v>
      </c>
      <c r="BE50" s="231">
        <v>0</v>
      </c>
      <c r="BF50" s="231">
        <v>0</v>
      </c>
      <c r="BG50" s="231">
        <v>0</v>
      </c>
      <c r="BH50" s="414">
        <f t="shared" si="93"/>
        <v>0</v>
      </c>
      <c r="BI50" s="415">
        <f t="shared" si="94"/>
        <v>5550368.4999081651</v>
      </c>
      <c r="BJ50" s="300">
        <v>28</v>
      </c>
      <c r="BK50" s="231">
        <v>0</v>
      </c>
      <c r="BL50" s="231">
        <v>18679.786709042946</v>
      </c>
      <c r="BM50" s="231">
        <v>0</v>
      </c>
      <c r="BN50" s="231">
        <v>3954.0050810182902</v>
      </c>
      <c r="BO50" s="231">
        <v>0</v>
      </c>
      <c r="BP50" s="231">
        <v>2557.5130345306029</v>
      </c>
      <c r="BQ50" s="231">
        <v>0</v>
      </c>
      <c r="BR50" s="231">
        <v>5335.7961588496564</v>
      </c>
      <c r="BS50" s="412">
        <f t="shared" si="95"/>
        <v>30527.100983441494</v>
      </c>
      <c r="BT50" s="417">
        <v>0</v>
      </c>
      <c r="BU50" s="231">
        <v>0</v>
      </c>
      <c r="BV50" s="231">
        <v>0</v>
      </c>
      <c r="BW50" s="231">
        <v>0</v>
      </c>
      <c r="BX50" s="231">
        <v>0</v>
      </c>
      <c r="BY50" s="231">
        <v>0</v>
      </c>
      <c r="BZ50" s="231">
        <v>0</v>
      </c>
      <c r="CA50" s="231">
        <v>0</v>
      </c>
      <c r="CB50" s="414">
        <f t="shared" si="96"/>
        <v>0</v>
      </c>
      <c r="CC50" s="415">
        <f t="shared" si="97"/>
        <v>30527.100983441494</v>
      </c>
      <c r="CD50" s="300">
        <v>28</v>
      </c>
      <c r="CE50" s="414">
        <f t="shared" si="98"/>
        <v>1333170.6024513387</v>
      </c>
      <c r="CF50" s="414">
        <f t="shared" si="99"/>
        <v>1327079.4106529211</v>
      </c>
      <c r="CG50" s="414">
        <f t="shared" si="100"/>
        <v>1525962.4225172214</v>
      </c>
      <c r="CH50" s="414">
        <f t="shared" si="101"/>
        <v>1672213.4490733077</v>
      </c>
      <c r="CI50" s="416">
        <f t="shared" si="102"/>
        <v>5858425.8846947886</v>
      </c>
      <c r="CJ50" s="414">
        <f t="shared" si="103"/>
        <v>0</v>
      </c>
      <c r="CK50" s="414">
        <f t="shared" si="104"/>
        <v>0</v>
      </c>
      <c r="CL50" s="414">
        <f t="shared" si="105"/>
        <v>0</v>
      </c>
      <c r="CM50" s="414">
        <f t="shared" si="106"/>
        <v>0</v>
      </c>
      <c r="CN50" s="416">
        <f t="shared" si="107"/>
        <v>0</v>
      </c>
      <c r="CO50" s="414">
        <f t="shared" si="108"/>
        <v>1333170.6024513387</v>
      </c>
      <c r="CP50" s="414">
        <f t="shared" si="109"/>
        <v>1327079.4106529211</v>
      </c>
      <c r="CQ50" s="414">
        <f t="shared" si="110"/>
        <v>1525962.4225172214</v>
      </c>
      <c r="CR50" s="414">
        <f t="shared" si="111"/>
        <v>1672213.4490733077</v>
      </c>
      <c r="CS50" s="416">
        <f t="shared" si="112"/>
        <v>5858425.8846947886</v>
      </c>
      <c r="CT50" s="319"/>
    </row>
    <row r="51" spans="1:98" ht="15.75" customHeight="1">
      <c r="A51" s="88" t="s">
        <v>216</v>
      </c>
      <c r="B51" s="300">
        <v>29</v>
      </c>
      <c r="C51" s="231">
        <v>200.01292077923424</v>
      </c>
      <c r="D51" s="231">
        <v>138.21892890448984</v>
      </c>
      <c r="E51" s="231">
        <v>0</v>
      </c>
      <c r="F51" s="231">
        <v>453.7729104172933</v>
      </c>
      <c r="G51" s="231">
        <v>2045.8837966745928</v>
      </c>
      <c r="H51" s="231">
        <v>104.81223622221127</v>
      </c>
      <c r="I51" s="231">
        <v>668.45627068416206</v>
      </c>
      <c r="J51" s="231">
        <v>0</v>
      </c>
      <c r="K51" s="412">
        <f t="shared" si="86"/>
        <v>3611.1570636819833</v>
      </c>
      <c r="L51" s="417">
        <v>0</v>
      </c>
      <c r="M51" s="231">
        <v>2577.1032794704402</v>
      </c>
      <c r="N51" s="231">
        <v>0</v>
      </c>
      <c r="O51" s="231">
        <v>5660.8064246923304</v>
      </c>
      <c r="P51" s="231">
        <v>0</v>
      </c>
      <c r="Q51" s="231">
        <v>7809.1087320315946</v>
      </c>
      <c r="R51" s="231">
        <v>0</v>
      </c>
      <c r="S51" s="231">
        <v>17479.446224782831</v>
      </c>
      <c r="T51" s="414">
        <f t="shared" si="87"/>
        <v>33526.464660977195</v>
      </c>
      <c r="U51" s="415">
        <f t="shared" si="88"/>
        <v>37137.621724659177</v>
      </c>
      <c r="V51" s="300">
        <v>29</v>
      </c>
      <c r="W51" s="231">
        <v>0</v>
      </c>
      <c r="X51" s="231">
        <v>0</v>
      </c>
      <c r="Y51" s="231">
        <v>0</v>
      </c>
      <c r="Z51" s="231">
        <v>0</v>
      </c>
      <c r="AA51" s="231">
        <v>408.35466316817411</v>
      </c>
      <c r="AB51" s="231">
        <v>0</v>
      </c>
      <c r="AC51" s="231">
        <v>0</v>
      </c>
      <c r="AD51" s="231">
        <v>0</v>
      </c>
      <c r="AE51" s="412">
        <f t="shared" si="89"/>
        <v>408.35466316817411</v>
      </c>
      <c r="AF51" s="417">
        <v>0</v>
      </c>
      <c r="AG51" s="231">
        <v>716.27268810600515</v>
      </c>
      <c r="AH51" s="231">
        <v>0</v>
      </c>
      <c r="AI51" s="231">
        <v>1197.634890469127</v>
      </c>
      <c r="AJ51" s="231">
        <v>0</v>
      </c>
      <c r="AK51" s="231">
        <v>64.763204621011369</v>
      </c>
      <c r="AL51" s="231">
        <v>0</v>
      </c>
      <c r="AM51" s="231">
        <v>0</v>
      </c>
      <c r="AN51" s="414">
        <f t="shared" si="90"/>
        <v>1978.6707831961435</v>
      </c>
      <c r="AO51" s="415">
        <f t="shared" si="91"/>
        <v>2387.0254463643178</v>
      </c>
      <c r="AP51" s="300">
        <v>29</v>
      </c>
      <c r="AQ51" s="231">
        <v>6372.6816734694548</v>
      </c>
      <c r="AR51" s="231">
        <v>6880.8244993551389</v>
      </c>
      <c r="AS51" s="231">
        <v>5338.415333265707</v>
      </c>
      <c r="AT51" s="231">
        <v>14494.448636546156</v>
      </c>
      <c r="AU51" s="231">
        <v>5516.2049784022956</v>
      </c>
      <c r="AV51" s="231">
        <v>24291.112613575071</v>
      </c>
      <c r="AW51" s="231">
        <v>6066.1025120799513</v>
      </c>
      <c r="AX51" s="231">
        <v>16117.528145632188</v>
      </c>
      <c r="AY51" s="412">
        <f t="shared" si="92"/>
        <v>85077.318392325949</v>
      </c>
      <c r="AZ51" s="417">
        <v>0</v>
      </c>
      <c r="BA51" s="231">
        <v>48403.371233508034</v>
      </c>
      <c r="BB51" s="231">
        <v>0</v>
      </c>
      <c r="BC51" s="231">
        <v>41957.45852542694</v>
      </c>
      <c r="BD51" s="231">
        <v>0</v>
      </c>
      <c r="BE51" s="231">
        <v>69327.635499750992</v>
      </c>
      <c r="BF51" s="231">
        <v>0</v>
      </c>
      <c r="BG51" s="231">
        <v>37583.17679342247</v>
      </c>
      <c r="BH51" s="414">
        <f t="shared" si="93"/>
        <v>197271.64205210842</v>
      </c>
      <c r="BI51" s="415">
        <f t="shared" si="94"/>
        <v>282348.96044443437</v>
      </c>
      <c r="BJ51" s="300">
        <v>29</v>
      </c>
      <c r="BK51" s="231">
        <v>419.19708001515812</v>
      </c>
      <c r="BL51" s="231">
        <v>523.83383952081442</v>
      </c>
      <c r="BM51" s="231">
        <v>671.44577868342037</v>
      </c>
      <c r="BN51" s="231">
        <v>0</v>
      </c>
      <c r="BO51" s="231">
        <v>0</v>
      </c>
      <c r="BP51" s="231">
        <v>0</v>
      </c>
      <c r="BQ51" s="231">
        <v>1157.8124172997739</v>
      </c>
      <c r="BR51" s="231">
        <v>356.24997455377661</v>
      </c>
      <c r="BS51" s="412">
        <f t="shared" si="95"/>
        <v>3128.5390900729431</v>
      </c>
      <c r="BT51" s="417">
        <v>0</v>
      </c>
      <c r="BU51" s="231">
        <v>2096.413966829085</v>
      </c>
      <c r="BV51" s="231">
        <v>0</v>
      </c>
      <c r="BW51" s="231">
        <v>838.8041930018876</v>
      </c>
      <c r="BX51" s="231">
        <v>0</v>
      </c>
      <c r="BY51" s="231">
        <v>938.52752915317546</v>
      </c>
      <c r="BZ51" s="231">
        <v>0</v>
      </c>
      <c r="CA51" s="231">
        <v>1105.0294999718219</v>
      </c>
      <c r="CB51" s="414">
        <f t="shared" si="96"/>
        <v>4978.7751889559695</v>
      </c>
      <c r="CC51" s="415">
        <f t="shared" si="97"/>
        <v>8107.314279028913</v>
      </c>
      <c r="CD51" s="300">
        <v>29</v>
      </c>
      <c r="CE51" s="414">
        <f t="shared" si="98"/>
        <v>14534.768942044289</v>
      </c>
      <c r="CF51" s="414">
        <f t="shared" si="99"/>
        <v>20958.082658912575</v>
      </c>
      <c r="CG51" s="414">
        <f t="shared" si="100"/>
        <v>32366.368288042344</v>
      </c>
      <c r="CH51" s="414">
        <f t="shared" si="101"/>
        <v>24366.149320249853</v>
      </c>
      <c r="CI51" s="416">
        <f t="shared" si="102"/>
        <v>92225.369209249053</v>
      </c>
      <c r="CJ51" s="414">
        <f t="shared" si="103"/>
        <v>53793.161167913568</v>
      </c>
      <c r="CK51" s="414">
        <f t="shared" si="104"/>
        <v>49654.704033590286</v>
      </c>
      <c r="CL51" s="414">
        <f t="shared" si="105"/>
        <v>78140.03496555677</v>
      </c>
      <c r="CM51" s="414">
        <f t="shared" si="106"/>
        <v>56167.652518177121</v>
      </c>
      <c r="CN51" s="416">
        <f t="shared" si="107"/>
        <v>237755.55268523775</v>
      </c>
      <c r="CO51" s="414">
        <f t="shared" si="108"/>
        <v>68327.930109957859</v>
      </c>
      <c r="CP51" s="414">
        <f t="shared" si="109"/>
        <v>70612.786692502865</v>
      </c>
      <c r="CQ51" s="414">
        <f t="shared" si="110"/>
        <v>110506.40325359911</v>
      </c>
      <c r="CR51" s="414">
        <f t="shared" si="111"/>
        <v>80533.801838426967</v>
      </c>
      <c r="CS51" s="416">
        <f t="shared" si="112"/>
        <v>329980.92189448676</v>
      </c>
      <c r="CT51" s="319"/>
    </row>
    <row r="52" spans="1:98" ht="15.75" customHeight="1">
      <c r="A52" s="88" t="s">
        <v>217</v>
      </c>
      <c r="B52" s="300">
        <v>30</v>
      </c>
      <c r="C52" s="231">
        <v>5661.5857368690831</v>
      </c>
      <c r="D52" s="231">
        <v>10117.273573068085</v>
      </c>
      <c r="E52" s="231">
        <v>23811.692185667143</v>
      </c>
      <c r="F52" s="231">
        <v>30308.256899006821</v>
      </c>
      <c r="G52" s="231">
        <v>14175.048430504179</v>
      </c>
      <c r="H52" s="231">
        <v>23448.624843868318</v>
      </c>
      <c r="I52" s="231">
        <v>11871.965392885173</v>
      </c>
      <c r="J52" s="231">
        <v>23938.754990604422</v>
      </c>
      <c r="K52" s="412">
        <f t="shared" si="86"/>
        <v>143333.20205247321</v>
      </c>
      <c r="L52" s="417">
        <v>0</v>
      </c>
      <c r="M52" s="231">
        <v>0</v>
      </c>
      <c r="N52" s="231">
        <v>0</v>
      </c>
      <c r="O52" s="231">
        <v>0</v>
      </c>
      <c r="P52" s="231">
        <v>0</v>
      </c>
      <c r="Q52" s="231">
        <v>0</v>
      </c>
      <c r="R52" s="231">
        <v>0</v>
      </c>
      <c r="S52" s="231">
        <v>0</v>
      </c>
      <c r="T52" s="414">
        <f t="shared" si="87"/>
        <v>0</v>
      </c>
      <c r="U52" s="415">
        <f t="shared" si="88"/>
        <v>143333.20205247321</v>
      </c>
      <c r="V52" s="300">
        <v>30</v>
      </c>
      <c r="W52" s="231">
        <v>0</v>
      </c>
      <c r="X52" s="231">
        <v>0</v>
      </c>
      <c r="Y52" s="231">
        <v>0</v>
      </c>
      <c r="Z52" s="231">
        <v>266.86871815475621</v>
      </c>
      <c r="AA52" s="231">
        <v>0</v>
      </c>
      <c r="AB52" s="231">
        <v>0</v>
      </c>
      <c r="AC52" s="231">
        <v>0</v>
      </c>
      <c r="AD52" s="231">
        <v>0</v>
      </c>
      <c r="AE52" s="412">
        <f t="shared" si="89"/>
        <v>266.86871815475621</v>
      </c>
      <c r="AF52" s="417">
        <v>0</v>
      </c>
      <c r="AG52" s="231">
        <v>0</v>
      </c>
      <c r="AH52" s="231">
        <v>0</v>
      </c>
      <c r="AI52" s="231">
        <v>0</v>
      </c>
      <c r="AJ52" s="231">
        <v>0</v>
      </c>
      <c r="AK52" s="231">
        <v>0</v>
      </c>
      <c r="AL52" s="231">
        <v>0</v>
      </c>
      <c r="AM52" s="231">
        <v>0</v>
      </c>
      <c r="AN52" s="414">
        <f t="shared" si="90"/>
        <v>0</v>
      </c>
      <c r="AO52" s="415">
        <f t="shared" si="91"/>
        <v>266.86871815475621</v>
      </c>
      <c r="AP52" s="300">
        <v>30</v>
      </c>
      <c r="AQ52" s="231">
        <v>172357.59425280744</v>
      </c>
      <c r="AR52" s="231">
        <v>408326.73779406329</v>
      </c>
      <c r="AS52" s="231">
        <v>169902.21664364118</v>
      </c>
      <c r="AT52" s="231">
        <v>426108.32738775364</v>
      </c>
      <c r="AU52" s="231">
        <v>198762.58211672751</v>
      </c>
      <c r="AV52" s="231">
        <v>491741.13362047612</v>
      </c>
      <c r="AW52" s="231">
        <v>239229.24254252302</v>
      </c>
      <c r="AX52" s="231">
        <v>579728.15754618018</v>
      </c>
      <c r="AY52" s="412">
        <f t="shared" si="92"/>
        <v>2686155.9919041726</v>
      </c>
      <c r="AZ52" s="417">
        <v>0</v>
      </c>
      <c r="BA52" s="231">
        <v>0</v>
      </c>
      <c r="BB52" s="231">
        <v>0</v>
      </c>
      <c r="BC52" s="231">
        <v>0</v>
      </c>
      <c r="BD52" s="231">
        <v>0</v>
      </c>
      <c r="BE52" s="231">
        <v>0</v>
      </c>
      <c r="BF52" s="231">
        <v>0</v>
      </c>
      <c r="BG52" s="231">
        <v>0</v>
      </c>
      <c r="BH52" s="414">
        <f t="shared" si="93"/>
        <v>0</v>
      </c>
      <c r="BI52" s="415">
        <f t="shared" si="94"/>
        <v>2686155.9919041726</v>
      </c>
      <c r="BJ52" s="300">
        <v>30</v>
      </c>
      <c r="BK52" s="231">
        <v>0</v>
      </c>
      <c r="BL52" s="231">
        <v>0</v>
      </c>
      <c r="BM52" s="231">
        <v>0</v>
      </c>
      <c r="BN52" s="231">
        <v>0</v>
      </c>
      <c r="BO52" s="231">
        <v>0</v>
      </c>
      <c r="BP52" s="231">
        <v>0</v>
      </c>
      <c r="BQ52" s="231">
        <v>0</v>
      </c>
      <c r="BR52" s="231">
        <v>0</v>
      </c>
      <c r="BS52" s="412">
        <f t="shared" si="95"/>
        <v>0</v>
      </c>
      <c r="BT52" s="417">
        <v>0</v>
      </c>
      <c r="BU52" s="231">
        <v>0</v>
      </c>
      <c r="BV52" s="231">
        <v>0</v>
      </c>
      <c r="BW52" s="231">
        <v>0</v>
      </c>
      <c r="BX52" s="231">
        <v>0</v>
      </c>
      <c r="BY52" s="231">
        <v>0</v>
      </c>
      <c r="BZ52" s="231">
        <v>0</v>
      </c>
      <c r="CA52" s="231">
        <v>0</v>
      </c>
      <c r="CB52" s="414">
        <f t="shared" si="96"/>
        <v>0</v>
      </c>
      <c r="CC52" s="415">
        <f t="shared" si="97"/>
        <v>0</v>
      </c>
      <c r="CD52" s="300">
        <v>30</v>
      </c>
      <c r="CE52" s="414">
        <f t="shared" si="98"/>
        <v>596463.19135680795</v>
      </c>
      <c r="CF52" s="414">
        <f t="shared" si="99"/>
        <v>650397.36183422362</v>
      </c>
      <c r="CG52" s="414">
        <f t="shared" si="100"/>
        <v>728127.38901157607</v>
      </c>
      <c r="CH52" s="414">
        <f t="shared" si="101"/>
        <v>854768.12047219276</v>
      </c>
      <c r="CI52" s="416">
        <f t="shared" si="102"/>
        <v>2829756.0626748004</v>
      </c>
      <c r="CJ52" s="414">
        <f t="shared" si="103"/>
        <v>0</v>
      </c>
      <c r="CK52" s="414">
        <f t="shared" si="104"/>
        <v>0</v>
      </c>
      <c r="CL52" s="414">
        <f t="shared" si="105"/>
        <v>0</v>
      </c>
      <c r="CM52" s="414">
        <f t="shared" si="106"/>
        <v>0</v>
      </c>
      <c r="CN52" s="416">
        <f t="shared" si="107"/>
        <v>0</v>
      </c>
      <c r="CO52" s="414">
        <f t="shared" si="108"/>
        <v>596463.19135680795</v>
      </c>
      <c r="CP52" s="414">
        <f t="shared" si="109"/>
        <v>650397.36183422362</v>
      </c>
      <c r="CQ52" s="414">
        <f t="shared" si="110"/>
        <v>728127.38901157607</v>
      </c>
      <c r="CR52" s="414">
        <f t="shared" si="111"/>
        <v>854768.12047219276</v>
      </c>
      <c r="CS52" s="416">
        <f t="shared" si="112"/>
        <v>2829756.0626748004</v>
      </c>
      <c r="CT52" s="319"/>
    </row>
    <row r="53" spans="1:98" ht="15.75" customHeight="1">
      <c r="A53" s="88" t="s">
        <v>218</v>
      </c>
      <c r="B53" s="300">
        <v>31</v>
      </c>
      <c r="C53" s="231">
        <v>2451.4583635306849</v>
      </c>
      <c r="D53" s="231">
        <v>11488.682165682982</v>
      </c>
      <c r="E53" s="231">
        <v>37493.463417501705</v>
      </c>
      <c r="F53" s="231">
        <v>6577.1297989457025</v>
      </c>
      <c r="G53" s="231">
        <v>23668.329541926963</v>
      </c>
      <c r="H53" s="231">
        <v>7438.5632984820841</v>
      </c>
      <c r="I53" s="231">
        <v>832.92934287778519</v>
      </c>
      <c r="J53" s="231">
        <v>3013.0914248356485</v>
      </c>
      <c r="K53" s="412">
        <f t="shared" si="86"/>
        <v>92963.647353783555</v>
      </c>
      <c r="L53" s="417">
        <v>0</v>
      </c>
      <c r="M53" s="231">
        <v>0</v>
      </c>
      <c r="N53" s="231">
        <v>0</v>
      </c>
      <c r="O53" s="231">
        <v>0</v>
      </c>
      <c r="P53" s="231">
        <v>0</v>
      </c>
      <c r="Q53" s="231">
        <v>0</v>
      </c>
      <c r="R53" s="231">
        <v>0</v>
      </c>
      <c r="S53" s="231">
        <v>0</v>
      </c>
      <c r="T53" s="414">
        <f t="shared" si="87"/>
        <v>0</v>
      </c>
      <c r="U53" s="415">
        <f t="shared" si="88"/>
        <v>92963.647353783555</v>
      </c>
      <c r="V53" s="300">
        <v>31</v>
      </c>
      <c r="W53" s="231">
        <v>326.90111772158048</v>
      </c>
      <c r="X53" s="231">
        <v>555.03585516237501</v>
      </c>
      <c r="Y53" s="231">
        <v>0</v>
      </c>
      <c r="Z53" s="231">
        <v>150.13992844952904</v>
      </c>
      <c r="AA53" s="231">
        <v>0</v>
      </c>
      <c r="AB53" s="231">
        <v>150.75113082109206</v>
      </c>
      <c r="AC53" s="231">
        <v>0</v>
      </c>
      <c r="AD53" s="231">
        <v>0</v>
      </c>
      <c r="AE53" s="412">
        <f t="shared" si="89"/>
        <v>1182.8280321545767</v>
      </c>
      <c r="AF53" s="417">
        <v>0</v>
      </c>
      <c r="AG53" s="231">
        <v>0</v>
      </c>
      <c r="AH53" s="231">
        <v>0</v>
      </c>
      <c r="AI53" s="231">
        <v>0</v>
      </c>
      <c r="AJ53" s="231">
        <v>0</v>
      </c>
      <c r="AK53" s="231">
        <v>0</v>
      </c>
      <c r="AL53" s="231">
        <v>0</v>
      </c>
      <c r="AM53" s="231">
        <v>0</v>
      </c>
      <c r="AN53" s="414">
        <f t="shared" si="90"/>
        <v>0</v>
      </c>
      <c r="AO53" s="415">
        <f t="shared" si="91"/>
        <v>1182.8280321545767</v>
      </c>
      <c r="AP53" s="300">
        <v>31</v>
      </c>
      <c r="AQ53" s="231">
        <v>468074.23746598064</v>
      </c>
      <c r="AR53" s="231">
        <v>246117.90914870147</v>
      </c>
      <c r="AS53" s="231">
        <v>428274.00577168493</v>
      </c>
      <c r="AT53" s="231">
        <v>277762.47098991071</v>
      </c>
      <c r="AU53" s="231">
        <v>558015.55176109506</v>
      </c>
      <c r="AV53" s="231">
        <v>279892.0166884521</v>
      </c>
      <c r="AW53" s="231">
        <v>610836.08775606146</v>
      </c>
      <c r="AX53" s="231">
        <v>317042.47689095704</v>
      </c>
      <c r="AY53" s="412">
        <f t="shared" si="92"/>
        <v>3186014.7564728432</v>
      </c>
      <c r="AZ53" s="417">
        <v>0</v>
      </c>
      <c r="BA53" s="231">
        <v>0</v>
      </c>
      <c r="BB53" s="231">
        <v>0</v>
      </c>
      <c r="BC53" s="231">
        <v>0</v>
      </c>
      <c r="BD53" s="231">
        <v>0</v>
      </c>
      <c r="BE53" s="231">
        <v>0</v>
      </c>
      <c r="BF53" s="231">
        <v>0</v>
      </c>
      <c r="BG53" s="231">
        <v>0</v>
      </c>
      <c r="BH53" s="414">
        <f t="shared" si="93"/>
        <v>0</v>
      </c>
      <c r="BI53" s="415">
        <f t="shared" si="94"/>
        <v>3186014.7564728432</v>
      </c>
      <c r="BJ53" s="300">
        <v>31</v>
      </c>
      <c r="BK53" s="231">
        <v>0</v>
      </c>
      <c r="BL53" s="231">
        <v>0</v>
      </c>
      <c r="BM53" s="231">
        <v>0</v>
      </c>
      <c r="BN53" s="231">
        <v>0</v>
      </c>
      <c r="BO53" s="231">
        <v>0</v>
      </c>
      <c r="BP53" s="231">
        <v>0</v>
      </c>
      <c r="BQ53" s="231">
        <v>0</v>
      </c>
      <c r="BR53" s="231">
        <v>0</v>
      </c>
      <c r="BS53" s="412">
        <f t="shared" si="95"/>
        <v>0</v>
      </c>
      <c r="BT53" s="417">
        <v>0</v>
      </c>
      <c r="BU53" s="231">
        <v>0</v>
      </c>
      <c r="BV53" s="231">
        <v>0</v>
      </c>
      <c r="BW53" s="231">
        <v>0</v>
      </c>
      <c r="BX53" s="231">
        <v>0</v>
      </c>
      <c r="BY53" s="231">
        <v>0</v>
      </c>
      <c r="BZ53" s="231">
        <v>0</v>
      </c>
      <c r="CA53" s="231">
        <v>0</v>
      </c>
      <c r="CB53" s="414">
        <f t="shared" si="96"/>
        <v>0</v>
      </c>
      <c r="CC53" s="415">
        <f t="shared" si="97"/>
        <v>0</v>
      </c>
      <c r="CD53" s="300">
        <v>31</v>
      </c>
      <c r="CE53" s="414">
        <f t="shared" si="98"/>
        <v>729014.22411677975</v>
      </c>
      <c r="CF53" s="414">
        <f t="shared" si="99"/>
        <v>750257.20990649262</v>
      </c>
      <c r="CG53" s="414">
        <f t="shared" si="100"/>
        <v>869165.2124207773</v>
      </c>
      <c r="CH53" s="414">
        <f t="shared" si="101"/>
        <v>931724.58541473188</v>
      </c>
      <c r="CI53" s="416">
        <f t="shared" si="102"/>
        <v>3280161.2318587815</v>
      </c>
      <c r="CJ53" s="414">
        <f t="shared" si="103"/>
        <v>0</v>
      </c>
      <c r="CK53" s="414">
        <f t="shared" si="104"/>
        <v>0</v>
      </c>
      <c r="CL53" s="414">
        <f t="shared" si="105"/>
        <v>0</v>
      </c>
      <c r="CM53" s="414">
        <f t="shared" si="106"/>
        <v>0</v>
      </c>
      <c r="CN53" s="416">
        <f t="shared" si="107"/>
        <v>0</v>
      </c>
      <c r="CO53" s="414">
        <f t="shared" si="108"/>
        <v>729014.22411677975</v>
      </c>
      <c r="CP53" s="414">
        <f t="shared" si="109"/>
        <v>750257.20990649262</v>
      </c>
      <c r="CQ53" s="414">
        <f t="shared" si="110"/>
        <v>869165.2124207773</v>
      </c>
      <c r="CR53" s="414">
        <f t="shared" si="111"/>
        <v>931724.58541473188</v>
      </c>
      <c r="CS53" s="416">
        <f t="shared" si="112"/>
        <v>3280161.2318587815</v>
      </c>
      <c r="CT53" s="319"/>
    </row>
    <row r="54" spans="1:98" ht="15.75" customHeight="1">
      <c r="A54" s="88" t="s">
        <v>219</v>
      </c>
      <c r="B54" s="300">
        <v>32</v>
      </c>
      <c r="C54" s="231">
        <v>0</v>
      </c>
      <c r="D54" s="231">
        <v>0</v>
      </c>
      <c r="E54" s="231">
        <v>0</v>
      </c>
      <c r="F54" s="231">
        <v>0</v>
      </c>
      <c r="G54" s="231">
        <v>0</v>
      </c>
      <c r="H54" s="231">
        <v>0</v>
      </c>
      <c r="I54" s="231">
        <v>0</v>
      </c>
      <c r="J54" s="231">
        <v>0</v>
      </c>
      <c r="K54" s="412">
        <f t="shared" si="86"/>
        <v>0</v>
      </c>
      <c r="L54" s="417">
        <v>0</v>
      </c>
      <c r="M54" s="231">
        <v>0</v>
      </c>
      <c r="N54" s="231">
        <v>0</v>
      </c>
      <c r="O54" s="231">
        <v>0</v>
      </c>
      <c r="P54" s="231">
        <v>0</v>
      </c>
      <c r="Q54" s="231">
        <v>0</v>
      </c>
      <c r="R54" s="231">
        <v>0</v>
      </c>
      <c r="S54" s="231">
        <v>0</v>
      </c>
      <c r="T54" s="414">
        <f t="shared" si="87"/>
        <v>0</v>
      </c>
      <c r="U54" s="415">
        <f t="shared" si="88"/>
        <v>0</v>
      </c>
      <c r="V54" s="300">
        <v>32</v>
      </c>
      <c r="W54" s="231">
        <v>0</v>
      </c>
      <c r="X54" s="231">
        <v>0</v>
      </c>
      <c r="Y54" s="231">
        <v>0</v>
      </c>
      <c r="Z54" s="231">
        <v>0</v>
      </c>
      <c r="AA54" s="231">
        <v>0</v>
      </c>
      <c r="AB54" s="231">
        <v>0</v>
      </c>
      <c r="AC54" s="231">
        <v>0</v>
      </c>
      <c r="AD54" s="231">
        <v>0</v>
      </c>
      <c r="AE54" s="412">
        <f t="shared" si="89"/>
        <v>0</v>
      </c>
      <c r="AF54" s="417">
        <v>0</v>
      </c>
      <c r="AG54" s="231">
        <v>0</v>
      </c>
      <c r="AH54" s="231">
        <v>0</v>
      </c>
      <c r="AI54" s="231">
        <v>0</v>
      </c>
      <c r="AJ54" s="231">
        <v>0</v>
      </c>
      <c r="AK54" s="231">
        <v>0</v>
      </c>
      <c r="AL54" s="231">
        <v>0</v>
      </c>
      <c r="AM54" s="231">
        <v>0</v>
      </c>
      <c r="AN54" s="414">
        <f t="shared" si="90"/>
        <v>0</v>
      </c>
      <c r="AO54" s="415">
        <f t="shared" si="91"/>
        <v>0</v>
      </c>
      <c r="AP54" s="300">
        <v>32</v>
      </c>
      <c r="AQ54" s="231">
        <v>0</v>
      </c>
      <c r="AR54" s="231">
        <v>0</v>
      </c>
      <c r="AS54" s="231">
        <v>0</v>
      </c>
      <c r="AT54" s="231">
        <v>0</v>
      </c>
      <c r="AU54" s="231">
        <v>0</v>
      </c>
      <c r="AV54" s="231">
        <v>0</v>
      </c>
      <c r="AW54" s="231">
        <v>0</v>
      </c>
      <c r="AX54" s="231">
        <v>0</v>
      </c>
      <c r="AY54" s="412">
        <f t="shared" si="92"/>
        <v>0</v>
      </c>
      <c r="AZ54" s="417">
        <v>0</v>
      </c>
      <c r="BA54" s="231">
        <v>0</v>
      </c>
      <c r="BB54" s="231">
        <v>0</v>
      </c>
      <c r="BC54" s="231">
        <v>0</v>
      </c>
      <c r="BD54" s="231">
        <v>0</v>
      </c>
      <c r="BE54" s="231">
        <v>0</v>
      </c>
      <c r="BF54" s="231">
        <v>0</v>
      </c>
      <c r="BG54" s="231">
        <v>0</v>
      </c>
      <c r="BH54" s="414">
        <f t="shared" si="93"/>
        <v>0</v>
      </c>
      <c r="BI54" s="415">
        <f t="shared" si="94"/>
        <v>0</v>
      </c>
      <c r="BJ54" s="300">
        <v>32</v>
      </c>
      <c r="BK54" s="231">
        <v>0</v>
      </c>
      <c r="BL54" s="231">
        <v>0</v>
      </c>
      <c r="BM54" s="231">
        <v>0</v>
      </c>
      <c r="BN54" s="231">
        <v>0</v>
      </c>
      <c r="BO54" s="231">
        <v>0</v>
      </c>
      <c r="BP54" s="231">
        <v>0</v>
      </c>
      <c r="BQ54" s="231">
        <v>0</v>
      </c>
      <c r="BR54" s="231">
        <v>0</v>
      </c>
      <c r="BS54" s="412">
        <f t="shared" si="95"/>
        <v>0</v>
      </c>
      <c r="BT54" s="417">
        <v>0</v>
      </c>
      <c r="BU54" s="231">
        <v>0</v>
      </c>
      <c r="BV54" s="231">
        <v>0</v>
      </c>
      <c r="BW54" s="231">
        <v>0</v>
      </c>
      <c r="BX54" s="231">
        <v>0</v>
      </c>
      <c r="BY54" s="231">
        <v>0</v>
      </c>
      <c r="BZ54" s="231">
        <v>0</v>
      </c>
      <c r="CA54" s="231">
        <v>0</v>
      </c>
      <c r="CB54" s="414">
        <f t="shared" si="96"/>
        <v>0</v>
      </c>
      <c r="CC54" s="415">
        <f t="shared" si="97"/>
        <v>0</v>
      </c>
      <c r="CD54" s="300">
        <v>32</v>
      </c>
      <c r="CE54" s="414">
        <f t="shared" si="98"/>
        <v>0</v>
      </c>
      <c r="CF54" s="414">
        <f t="shared" si="99"/>
        <v>0</v>
      </c>
      <c r="CG54" s="414">
        <f t="shared" si="100"/>
        <v>0</v>
      </c>
      <c r="CH54" s="414">
        <f t="shared" si="101"/>
        <v>0</v>
      </c>
      <c r="CI54" s="416">
        <f t="shared" si="102"/>
        <v>0</v>
      </c>
      <c r="CJ54" s="414">
        <f t="shared" si="103"/>
        <v>0</v>
      </c>
      <c r="CK54" s="414">
        <f t="shared" si="104"/>
        <v>0</v>
      </c>
      <c r="CL54" s="414">
        <f t="shared" si="105"/>
        <v>0</v>
      </c>
      <c r="CM54" s="414">
        <f t="shared" si="106"/>
        <v>0</v>
      </c>
      <c r="CN54" s="416">
        <f t="shared" si="107"/>
        <v>0</v>
      </c>
      <c r="CO54" s="414">
        <f t="shared" si="108"/>
        <v>0</v>
      </c>
      <c r="CP54" s="414">
        <f t="shared" si="109"/>
        <v>0</v>
      </c>
      <c r="CQ54" s="414">
        <f t="shared" si="110"/>
        <v>0</v>
      </c>
      <c r="CR54" s="414">
        <f t="shared" si="111"/>
        <v>0</v>
      </c>
      <c r="CS54" s="416">
        <f t="shared" si="112"/>
        <v>0</v>
      </c>
      <c r="CT54" s="319"/>
    </row>
    <row r="55" spans="1:98" ht="15.75" customHeight="1">
      <c r="A55" s="88" t="s">
        <v>220</v>
      </c>
      <c r="B55" s="300">
        <v>33</v>
      </c>
      <c r="C55" s="231">
        <v>594.49840443211804</v>
      </c>
      <c r="D55" s="231">
        <v>22247.237165353443</v>
      </c>
      <c r="E55" s="231">
        <v>3896.2012085652218</v>
      </c>
      <c r="F55" s="231">
        <v>57224.702674410328</v>
      </c>
      <c r="G55" s="231">
        <v>5795.4965734368379</v>
      </c>
      <c r="H55" s="231">
        <v>51010.423941662419</v>
      </c>
      <c r="I55" s="231">
        <v>11603.670725404298</v>
      </c>
      <c r="J55" s="231">
        <v>31493.271765382233</v>
      </c>
      <c r="K55" s="412">
        <f t="shared" si="86"/>
        <v>183865.50245864689</v>
      </c>
      <c r="L55" s="417">
        <v>0</v>
      </c>
      <c r="M55" s="231">
        <v>3601.5888814772707</v>
      </c>
      <c r="N55" s="231">
        <v>0</v>
      </c>
      <c r="O55" s="231">
        <v>12097.932440572038</v>
      </c>
      <c r="P55" s="231">
        <v>0</v>
      </c>
      <c r="Q55" s="231">
        <v>9450.7436484818281</v>
      </c>
      <c r="R55" s="231">
        <v>0</v>
      </c>
      <c r="S55" s="231">
        <v>4978.632910054037</v>
      </c>
      <c r="T55" s="414">
        <f t="shared" si="87"/>
        <v>30128.897880585173</v>
      </c>
      <c r="U55" s="415">
        <f t="shared" si="88"/>
        <v>213994.40033923206</v>
      </c>
      <c r="V55" s="300">
        <v>33</v>
      </c>
      <c r="W55" s="231">
        <v>998.15448050272948</v>
      </c>
      <c r="X55" s="231">
        <v>12519.188736121752</v>
      </c>
      <c r="Y55" s="231">
        <v>979.95330366151268</v>
      </c>
      <c r="Z55" s="231">
        <v>12387.254759414142</v>
      </c>
      <c r="AA55" s="231">
        <v>5033.0174538945312</v>
      </c>
      <c r="AB55" s="231">
        <v>10718.083798967225</v>
      </c>
      <c r="AC55" s="231">
        <v>3229.175643262955</v>
      </c>
      <c r="AD55" s="231">
        <v>12598.645456171464</v>
      </c>
      <c r="AE55" s="412">
        <f t="shared" si="89"/>
        <v>58463.473631996312</v>
      </c>
      <c r="AF55" s="417">
        <v>0</v>
      </c>
      <c r="AG55" s="231">
        <v>1830.6324676158026</v>
      </c>
      <c r="AH55" s="231">
        <v>0</v>
      </c>
      <c r="AI55" s="231">
        <v>3334.3117761776602</v>
      </c>
      <c r="AJ55" s="231">
        <v>0</v>
      </c>
      <c r="AK55" s="231">
        <v>1763.3744292585809</v>
      </c>
      <c r="AL55" s="231">
        <v>0</v>
      </c>
      <c r="AM55" s="231">
        <v>1906.0406797602418</v>
      </c>
      <c r="AN55" s="414">
        <f t="shared" si="90"/>
        <v>8834.3593528122856</v>
      </c>
      <c r="AO55" s="415">
        <f t="shared" si="91"/>
        <v>67297.8329848086</v>
      </c>
      <c r="AP55" s="300">
        <v>33</v>
      </c>
      <c r="AQ55" s="231">
        <v>11602.859541509806</v>
      </c>
      <c r="AR55" s="231">
        <v>263074.04451034532</v>
      </c>
      <c r="AS55" s="231">
        <v>12961.529976405025</v>
      </c>
      <c r="AT55" s="231">
        <v>275185.11893150402</v>
      </c>
      <c r="AU55" s="231">
        <v>21092.27411830538</v>
      </c>
      <c r="AV55" s="231">
        <v>308716.73840973829</v>
      </c>
      <c r="AW55" s="231">
        <v>20001.548775195693</v>
      </c>
      <c r="AX55" s="231">
        <v>331647.64913412137</v>
      </c>
      <c r="AY55" s="412">
        <f t="shared" si="92"/>
        <v>1244281.7633971251</v>
      </c>
      <c r="AZ55" s="417">
        <v>0</v>
      </c>
      <c r="BA55" s="231">
        <v>87415.776156098495</v>
      </c>
      <c r="BB55" s="231">
        <v>0</v>
      </c>
      <c r="BC55" s="231">
        <v>62214.028864156047</v>
      </c>
      <c r="BD55" s="231">
        <v>0</v>
      </c>
      <c r="BE55" s="231">
        <v>65604.088699800326</v>
      </c>
      <c r="BF55" s="231">
        <v>0</v>
      </c>
      <c r="BG55" s="231">
        <v>93721.114232608539</v>
      </c>
      <c r="BH55" s="414">
        <f t="shared" si="93"/>
        <v>308955.00795266341</v>
      </c>
      <c r="BI55" s="415">
        <f t="shared" si="94"/>
        <v>1553236.7713497884</v>
      </c>
      <c r="BJ55" s="300">
        <v>33</v>
      </c>
      <c r="BK55" s="231">
        <v>232.45501652962605</v>
      </c>
      <c r="BL55" s="231">
        <v>554.65583061289442</v>
      </c>
      <c r="BM55" s="231">
        <v>0</v>
      </c>
      <c r="BN55" s="231">
        <v>274.76607839120146</v>
      </c>
      <c r="BO55" s="231">
        <v>278.73884088819921</v>
      </c>
      <c r="BP55" s="231">
        <v>784.8807375823219</v>
      </c>
      <c r="BQ55" s="231">
        <v>0</v>
      </c>
      <c r="BR55" s="231">
        <v>1502.8280033996136</v>
      </c>
      <c r="BS55" s="412">
        <f t="shared" si="95"/>
        <v>3628.3245074038568</v>
      </c>
      <c r="BT55" s="417">
        <v>0</v>
      </c>
      <c r="BU55" s="231">
        <v>456.58282763499494</v>
      </c>
      <c r="BV55" s="231">
        <v>0</v>
      </c>
      <c r="BW55" s="231">
        <v>617.40355915998737</v>
      </c>
      <c r="BX55" s="231">
        <v>0</v>
      </c>
      <c r="BY55" s="231">
        <v>656.63784881256856</v>
      </c>
      <c r="BZ55" s="231">
        <v>0</v>
      </c>
      <c r="CA55" s="231">
        <v>521.78943994421604</v>
      </c>
      <c r="CB55" s="414">
        <f t="shared" si="96"/>
        <v>2252.413675551767</v>
      </c>
      <c r="CC55" s="415">
        <f t="shared" si="97"/>
        <v>5880.7381829556234</v>
      </c>
      <c r="CD55" s="300">
        <v>33</v>
      </c>
      <c r="CE55" s="414">
        <f t="shared" si="98"/>
        <v>311823.09368540772</v>
      </c>
      <c r="CF55" s="414">
        <f t="shared" si="99"/>
        <v>362909.52693235147</v>
      </c>
      <c r="CG55" s="414">
        <f t="shared" si="100"/>
        <v>403429.65387447522</v>
      </c>
      <c r="CH55" s="414">
        <f t="shared" si="101"/>
        <v>412076.78950293764</v>
      </c>
      <c r="CI55" s="416">
        <f t="shared" si="102"/>
        <v>1490239.063995172</v>
      </c>
      <c r="CJ55" s="414">
        <f t="shared" si="103"/>
        <v>93304.580332826561</v>
      </c>
      <c r="CK55" s="414">
        <f t="shared" si="104"/>
        <v>78263.676640065736</v>
      </c>
      <c r="CL55" s="414">
        <f t="shared" si="105"/>
        <v>77474.844626353297</v>
      </c>
      <c r="CM55" s="414">
        <f t="shared" si="106"/>
        <v>101127.57726236703</v>
      </c>
      <c r="CN55" s="416">
        <f t="shared" si="107"/>
        <v>350170.67886161263</v>
      </c>
      <c r="CO55" s="414">
        <f t="shared" si="108"/>
        <v>405127.67401823425</v>
      </c>
      <c r="CP55" s="414">
        <f t="shared" si="109"/>
        <v>441173.20357241726</v>
      </c>
      <c r="CQ55" s="414">
        <f t="shared" si="110"/>
        <v>480904.49850082851</v>
      </c>
      <c r="CR55" s="414">
        <f t="shared" si="111"/>
        <v>513204.36676530464</v>
      </c>
      <c r="CS55" s="416">
        <f t="shared" si="112"/>
        <v>1840409.7428567847</v>
      </c>
      <c r="CT55" s="319"/>
    </row>
    <row r="56" spans="1:98" ht="15.75" customHeight="1">
      <c r="A56" s="88" t="s">
        <v>221</v>
      </c>
      <c r="B56" s="300">
        <v>34</v>
      </c>
      <c r="C56" s="231">
        <v>746.0581951525827</v>
      </c>
      <c r="D56" s="231">
        <v>5743.4410246979842</v>
      </c>
      <c r="E56" s="231">
        <v>7704.670652273101</v>
      </c>
      <c r="F56" s="231">
        <v>8728.8852068415345</v>
      </c>
      <c r="G56" s="231">
        <v>1587.3089067922185</v>
      </c>
      <c r="H56" s="231">
        <v>7953.9211143070706</v>
      </c>
      <c r="I56" s="231">
        <v>6266.6454878901477</v>
      </c>
      <c r="J56" s="231">
        <v>6044.3447724159969</v>
      </c>
      <c r="K56" s="412">
        <f t="shared" si="86"/>
        <v>44775.275360370644</v>
      </c>
      <c r="L56" s="417">
        <v>0</v>
      </c>
      <c r="M56" s="231">
        <v>5992.8521671995068</v>
      </c>
      <c r="N56" s="231">
        <v>0</v>
      </c>
      <c r="O56" s="231">
        <v>6029.5236726550656</v>
      </c>
      <c r="P56" s="231">
        <v>0</v>
      </c>
      <c r="Q56" s="231">
        <v>6239.0769977941763</v>
      </c>
      <c r="R56" s="231">
        <v>0</v>
      </c>
      <c r="S56" s="231">
        <v>2867.5051226159535</v>
      </c>
      <c r="T56" s="414">
        <f t="shared" si="87"/>
        <v>21128.957960264703</v>
      </c>
      <c r="U56" s="415">
        <f t="shared" si="88"/>
        <v>65904.233320635351</v>
      </c>
      <c r="V56" s="300">
        <v>34</v>
      </c>
      <c r="W56" s="231">
        <v>0</v>
      </c>
      <c r="X56" s="231">
        <v>5023.8945421946892</v>
      </c>
      <c r="Y56" s="231">
        <v>334.5017512569874</v>
      </c>
      <c r="Z56" s="231">
        <v>2338.9098333724532</v>
      </c>
      <c r="AA56" s="231">
        <v>879.80369962266934</v>
      </c>
      <c r="AB56" s="231">
        <v>1787.9184616135396</v>
      </c>
      <c r="AC56" s="231">
        <v>25.871598003777059</v>
      </c>
      <c r="AD56" s="231">
        <v>909.68073452149918</v>
      </c>
      <c r="AE56" s="412">
        <f t="shared" si="89"/>
        <v>11300.580620585615</v>
      </c>
      <c r="AF56" s="417">
        <v>0</v>
      </c>
      <c r="AG56" s="231">
        <v>3417.799439358238</v>
      </c>
      <c r="AH56" s="231">
        <v>0</v>
      </c>
      <c r="AI56" s="231">
        <v>1114.8863660078352</v>
      </c>
      <c r="AJ56" s="231">
        <v>0</v>
      </c>
      <c r="AK56" s="231">
        <v>434.78685248832977</v>
      </c>
      <c r="AL56" s="231">
        <v>0</v>
      </c>
      <c r="AM56" s="231">
        <v>814.65440115200317</v>
      </c>
      <c r="AN56" s="414">
        <f t="shared" si="90"/>
        <v>5782.1270590064069</v>
      </c>
      <c r="AO56" s="415">
        <f t="shared" si="91"/>
        <v>17082.707679592022</v>
      </c>
      <c r="AP56" s="300">
        <v>34</v>
      </c>
      <c r="AQ56" s="231">
        <v>14325.38541592655</v>
      </c>
      <c r="AR56" s="231">
        <v>42028.31501749895</v>
      </c>
      <c r="AS56" s="231">
        <v>6477.1566252554421</v>
      </c>
      <c r="AT56" s="231">
        <v>44594.19120292228</v>
      </c>
      <c r="AU56" s="231">
        <v>9452.1260527086361</v>
      </c>
      <c r="AV56" s="231">
        <v>48588.737676001627</v>
      </c>
      <c r="AW56" s="231">
        <v>17791.401236894235</v>
      </c>
      <c r="AX56" s="231">
        <v>65602.175293923719</v>
      </c>
      <c r="AY56" s="412">
        <f t="shared" si="92"/>
        <v>248859.48852113145</v>
      </c>
      <c r="AZ56" s="417">
        <v>0</v>
      </c>
      <c r="BA56" s="231">
        <v>41523.890549927288</v>
      </c>
      <c r="BB56" s="231">
        <v>0</v>
      </c>
      <c r="BC56" s="231">
        <v>42848.37996486052</v>
      </c>
      <c r="BD56" s="231">
        <v>0</v>
      </c>
      <c r="BE56" s="231">
        <v>26822.604439662686</v>
      </c>
      <c r="BF56" s="231">
        <v>0</v>
      </c>
      <c r="BG56" s="231">
        <v>31345.408228547825</v>
      </c>
      <c r="BH56" s="414">
        <f t="shared" si="93"/>
        <v>142540.28318299833</v>
      </c>
      <c r="BI56" s="415">
        <f t="shared" si="94"/>
        <v>391399.77170412976</v>
      </c>
      <c r="BJ56" s="300">
        <v>34</v>
      </c>
      <c r="BK56" s="231">
        <v>579.53743795783123</v>
      </c>
      <c r="BL56" s="231">
        <v>3894.2815695098075</v>
      </c>
      <c r="BM56" s="231">
        <v>0</v>
      </c>
      <c r="BN56" s="231">
        <v>1039.789069812932</v>
      </c>
      <c r="BO56" s="231">
        <v>629.74777389202995</v>
      </c>
      <c r="BP56" s="231">
        <v>1020.5047550556885</v>
      </c>
      <c r="BQ56" s="231">
        <v>0</v>
      </c>
      <c r="BR56" s="231">
        <v>527.03096286846198</v>
      </c>
      <c r="BS56" s="412">
        <f t="shared" si="95"/>
        <v>7690.8915690967506</v>
      </c>
      <c r="BT56" s="417">
        <v>0</v>
      </c>
      <c r="BU56" s="231">
        <v>13205.92259142844</v>
      </c>
      <c r="BV56" s="231">
        <v>0</v>
      </c>
      <c r="BW56" s="231">
        <v>17808.642405860701</v>
      </c>
      <c r="BX56" s="231">
        <v>0</v>
      </c>
      <c r="BY56" s="231">
        <v>12369.147519121723</v>
      </c>
      <c r="BZ56" s="231">
        <v>0</v>
      </c>
      <c r="CA56" s="231">
        <v>2922.3943430458039</v>
      </c>
      <c r="CB56" s="414">
        <f t="shared" si="96"/>
        <v>46306.106859456668</v>
      </c>
      <c r="CC56" s="415">
        <f t="shared" si="97"/>
        <v>53996.998428553416</v>
      </c>
      <c r="CD56" s="300">
        <v>34</v>
      </c>
      <c r="CE56" s="414">
        <f t="shared" si="98"/>
        <v>72340.913202938391</v>
      </c>
      <c r="CF56" s="414">
        <f t="shared" si="99"/>
        <v>71218.104341734739</v>
      </c>
      <c r="CG56" s="414">
        <f t="shared" si="100"/>
        <v>71900.068439993483</v>
      </c>
      <c r="CH56" s="414">
        <f t="shared" si="101"/>
        <v>97167.150086517839</v>
      </c>
      <c r="CI56" s="416">
        <f t="shared" si="102"/>
        <v>312626.23607118445</v>
      </c>
      <c r="CJ56" s="414">
        <f t="shared" si="103"/>
        <v>64140.464747913473</v>
      </c>
      <c r="CK56" s="414">
        <f t="shared" si="104"/>
        <v>67801.432409384113</v>
      </c>
      <c r="CL56" s="414">
        <f t="shared" si="105"/>
        <v>45865.61580906692</v>
      </c>
      <c r="CM56" s="414">
        <f t="shared" si="106"/>
        <v>37949.962095361581</v>
      </c>
      <c r="CN56" s="416">
        <f t="shared" si="107"/>
        <v>215757.47506172609</v>
      </c>
      <c r="CO56" s="414">
        <f t="shared" si="108"/>
        <v>136481.37795085186</v>
      </c>
      <c r="CP56" s="414">
        <f t="shared" si="109"/>
        <v>139019.53675111887</v>
      </c>
      <c r="CQ56" s="414">
        <f t="shared" si="110"/>
        <v>117765.68424906039</v>
      </c>
      <c r="CR56" s="414">
        <f t="shared" si="111"/>
        <v>135117.11218187941</v>
      </c>
      <c r="CS56" s="416">
        <f t="shared" si="112"/>
        <v>528383.71113291057</v>
      </c>
      <c r="CT56" s="319"/>
    </row>
    <row r="57" spans="1:98" ht="15.75" customHeight="1">
      <c r="A57" s="88" t="s">
        <v>222</v>
      </c>
      <c r="B57" s="300">
        <v>35</v>
      </c>
      <c r="C57" s="231">
        <v>1613.394224819654</v>
      </c>
      <c r="D57" s="231">
        <v>3793.7950781103209</v>
      </c>
      <c r="E57" s="231">
        <v>1341.6804286106815</v>
      </c>
      <c r="F57" s="231">
        <v>2785.6461858097455</v>
      </c>
      <c r="G57" s="231">
        <v>3391.217038348183</v>
      </c>
      <c r="H57" s="231">
        <v>5767.9694169489076</v>
      </c>
      <c r="I57" s="231">
        <v>2117.4587547190267</v>
      </c>
      <c r="J57" s="231">
        <v>2523.52196704686</v>
      </c>
      <c r="K57" s="412">
        <f t="shared" si="86"/>
        <v>23334.683094413384</v>
      </c>
      <c r="L57" s="417">
        <v>0</v>
      </c>
      <c r="M57" s="231">
        <v>3552.5957015763756</v>
      </c>
      <c r="N57" s="231">
        <v>0</v>
      </c>
      <c r="O57" s="231">
        <v>6782.2838243638289</v>
      </c>
      <c r="P57" s="231">
        <v>0</v>
      </c>
      <c r="Q57" s="231">
        <v>12451.982770575854</v>
      </c>
      <c r="R57" s="231">
        <v>0</v>
      </c>
      <c r="S57" s="231">
        <v>6302.4131477753863</v>
      </c>
      <c r="T57" s="414">
        <f t="shared" si="87"/>
        <v>29089.275444291448</v>
      </c>
      <c r="U57" s="415">
        <f t="shared" si="88"/>
        <v>52423.958538704828</v>
      </c>
      <c r="V57" s="300">
        <v>35</v>
      </c>
      <c r="W57" s="231">
        <v>0</v>
      </c>
      <c r="X57" s="231">
        <v>1057.3583050533828</v>
      </c>
      <c r="Y57" s="231">
        <v>0</v>
      </c>
      <c r="Z57" s="231">
        <v>224.72944490325509</v>
      </c>
      <c r="AA57" s="231">
        <v>303.69317807678391</v>
      </c>
      <c r="AB57" s="231">
        <v>534.71426102241355</v>
      </c>
      <c r="AC57" s="231">
        <v>299.31620666560605</v>
      </c>
      <c r="AD57" s="231">
        <v>489.79292663687716</v>
      </c>
      <c r="AE57" s="412">
        <f t="shared" si="89"/>
        <v>2909.6043223583183</v>
      </c>
      <c r="AF57" s="417">
        <v>0</v>
      </c>
      <c r="AG57" s="231">
        <v>2082.5502372777082</v>
      </c>
      <c r="AH57" s="231">
        <v>0</v>
      </c>
      <c r="AI57" s="231">
        <v>565.37646364468048</v>
      </c>
      <c r="AJ57" s="231">
        <v>0</v>
      </c>
      <c r="AK57" s="231">
        <v>557.32218006804374</v>
      </c>
      <c r="AL57" s="231">
        <v>0</v>
      </c>
      <c r="AM57" s="231">
        <v>587.68915839299257</v>
      </c>
      <c r="AN57" s="414">
        <f t="shared" si="90"/>
        <v>3792.9380393834253</v>
      </c>
      <c r="AO57" s="415">
        <f t="shared" si="91"/>
        <v>6702.5423617417437</v>
      </c>
      <c r="AP57" s="300">
        <v>35</v>
      </c>
      <c r="AQ57" s="231">
        <v>8636.3079030963581</v>
      </c>
      <c r="AR57" s="231">
        <v>59876.297992251231</v>
      </c>
      <c r="AS57" s="231">
        <v>5643.5697331750935</v>
      </c>
      <c r="AT57" s="231">
        <v>28773.916914209734</v>
      </c>
      <c r="AU57" s="231">
        <v>11832.496458449068</v>
      </c>
      <c r="AV57" s="231">
        <v>42042.50047107572</v>
      </c>
      <c r="AW57" s="231">
        <v>13815.514595416258</v>
      </c>
      <c r="AX57" s="231">
        <v>41823.434156226038</v>
      </c>
      <c r="AY57" s="412">
        <f t="shared" si="92"/>
        <v>212444.03822389949</v>
      </c>
      <c r="AZ57" s="417">
        <v>0</v>
      </c>
      <c r="BA57" s="231">
        <v>92266.971200392902</v>
      </c>
      <c r="BB57" s="231">
        <v>0</v>
      </c>
      <c r="BC57" s="231">
        <v>51767.350691701329</v>
      </c>
      <c r="BD57" s="231">
        <v>0</v>
      </c>
      <c r="BE57" s="231">
        <v>87643.262094529462</v>
      </c>
      <c r="BF57" s="231">
        <v>0</v>
      </c>
      <c r="BG57" s="231">
        <v>72482.822763379343</v>
      </c>
      <c r="BH57" s="414">
        <f t="shared" si="93"/>
        <v>304160.40675000299</v>
      </c>
      <c r="BI57" s="415">
        <f t="shared" si="94"/>
        <v>516604.44497390249</v>
      </c>
      <c r="BJ57" s="300">
        <v>35</v>
      </c>
      <c r="BK57" s="231">
        <v>2056.0128178580608</v>
      </c>
      <c r="BL57" s="231">
        <v>1059.7784613948118</v>
      </c>
      <c r="BM57" s="231">
        <v>1406.1304952297826</v>
      </c>
      <c r="BN57" s="231">
        <v>108.79139215452874</v>
      </c>
      <c r="BO57" s="231">
        <v>923.97378095324916</v>
      </c>
      <c r="BP57" s="231">
        <v>84.501033862916131</v>
      </c>
      <c r="BQ57" s="231">
        <v>0</v>
      </c>
      <c r="BR57" s="231">
        <v>282.34273188574286</v>
      </c>
      <c r="BS57" s="412">
        <f t="shared" si="95"/>
        <v>5921.5307133390916</v>
      </c>
      <c r="BT57" s="417">
        <v>0</v>
      </c>
      <c r="BU57" s="231">
        <v>682.9637274955569</v>
      </c>
      <c r="BV57" s="231">
        <v>0</v>
      </c>
      <c r="BW57" s="231">
        <v>21.566102549952998</v>
      </c>
      <c r="BX57" s="231">
        <v>0</v>
      </c>
      <c r="BY57" s="231">
        <v>12.108472850280856</v>
      </c>
      <c r="BZ57" s="231">
        <v>0</v>
      </c>
      <c r="CA57" s="231">
        <v>291.94656934337257</v>
      </c>
      <c r="CB57" s="414">
        <f t="shared" si="96"/>
        <v>1008.5848722391634</v>
      </c>
      <c r="CC57" s="415">
        <f t="shared" si="97"/>
        <v>6930.1155855782545</v>
      </c>
      <c r="CD57" s="300">
        <v>35</v>
      </c>
      <c r="CE57" s="414">
        <f t="shared" si="98"/>
        <v>78092.944782583829</v>
      </c>
      <c r="CF57" s="414">
        <f t="shared" si="99"/>
        <v>40284.464594092817</v>
      </c>
      <c r="CG57" s="414">
        <f t="shared" si="100"/>
        <v>64881.065638737244</v>
      </c>
      <c r="CH57" s="414">
        <f t="shared" si="101"/>
        <v>61351.381338596409</v>
      </c>
      <c r="CI57" s="416">
        <f t="shared" si="102"/>
        <v>244609.85635401029</v>
      </c>
      <c r="CJ57" s="414">
        <f t="shared" si="103"/>
        <v>98585.080866742544</v>
      </c>
      <c r="CK57" s="414">
        <f t="shared" si="104"/>
        <v>59136.577082259791</v>
      </c>
      <c r="CL57" s="414">
        <f t="shared" si="105"/>
        <v>100664.67551802364</v>
      </c>
      <c r="CM57" s="414">
        <f t="shared" si="106"/>
        <v>79664.871638891098</v>
      </c>
      <c r="CN57" s="416">
        <f t="shared" si="107"/>
        <v>338051.205105917</v>
      </c>
      <c r="CO57" s="414">
        <f t="shared" si="108"/>
        <v>176678.02564932633</v>
      </c>
      <c r="CP57" s="414">
        <f t="shared" si="109"/>
        <v>99421.041676352615</v>
      </c>
      <c r="CQ57" s="414">
        <f t="shared" si="110"/>
        <v>165545.74115676087</v>
      </c>
      <c r="CR57" s="414">
        <f t="shared" si="111"/>
        <v>141016.25297748749</v>
      </c>
      <c r="CS57" s="416">
        <f t="shared" si="112"/>
        <v>582661.06145992724</v>
      </c>
      <c r="CT57" s="319"/>
    </row>
    <row r="58" spans="1:98" ht="15.75" customHeight="1">
      <c r="A58" s="88" t="s">
        <v>223</v>
      </c>
      <c r="B58" s="300">
        <v>36</v>
      </c>
      <c r="C58" s="231">
        <v>0</v>
      </c>
      <c r="D58" s="231">
        <v>0</v>
      </c>
      <c r="E58" s="231">
        <v>0</v>
      </c>
      <c r="F58" s="231">
        <v>0</v>
      </c>
      <c r="G58" s="231">
        <v>0</v>
      </c>
      <c r="H58" s="231">
        <v>0</v>
      </c>
      <c r="I58" s="231">
        <v>0</v>
      </c>
      <c r="J58" s="231">
        <v>0</v>
      </c>
      <c r="K58" s="412">
        <f t="shared" si="86"/>
        <v>0</v>
      </c>
      <c r="L58" s="417">
        <v>0</v>
      </c>
      <c r="M58" s="231">
        <v>0</v>
      </c>
      <c r="N58" s="231">
        <v>0</v>
      </c>
      <c r="O58" s="231">
        <v>0</v>
      </c>
      <c r="P58" s="231">
        <v>0</v>
      </c>
      <c r="Q58" s="231">
        <v>0</v>
      </c>
      <c r="R58" s="231">
        <v>0</v>
      </c>
      <c r="S58" s="231">
        <v>0</v>
      </c>
      <c r="T58" s="414">
        <f t="shared" si="87"/>
        <v>0</v>
      </c>
      <c r="U58" s="415">
        <f t="shared" si="88"/>
        <v>0</v>
      </c>
      <c r="V58" s="300">
        <v>36</v>
      </c>
      <c r="W58" s="231">
        <v>0</v>
      </c>
      <c r="X58" s="231">
        <v>0</v>
      </c>
      <c r="Y58" s="231">
        <v>0</v>
      </c>
      <c r="Z58" s="231">
        <v>0</v>
      </c>
      <c r="AA58" s="231">
        <v>0</v>
      </c>
      <c r="AB58" s="231">
        <v>0</v>
      </c>
      <c r="AC58" s="231">
        <v>0</v>
      </c>
      <c r="AD58" s="231">
        <v>0</v>
      </c>
      <c r="AE58" s="412">
        <f t="shared" si="89"/>
        <v>0</v>
      </c>
      <c r="AF58" s="417">
        <v>0</v>
      </c>
      <c r="AG58" s="231">
        <v>0</v>
      </c>
      <c r="AH58" s="231">
        <v>0</v>
      </c>
      <c r="AI58" s="231">
        <v>155.25991153008428</v>
      </c>
      <c r="AJ58" s="231">
        <v>0</v>
      </c>
      <c r="AK58" s="231">
        <v>0</v>
      </c>
      <c r="AL58" s="231">
        <v>0</v>
      </c>
      <c r="AM58" s="231">
        <v>0</v>
      </c>
      <c r="AN58" s="414">
        <f t="shared" si="90"/>
        <v>155.25991153008428</v>
      </c>
      <c r="AO58" s="415">
        <f t="shared" si="91"/>
        <v>155.25991153008428</v>
      </c>
      <c r="AP58" s="300">
        <v>36</v>
      </c>
      <c r="AQ58" s="231">
        <v>0</v>
      </c>
      <c r="AR58" s="231">
        <v>0</v>
      </c>
      <c r="AS58" s="231">
        <v>0</v>
      </c>
      <c r="AT58" s="231">
        <v>0</v>
      </c>
      <c r="AU58" s="231">
        <v>3525.9181987745219</v>
      </c>
      <c r="AV58" s="231">
        <v>0</v>
      </c>
      <c r="AW58" s="231">
        <v>0</v>
      </c>
      <c r="AX58" s="231">
        <v>0</v>
      </c>
      <c r="AY58" s="412">
        <f t="shared" si="92"/>
        <v>3525.9181987745219</v>
      </c>
      <c r="AZ58" s="417">
        <v>0</v>
      </c>
      <c r="BA58" s="231">
        <v>0</v>
      </c>
      <c r="BB58" s="231">
        <v>0</v>
      </c>
      <c r="BC58" s="231">
        <v>0</v>
      </c>
      <c r="BD58" s="231">
        <v>0</v>
      </c>
      <c r="BE58" s="231">
        <v>468.42261858407659</v>
      </c>
      <c r="BF58" s="231">
        <v>0</v>
      </c>
      <c r="BG58" s="231">
        <v>158.16748776030323</v>
      </c>
      <c r="BH58" s="414">
        <f t="shared" si="93"/>
        <v>626.59010634437982</v>
      </c>
      <c r="BI58" s="415">
        <f t="shared" si="94"/>
        <v>4152.5083051189013</v>
      </c>
      <c r="BJ58" s="300">
        <v>36</v>
      </c>
      <c r="BK58" s="231">
        <v>0</v>
      </c>
      <c r="BL58" s="231">
        <v>0</v>
      </c>
      <c r="BM58" s="231">
        <v>0</v>
      </c>
      <c r="BN58" s="231">
        <v>0</v>
      </c>
      <c r="BO58" s="231">
        <v>0</v>
      </c>
      <c r="BP58" s="231">
        <v>0</v>
      </c>
      <c r="BQ58" s="231">
        <v>0</v>
      </c>
      <c r="BR58" s="231">
        <v>0</v>
      </c>
      <c r="BS58" s="412">
        <f t="shared" si="95"/>
        <v>0</v>
      </c>
      <c r="BT58" s="417">
        <v>0</v>
      </c>
      <c r="BU58" s="231">
        <v>0</v>
      </c>
      <c r="BV58" s="231">
        <v>0</v>
      </c>
      <c r="BW58" s="231">
        <v>0</v>
      </c>
      <c r="BX58" s="231">
        <v>0</v>
      </c>
      <c r="BY58" s="231">
        <v>0</v>
      </c>
      <c r="BZ58" s="231">
        <v>0</v>
      </c>
      <c r="CA58" s="231">
        <v>0</v>
      </c>
      <c r="CB58" s="414">
        <f t="shared" si="96"/>
        <v>0</v>
      </c>
      <c r="CC58" s="415">
        <f t="shared" si="97"/>
        <v>0</v>
      </c>
      <c r="CD58" s="300">
        <v>36</v>
      </c>
      <c r="CE58" s="414">
        <f t="shared" si="98"/>
        <v>0</v>
      </c>
      <c r="CF58" s="414">
        <f t="shared" si="99"/>
        <v>0</v>
      </c>
      <c r="CG58" s="414">
        <f t="shared" si="100"/>
        <v>3525.9181987745219</v>
      </c>
      <c r="CH58" s="414">
        <f t="shared" si="101"/>
        <v>0</v>
      </c>
      <c r="CI58" s="416">
        <f t="shared" si="102"/>
        <v>3525.9181987745219</v>
      </c>
      <c r="CJ58" s="414">
        <f t="shared" si="103"/>
        <v>0</v>
      </c>
      <c r="CK58" s="414">
        <f t="shared" si="104"/>
        <v>155.25991153008428</v>
      </c>
      <c r="CL58" s="414">
        <f t="shared" si="105"/>
        <v>468.42261858407659</v>
      </c>
      <c r="CM58" s="414">
        <f t="shared" si="106"/>
        <v>158.16748776030323</v>
      </c>
      <c r="CN58" s="416">
        <f t="shared" si="107"/>
        <v>781.85001787446413</v>
      </c>
      <c r="CO58" s="414">
        <f t="shared" si="108"/>
        <v>0</v>
      </c>
      <c r="CP58" s="414">
        <f t="shared" si="109"/>
        <v>155.25991153008428</v>
      </c>
      <c r="CQ58" s="414">
        <f t="shared" si="110"/>
        <v>3994.3408173585985</v>
      </c>
      <c r="CR58" s="414">
        <f t="shared" si="111"/>
        <v>158.16748776030323</v>
      </c>
      <c r="CS58" s="416">
        <f t="shared" si="112"/>
        <v>4307.7682166489858</v>
      </c>
      <c r="CT58" s="319"/>
    </row>
    <row r="59" spans="1:98" ht="15.75" customHeight="1">
      <c r="A59" s="88" t="s">
        <v>468</v>
      </c>
      <c r="B59" s="300">
        <v>37</v>
      </c>
      <c r="C59" s="231">
        <v>0</v>
      </c>
      <c r="D59" s="231">
        <v>0</v>
      </c>
      <c r="E59" s="231">
        <v>0</v>
      </c>
      <c r="F59" s="231">
        <v>22.280765381910111</v>
      </c>
      <c r="G59" s="231">
        <v>291.83408911885806</v>
      </c>
      <c r="H59" s="231">
        <v>31.959239734071517</v>
      </c>
      <c r="I59" s="231">
        <v>0</v>
      </c>
      <c r="J59" s="231">
        <v>41.991828090936146</v>
      </c>
      <c r="K59" s="412">
        <f t="shared" si="86"/>
        <v>388.06592232577583</v>
      </c>
      <c r="L59" s="417">
        <v>0</v>
      </c>
      <c r="M59" s="231">
        <v>0</v>
      </c>
      <c r="N59" s="231">
        <v>0</v>
      </c>
      <c r="O59" s="231">
        <v>0</v>
      </c>
      <c r="P59" s="231">
        <v>0</v>
      </c>
      <c r="Q59" s="231">
        <v>0</v>
      </c>
      <c r="R59" s="231">
        <v>0</v>
      </c>
      <c r="S59" s="231">
        <v>104.29870273535869</v>
      </c>
      <c r="T59" s="414">
        <f t="shared" si="87"/>
        <v>104.29870273535869</v>
      </c>
      <c r="U59" s="415">
        <f t="shared" si="88"/>
        <v>492.36462506113452</v>
      </c>
      <c r="V59" s="300">
        <v>37</v>
      </c>
      <c r="W59" s="231">
        <v>0</v>
      </c>
      <c r="X59" s="231">
        <v>0</v>
      </c>
      <c r="Y59" s="231">
        <v>0</v>
      </c>
      <c r="Z59" s="231">
        <v>0</v>
      </c>
      <c r="AA59" s="231">
        <v>0</v>
      </c>
      <c r="AB59" s="231">
        <v>0</v>
      </c>
      <c r="AC59" s="231">
        <v>0</v>
      </c>
      <c r="AD59" s="231">
        <v>27.45619529022748</v>
      </c>
      <c r="AE59" s="412">
        <f t="shared" si="89"/>
        <v>27.45619529022748</v>
      </c>
      <c r="AF59" s="417">
        <v>0</v>
      </c>
      <c r="AG59" s="231">
        <v>0</v>
      </c>
      <c r="AH59" s="231">
        <v>0</v>
      </c>
      <c r="AI59" s="231">
        <v>0</v>
      </c>
      <c r="AJ59" s="231">
        <v>0</v>
      </c>
      <c r="AK59" s="231">
        <v>0</v>
      </c>
      <c r="AL59" s="231">
        <v>0</v>
      </c>
      <c r="AM59" s="231">
        <v>0</v>
      </c>
      <c r="AN59" s="414">
        <f t="shared" si="90"/>
        <v>0</v>
      </c>
      <c r="AO59" s="415">
        <f t="shared" si="91"/>
        <v>27.45619529022748</v>
      </c>
      <c r="AP59" s="300">
        <v>37</v>
      </c>
      <c r="AQ59" s="231">
        <v>0</v>
      </c>
      <c r="AR59" s="231">
        <v>31.80205440389825</v>
      </c>
      <c r="AS59" s="231">
        <v>20.689282140345103</v>
      </c>
      <c r="AT59" s="231">
        <v>198.63512533872691</v>
      </c>
      <c r="AU59" s="231">
        <v>15.477116097632118</v>
      </c>
      <c r="AV59" s="231">
        <v>503.17712445464099</v>
      </c>
      <c r="AW59" s="231">
        <v>103.82159528724198</v>
      </c>
      <c r="AX59" s="231">
        <v>357.34700344439608</v>
      </c>
      <c r="AY59" s="412">
        <f t="shared" si="92"/>
        <v>1230.9493011668815</v>
      </c>
      <c r="AZ59" s="417">
        <v>0</v>
      </c>
      <c r="BA59" s="231">
        <v>0</v>
      </c>
      <c r="BB59" s="231">
        <v>0</v>
      </c>
      <c r="BC59" s="231">
        <v>500.8384242905945</v>
      </c>
      <c r="BD59" s="231">
        <v>0</v>
      </c>
      <c r="BE59" s="231">
        <v>0</v>
      </c>
      <c r="BF59" s="231">
        <v>0</v>
      </c>
      <c r="BG59" s="231">
        <v>104.29870273535872</v>
      </c>
      <c r="BH59" s="414">
        <f t="shared" si="93"/>
        <v>605.13712702595319</v>
      </c>
      <c r="BI59" s="415">
        <f t="shared" si="94"/>
        <v>1836.0864281928348</v>
      </c>
      <c r="BJ59" s="300">
        <v>37</v>
      </c>
      <c r="BK59" s="231">
        <v>0</v>
      </c>
      <c r="BL59" s="231">
        <v>0</v>
      </c>
      <c r="BM59" s="231">
        <v>0</v>
      </c>
      <c r="BN59" s="231">
        <v>0</v>
      </c>
      <c r="BO59" s="231">
        <v>0</v>
      </c>
      <c r="BP59" s="231">
        <v>0</v>
      </c>
      <c r="BQ59" s="231">
        <v>0</v>
      </c>
      <c r="BR59" s="231">
        <v>0</v>
      </c>
      <c r="BS59" s="412">
        <f t="shared" si="95"/>
        <v>0</v>
      </c>
      <c r="BT59" s="417">
        <v>0</v>
      </c>
      <c r="BU59" s="231">
        <v>0</v>
      </c>
      <c r="BV59" s="231">
        <v>0</v>
      </c>
      <c r="BW59" s="231">
        <v>0</v>
      </c>
      <c r="BX59" s="231">
        <v>0</v>
      </c>
      <c r="BY59" s="231">
        <v>0</v>
      </c>
      <c r="BZ59" s="231">
        <v>0</v>
      </c>
      <c r="CA59" s="231">
        <v>0</v>
      </c>
      <c r="CB59" s="414">
        <f t="shared" si="96"/>
        <v>0</v>
      </c>
      <c r="CC59" s="415">
        <f t="shared" si="97"/>
        <v>0</v>
      </c>
      <c r="CD59" s="300">
        <v>37</v>
      </c>
      <c r="CE59" s="414">
        <f t="shared" si="98"/>
        <v>31.80205440389825</v>
      </c>
      <c r="CF59" s="414">
        <f t="shared" si="99"/>
        <v>241.60517286098212</v>
      </c>
      <c r="CG59" s="414">
        <f t="shared" si="100"/>
        <v>842.44756940520267</v>
      </c>
      <c r="CH59" s="414">
        <f t="shared" si="101"/>
        <v>530.61662211280168</v>
      </c>
      <c r="CI59" s="416">
        <f t="shared" si="102"/>
        <v>1646.4714187828847</v>
      </c>
      <c r="CJ59" s="414">
        <f t="shared" si="103"/>
        <v>0</v>
      </c>
      <c r="CK59" s="414">
        <f t="shared" si="104"/>
        <v>500.8384242905945</v>
      </c>
      <c r="CL59" s="414">
        <f t="shared" si="105"/>
        <v>0</v>
      </c>
      <c r="CM59" s="414">
        <f t="shared" si="106"/>
        <v>208.5974054707174</v>
      </c>
      <c r="CN59" s="416">
        <f t="shared" si="107"/>
        <v>709.43582976131188</v>
      </c>
      <c r="CO59" s="414">
        <f t="shared" si="108"/>
        <v>31.80205440389825</v>
      </c>
      <c r="CP59" s="414">
        <f t="shared" si="109"/>
        <v>742.44359715157657</v>
      </c>
      <c r="CQ59" s="414">
        <f t="shared" si="110"/>
        <v>842.44756940520267</v>
      </c>
      <c r="CR59" s="414">
        <f t="shared" si="111"/>
        <v>739.21402758351906</v>
      </c>
      <c r="CS59" s="416">
        <f t="shared" si="112"/>
        <v>2355.9072485441966</v>
      </c>
      <c r="CT59" s="319"/>
    </row>
    <row r="60" spans="1:98" ht="15.75" customHeight="1">
      <c r="A60" s="932" t="s">
        <v>372</v>
      </c>
      <c r="B60" s="933">
        <v>38</v>
      </c>
      <c r="C60" s="420">
        <v>4251.1360577597079</v>
      </c>
      <c r="D60" s="420">
        <v>33236.154633394086</v>
      </c>
      <c r="E60" s="420">
        <v>6265.1293098829274</v>
      </c>
      <c r="F60" s="420">
        <v>45789.587054946816</v>
      </c>
      <c r="G60" s="420">
        <v>7566.0688264640421</v>
      </c>
      <c r="H60" s="420">
        <v>46786.099069767442</v>
      </c>
      <c r="I60" s="420">
        <v>6924.406216196373</v>
      </c>
      <c r="J60" s="420">
        <v>45239.453945816305</v>
      </c>
      <c r="K60" s="412">
        <f>SUM(C60:J60)</f>
        <v>196058.03511422768</v>
      </c>
      <c r="L60" s="421">
        <v>0</v>
      </c>
      <c r="M60" s="420">
        <v>0</v>
      </c>
      <c r="N60" s="420">
        <v>0</v>
      </c>
      <c r="O60" s="420">
        <v>0</v>
      </c>
      <c r="P60" s="420">
        <v>0</v>
      </c>
      <c r="Q60" s="420">
        <v>0</v>
      </c>
      <c r="R60" s="420">
        <v>0</v>
      </c>
      <c r="S60" s="420">
        <v>0</v>
      </c>
      <c r="T60" s="414">
        <f>SUM(L60:S60)</f>
        <v>0</v>
      </c>
      <c r="U60" s="415">
        <f>SUM(T60,K60)</f>
        <v>196058.03511422768</v>
      </c>
      <c r="V60" s="933">
        <v>38</v>
      </c>
      <c r="W60" s="420">
        <v>0</v>
      </c>
      <c r="X60" s="420">
        <v>9584.3794756764328</v>
      </c>
      <c r="Y60" s="420">
        <v>154.69455086130682</v>
      </c>
      <c r="Z60" s="420">
        <v>7115.9493396201151</v>
      </c>
      <c r="AA60" s="420">
        <v>617.63827154808507</v>
      </c>
      <c r="AB60" s="420">
        <v>7025.635338859468</v>
      </c>
      <c r="AC60" s="420">
        <v>692.44062161963723</v>
      </c>
      <c r="AD60" s="420">
        <v>7232.1576035828784</v>
      </c>
      <c r="AE60" s="412">
        <f>SUM(W60:AD60)</f>
        <v>32422.895201767926</v>
      </c>
      <c r="AF60" s="421">
        <v>0</v>
      </c>
      <c r="AG60" s="420">
        <v>0</v>
      </c>
      <c r="AH60" s="420">
        <v>0</v>
      </c>
      <c r="AI60" s="420">
        <v>0</v>
      </c>
      <c r="AJ60" s="420">
        <v>0</v>
      </c>
      <c r="AK60" s="420">
        <v>0</v>
      </c>
      <c r="AL60" s="420">
        <v>0</v>
      </c>
      <c r="AM60" s="420">
        <v>0</v>
      </c>
      <c r="AN60" s="414">
        <f>SUM(AF60:AM60)</f>
        <v>0</v>
      </c>
      <c r="AO60" s="415">
        <f>SUM(AN60,AE60)</f>
        <v>32422.895201767926</v>
      </c>
      <c r="AP60" s="933">
        <v>38</v>
      </c>
      <c r="AQ60" s="420">
        <v>23033.428094770785</v>
      </c>
      <c r="AR60" s="420">
        <v>83708.733646432083</v>
      </c>
      <c r="AS60" s="420">
        <v>23281.529904626674</v>
      </c>
      <c r="AT60" s="420">
        <v>81910.764681061963</v>
      </c>
      <c r="AU60" s="420">
        <v>25477.578701358507</v>
      </c>
      <c r="AV60" s="420">
        <v>93340.583787704352</v>
      </c>
      <c r="AW60" s="420">
        <v>28467.003333251752</v>
      </c>
      <c r="AX60" s="420">
        <v>106712.79357627078</v>
      </c>
      <c r="AY60" s="412">
        <f>SUM(AQ60:AX60)</f>
        <v>465932.41572547692</v>
      </c>
      <c r="AZ60" s="421">
        <v>0</v>
      </c>
      <c r="BA60" s="420">
        <v>0</v>
      </c>
      <c r="BB60" s="420">
        <v>0</v>
      </c>
      <c r="BC60" s="420">
        <v>0</v>
      </c>
      <c r="BD60" s="420">
        <v>0</v>
      </c>
      <c r="BE60" s="420">
        <v>0</v>
      </c>
      <c r="BF60" s="420">
        <v>0</v>
      </c>
      <c r="BG60" s="420">
        <v>0</v>
      </c>
      <c r="BH60" s="414">
        <f>SUM(AZ60:BG60)</f>
        <v>0</v>
      </c>
      <c r="BI60" s="415">
        <f>SUM(BH60,AY60)</f>
        <v>465932.41572547692</v>
      </c>
      <c r="BJ60" s="933">
        <v>38</v>
      </c>
      <c r="BK60" s="420">
        <v>231.88014860507499</v>
      </c>
      <c r="BL60" s="420">
        <v>4019.2559091546332</v>
      </c>
      <c r="BM60" s="420">
        <v>232.04182629196023</v>
      </c>
      <c r="BN60" s="420">
        <v>3325.9328435180973</v>
      </c>
      <c r="BO60" s="420">
        <v>154.40956788702127</v>
      </c>
      <c r="BP60" s="420">
        <v>3783.0344132320211</v>
      </c>
      <c r="BQ60" s="420">
        <v>0</v>
      </c>
      <c r="BR60" s="420">
        <v>3308.3274144049337</v>
      </c>
      <c r="BS60" s="412">
        <f>SUM(BK60:BR60)</f>
        <v>15054.882123093741</v>
      </c>
      <c r="BT60" s="421">
        <v>0</v>
      </c>
      <c r="BU60" s="420">
        <v>0</v>
      </c>
      <c r="BV60" s="420">
        <v>0</v>
      </c>
      <c r="BW60" s="420">
        <v>0</v>
      </c>
      <c r="BX60" s="420">
        <v>0</v>
      </c>
      <c r="BY60" s="420">
        <v>0</v>
      </c>
      <c r="BZ60" s="420">
        <v>0</v>
      </c>
      <c r="CA60" s="420">
        <v>0</v>
      </c>
      <c r="CB60" s="414">
        <f>SUM(BT60:CA60)</f>
        <v>0</v>
      </c>
      <c r="CC60" s="415">
        <f>SUM(CB60,BS60)</f>
        <v>15054.882123093741</v>
      </c>
      <c r="CD60" s="933">
        <v>38</v>
      </c>
      <c r="CE60" s="414">
        <f t="shared" si="98"/>
        <v>158064.96796579281</v>
      </c>
      <c r="CF60" s="414">
        <f t="shared" si="99"/>
        <v>168075.62951080987</v>
      </c>
      <c r="CG60" s="414">
        <f t="shared" si="100"/>
        <v>184751.04797682093</v>
      </c>
      <c r="CH60" s="414">
        <f t="shared" si="101"/>
        <v>198576.58271114263</v>
      </c>
      <c r="CI60" s="416">
        <f t="shared" si="102"/>
        <v>709468.22816456622</v>
      </c>
      <c r="CJ60" s="414">
        <f t="shared" si="103"/>
        <v>0</v>
      </c>
      <c r="CK60" s="414">
        <f t="shared" si="104"/>
        <v>0</v>
      </c>
      <c r="CL60" s="414">
        <f t="shared" si="105"/>
        <v>0</v>
      </c>
      <c r="CM60" s="414">
        <f t="shared" si="106"/>
        <v>0</v>
      </c>
      <c r="CN60" s="416">
        <f t="shared" si="107"/>
        <v>0</v>
      </c>
      <c r="CO60" s="414">
        <f t="shared" si="108"/>
        <v>158064.96796579281</v>
      </c>
      <c r="CP60" s="414">
        <f t="shared" si="109"/>
        <v>168075.62951080987</v>
      </c>
      <c r="CQ60" s="414">
        <f t="shared" si="110"/>
        <v>184751.04797682093</v>
      </c>
      <c r="CR60" s="414">
        <f t="shared" si="111"/>
        <v>198576.58271114263</v>
      </c>
      <c r="CS60" s="416">
        <f t="shared" si="112"/>
        <v>709468.22816456622</v>
      </c>
    </row>
    <row r="61" spans="1:98" ht="15.75" customHeight="1">
      <c r="A61" s="88" t="s">
        <v>226</v>
      </c>
      <c r="B61" s="933">
        <v>39</v>
      </c>
      <c r="C61" s="231">
        <v>1451.64</v>
      </c>
      <c r="D61" s="231">
        <v>11345.58</v>
      </c>
      <c r="E61" s="231">
        <v>2348.71</v>
      </c>
      <c r="F61" s="231">
        <v>16426.010000000002</v>
      </c>
      <c r="G61" s="231">
        <v>2802.46</v>
      </c>
      <c r="H61" s="231">
        <v>17045.91</v>
      </c>
      <c r="I61" s="231">
        <v>2002.23</v>
      </c>
      <c r="J61" s="231">
        <v>12777.72</v>
      </c>
      <c r="K61" s="412">
        <f t="shared" si="86"/>
        <v>66200.259999999995</v>
      </c>
      <c r="L61" s="417">
        <v>0</v>
      </c>
      <c r="M61" s="231">
        <v>58850.67</v>
      </c>
      <c r="N61" s="231">
        <v>0</v>
      </c>
      <c r="O61" s="231">
        <v>86690.42</v>
      </c>
      <c r="P61" s="231">
        <v>0</v>
      </c>
      <c r="Q61" s="231">
        <v>88506.55</v>
      </c>
      <c r="R61" s="231">
        <v>0</v>
      </c>
      <c r="S61" s="231">
        <v>87501.68</v>
      </c>
      <c r="T61" s="414">
        <f t="shared" si="87"/>
        <v>321549.32</v>
      </c>
      <c r="U61" s="415">
        <f t="shared" si="88"/>
        <v>387749.58</v>
      </c>
      <c r="V61" s="933">
        <v>39</v>
      </c>
      <c r="W61" s="231">
        <v>3</v>
      </c>
      <c r="X61" s="231">
        <v>3269.49</v>
      </c>
      <c r="Y61" s="231">
        <v>57.88</v>
      </c>
      <c r="Z61" s="231">
        <v>2539.56</v>
      </c>
      <c r="AA61" s="231">
        <v>232.73</v>
      </c>
      <c r="AB61" s="231">
        <v>2546.5700000000002</v>
      </c>
      <c r="AC61" s="231">
        <v>197.12</v>
      </c>
      <c r="AD61" s="231">
        <v>2038.51</v>
      </c>
      <c r="AE61" s="412">
        <f t="shared" si="89"/>
        <v>10884.86</v>
      </c>
      <c r="AF61" s="417">
        <v>0</v>
      </c>
      <c r="AG61" s="231">
        <v>17000.669999999998</v>
      </c>
      <c r="AH61" s="231">
        <v>0</v>
      </c>
      <c r="AI61" s="231">
        <v>13468.13</v>
      </c>
      <c r="AJ61" s="231">
        <v>0</v>
      </c>
      <c r="AK61" s="231">
        <v>13268.35</v>
      </c>
      <c r="AL61" s="231">
        <v>0</v>
      </c>
      <c r="AM61" s="231">
        <v>13972.87</v>
      </c>
      <c r="AN61" s="414">
        <f t="shared" si="90"/>
        <v>57710.02</v>
      </c>
      <c r="AO61" s="415">
        <f t="shared" si="91"/>
        <v>68594.880000000005</v>
      </c>
      <c r="AP61" s="933">
        <v>39</v>
      </c>
      <c r="AQ61" s="231">
        <v>9034.17</v>
      </c>
      <c r="AR61" s="231">
        <v>30963.052532472728</v>
      </c>
      <c r="AS61" s="231">
        <v>9462.0499999999993</v>
      </c>
      <c r="AT61" s="231">
        <v>32137.233443778878</v>
      </c>
      <c r="AU61" s="231">
        <v>10539.95</v>
      </c>
      <c r="AV61" s="231">
        <v>36830.050000000003</v>
      </c>
      <c r="AW61" s="231">
        <v>9479.65</v>
      </c>
      <c r="AX61" s="231">
        <v>33270.82</v>
      </c>
      <c r="AY61" s="412">
        <f t="shared" si="92"/>
        <v>171716.97597625162</v>
      </c>
      <c r="AZ61" s="417">
        <v>0</v>
      </c>
      <c r="BA61" s="231">
        <v>149652.97219021356</v>
      </c>
      <c r="BB61" s="231">
        <v>0</v>
      </c>
      <c r="BC61" s="231">
        <v>156432.49</v>
      </c>
      <c r="BD61" s="231">
        <v>0</v>
      </c>
      <c r="BE61" s="231">
        <v>177952.31</v>
      </c>
      <c r="BF61" s="231">
        <v>0</v>
      </c>
      <c r="BG61" s="231">
        <v>207858.69999999998</v>
      </c>
      <c r="BH61" s="414">
        <f t="shared" si="93"/>
        <v>691896.47219021351</v>
      </c>
      <c r="BI61" s="415">
        <f t="shared" si="94"/>
        <v>863613.44816646515</v>
      </c>
      <c r="BJ61" s="933">
        <v>39</v>
      </c>
      <c r="BK61" s="231">
        <v>109.47</v>
      </c>
      <c r="BL61" s="231">
        <v>1586.17</v>
      </c>
      <c r="BM61" s="231">
        <v>110.32</v>
      </c>
      <c r="BN61" s="231">
        <v>1319.96</v>
      </c>
      <c r="BO61" s="231">
        <v>81.680000000000007</v>
      </c>
      <c r="BP61" s="231">
        <v>1542.23</v>
      </c>
      <c r="BQ61" s="231">
        <v>14</v>
      </c>
      <c r="BR61" s="231">
        <v>1110.48</v>
      </c>
      <c r="BS61" s="412">
        <f t="shared" si="95"/>
        <v>5874.3099999999995</v>
      </c>
      <c r="BT61" s="417">
        <v>0</v>
      </c>
      <c r="BU61" s="231">
        <v>7139.67</v>
      </c>
      <c r="BV61" s="231">
        <v>0</v>
      </c>
      <c r="BW61" s="231">
        <v>6346.86</v>
      </c>
      <c r="BX61" s="231">
        <v>0</v>
      </c>
      <c r="BY61" s="231">
        <v>7180.03</v>
      </c>
      <c r="BZ61" s="231">
        <v>0</v>
      </c>
      <c r="CA61" s="231">
        <v>6424.53</v>
      </c>
      <c r="CB61" s="414">
        <f t="shared" si="96"/>
        <v>27091.089999999997</v>
      </c>
      <c r="CC61" s="415">
        <f t="shared" si="97"/>
        <v>32965.399999999994</v>
      </c>
      <c r="CD61" s="933">
        <v>39</v>
      </c>
      <c r="CE61" s="414">
        <f t="shared" si="98"/>
        <v>57762.572532472725</v>
      </c>
      <c r="CF61" s="414">
        <f t="shared" si="99"/>
        <v>64401.723443778879</v>
      </c>
      <c r="CG61" s="414">
        <f t="shared" si="100"/>
        <v>71621.579999999987</v>
      </c>
      <c r="CH61" s="414">
        <f t="shared" si="101"/>
        <v>60890.53</v>
      </c>
      <c r="CI61" s="416">
        <f t="shared" si="102"/>
        <v>254676.40597625161</v>
      </c>
      <c r="CJ61" s="414">
        <f t="shared" si="103"/>
        <v>232643.98219021357</v>
      </c>
      <c r="CK61" s="414">
        <f t="shared" si="104"/>
        <v>262937.89999999997</v>
      </c>
      <c r="CL61" s="414">
        <f t="shared" si="105"/>
        <v>286907.24000000005</v>
      </c>
      <c r="CM61" s="414">
        <f t="shared" si="106"/>
        <v>315757.78000000003</v>
      </c>
      <c r="CN61" s="416">
        <f t="shared" si="107"/>
        <v>1098246.9021902136</v>
      </c>
      <c r="CO61" s="414">
        <f t="shared" si="108"/>
        <v>290406.55472268624</v>
      </c>
      <c r="CP61" s="414">
        <f t="shared" si="109"/>
        <v>327339.6234437789</v>
      </c>
      <c r="CQ61" s="414">
        <f t="shared" si="110"/>
        <v>358528.82</v>
      </c>
      <c r="CR61" s="414">
        <f t="shared" si="111"/>
        <v>376648.30999999994</v>
      </c>
      <c r="CS61" s="416">
        <f t="shared" si="112"/>
        <v>1352923.3081664653</v>
      </c>
      <c r="CT61" s="319"/>
    </row>
    <row r="62" spans="1:98" ht="15.75" customHeight="1">
      <c r="A62" s="88" t="s">
        <v>227</v>
      </c>
      <c r="B62" s="933">
        <v>40</v>
      </c>
      <c r="C62" s="231"/>
      <c r="D62" s="231"/>
      <c r="E62" s="231"/>
      <c r="F62" s="231"/>
      <c r="G62" s="231"/>
      <c r="H62" s="231"/>
      <c r="I62" s="231"/>
      <c r="J62" s="231"/>
      <c r="K62" s="412">
        <f t="shared" si="86"/>
        <v>0</v>
      </c>
      <c r="L62" s="417"/>
      <c r="M62" s="231"/>
      <c r="N62" s="231"/>
      <c r="O62" s="231"/>
      <c r="P62" s="231"/>
      <c r="Q62" s="231"/>
      <c r="R62" s="231"/>
      <c r="S62" s="231"/>
      <c r="T62" s="414">
        <f t="shared" si="87"/>
        <v>0</v>
      </c>
      <c r="U62" s="415">
        <f t="shared" si="88"/>
        <v>0</v>
      </c>
      <c r="V62" s="933">
        <v>40</v>
      </c>
      <c r="W62" s="231"/>
      <c r="X62" s="231"/>
      <c r="Y62" s="231"/>
      <c r="Z62" s="231"/>
      <c r="AA62" s="231"/>
      <c r="AB62" s="231"/>
      <c r="AC62" s="231"/>
      <c r="AD62" s="231"/>
      <c r="AE62" s="412">
        <f t="shared" si="89"/>
        <v>0</v>
      </c>
      <c r="AF62" s="417"/>
      <c r="AG62" s="231"/>
      <c r="AH62" s="231"/>
      <c r="AI62" s="231"/>
      <c r="AJ62" s="231"/>
      <c r="AK62" s="231"/>
      <c r="AL62" s="231"/>
      <c r="AM62" s="231"/>
      <c r="AN62" s="414">
        <f t="shared" si="90"/>
        <v>0</v>
      </c>
      <c r="AO62" s="415">
        <f t="shared" si="91"/>
        <v>0</v>
      </c>
      <c r="AP62" s="933">
        <v>40</v>
      </c>
      <c r="AQ62" s="231"/>
      <c r="AR62" s="231"/>
      <c r="AS62" s="231"/>
      <c r="AT62" s="231"/>
      <c r="AU62" s="231"/>
      <c r="AV62" s="231"/>
      <c r="AW62" s="231"/>
      <c r="AX62" s="231"/>
      <c r="AY62" s="412">
        <f t="shared" si="92"/>
        <v>0</v>
      </c>
      <c r="AZ62" s="417"/>
      <c r="BA62" s="231"/>
      <c r="BB62" s="231"/>
      <c r="BC62" s="231"/>
      <c r="BD62" s="231"/>
      <c r="BE62" s="231"/>
      <c r="BF62" s="231"/>
      <c r="BG62" s="231"/>
      <c r="BH62" s="414">
        <f t="shared" si="93"/>
        <v>0</v>
      </c>
      <c r="BI62" s="415">
        <f t="shared" si="94"/>
        <v>0</v>
      </c>
      <c r="BJ62" s="933">
        <v>40</v>
      </c>
      <c r="BK62" s="231"/>
      <c r="BL62" s="231"/>
      <c r="BM62" s="231"/>
      <c r="BN62" s="231"/>
      <c r="BO62" s="231"/>
      <c r="BP62" s="231"/>
      <c r="BQ62" s="231"/>
      <c r="BR62" s="231"/>
      <c r="BS62" s="412">
        <f t="shared" si="95"/>
        <v>0</v>
      </c>
      <c r="BT62" s="417"/>
      <c r="BU62" s="231"/>
      <c r="BV62" s="231"/>
      <c r="BW62" s="231"/>
      <c r="BX62" s="231"/>
      <c r="BY62" s="231"/>
      <c r="BZ62" s="231"/>
      <c r="CA62" s="231"/>
      <c r="CB62" s="414">
        <f t="shared" si="96"/>
        <v>0</v>
      </c>
      <c r="CC62" s="415">
        <f t="shared" si="97"/>
        <v>0</v>
      </c>
      <c r="CD62" s="933">
        <v>40</v>
      </c>
      <c r="CE62" s="414">
        <f t="shared" si="98"/>
        <v>0</v>
      </c>
      <c r="CF62" s="414">
        <f t="shared" si="99"/>
        <v>0</v>
      </c>
      <c r="CG62" s="414">
        <f t="shared" si="100"/>
        <v>0</v>
      </c>
      <c r="CH62" s="414">
        <f t="shared" si="101"/>
        <v>0</v>
      </c>
      <c r="CI62" s="416">
        <f t="shared" si="102"/>
        <v>0</v>
      </c>
      <c r="CJ62" s="414">
        <f t="shared" si="103"/>
        <v>0</v>
      </c>
      <c r="CK62" s="414">
        <f t="shared" si="104"/>
        <v>0</v>
      </c>
      <c r="CL62" s="414">
        <f t="shared" si="105"/>
        <v>0</v>
      </c>
      <c r="CM62" s="414">
        <f t="shared" si="106"/>
        <v>0</v>
      </c>
      <c r="CN62" s="416">
        <f t="shared" si="107"/>
        <v>0</v>
      </c>
      <c r="CO62" s="414">
        <f t="shared" si="108"/>
        <v>0</v>
      </c>
      <c r="CP62" s="414">
        <f t="shared" si="109"/>
        <v>0</v>
      </c>
      <c r="CQ62" s="414">
        <f t="shared" si="110"/>
        <v>0</v>
      </c>
      <c r="CR62" s="414">
        <f t="shared" si="111"/>
        <v>0</v>
      </c>
      <c r="CS62" s="416">
        <f t="shared" si="112"/>
        <v>0</v>
      </c>
    </row>
    <row r="63" spans="1:98" ht="15.75" customHeight="1">
      <c r="A63" s="88" t="s">
        <v>229</v>
      </c>
      <c r="B63" s="933">
        <v>41</v>
      </c>
      <c r="C63" s="231"/>
      <c r="D63" s="231"/>
      <c r="E63" s="231"/>
      <c r="F63" s="231"/>
      <c r="G63" s="231"/>
      <c r="H63" s="231"/>
      <c r="I63" s="231"/>
      <c r="J63" s="231"/>
      <c r="K63" s="412">
        <f t="shared" si="86"/>
        <v>0</v>
      </c>
      <c r="L63" s="417"/>
      <c r="M63" s="231"/>
      <c r="N63" s="231"/>
      <c r="O63" s="231"/>
      <c r="P63" s="231"/>
      <c r="Q63" s="231"/>
      <c r="R63" s="231"/>
      <c r="S63" s="231"/>
      <c r="T63" s="414">
        <f t="shared" si="87"/>
        <v>0</v>
      </c>
      <c r="U63" s="415">
        <f t="shared" si="88"/>
        <v>0</v>
      </c>
      <c r="V63" s="933">
        <v>41</v>
      </c>
      <c r="W63" s="231"/>
      <c r="X63" s="231"/>
      <c r="Y63" s="231"/>
      <c r="Z63" s="231"/>
      <c r="AA63" s="231"/>
      <c r="AB63" s="231"/>
      <c r="AC63" s="231"/>
      <c r="AD63" s="231"/>
      <c r="AE63" s="412">
        <f t="shared" si="89"/>
        <v>0</v>
      </c>
      <c r="AF63" s="417"/>
      <c r="AG63" s="231"/>
      <c r="AH63" s="231"/>
      <c r="AI63" s="231"/>
      <c r="AJ63" s="231"/>
      <c r="AK63" s="231"/>
      <c r="AL63" s="231"/>
      <c r="AM63" s="231"/>
      <c r="AN63" s="414">
        <f t="shared" si="90"/>
        <v>0</v>
      </c>
      <c r="AO63" s="415">
        <f t="shared" si="91"/>
        <v>0</v>
      </c>
      <c r="AP63" s="933">
        <v>41</v>
      </c>
      <c r="AQ63" s="231"/>
      <c r="AR63" s="231"/>
      <c r="AS63" s="231"/>
      <c r="AT63" s="231"/>
      <c r="AU63" s="231"/>
      <c r="AV63" s="231"/>
      <c r="AW63" s="231"/>
      <c r="AX63" s="231"/>
      <c r="AY63" s="412">
        <f t="shared" si="92"/>
        <v>0</v>
      </c>
      <c r="AZ63" s="417"/>
      <c r="BA63" s="231"/>
      <c r="BB63" s="231"/>
      <c r="BC63" s="231"/>
      <c r="BD63" s="231"/>
      <c r="BE63" s="231"/>
      <c r="BF63" s="231"/>
      <c r="BG63" s="231"/>
      <c r="BH63" s="414">
        <f t="shared" si="93"/>
        <v>0</v>
      </c>
      <c r="BI63" s="415">
        <f t="shared" si="94"/>
        <v>0</v>
      </c>
      <c r="BJ63" s="933">
        <v>41</v>
      </c>
      <c r="BK63" s="231"/>
      <c r="BL63" s="231"/>
      <c r="BM63" s="231"/>
      <c r="BN63" s="231"/>
      <c r="BO63" s="231"/>
      <c r="BP63" s="231"/>
      <c r="BQ63" s="231"/>
      <c r="BR63" s="231"/>
      <c r="BS63" s="412">
        <f t="shared" si="95"/>
        <v>0</v>
      </c>
      <c r="BT63" s="417"/>
      <c r="BU63" s="231"/>
      <c r="BV63" s="231"/>
      <c r="BW63" s="231"/>
      <c r="BX63" s="231"/>
      <c r="BY63" s="231"/>
      <c r="BZ63" s="231"/>
      <c r="CA63" s="231"/>
      <c r="CB63" s="414">
        <f t="shared" si="96"/>
        <v>0</v>
      </c>
      <c r="CC63" s="415">
        <f t="shared" si="97"/>
        <v>0</v>
      </c>
      <c r="CD63" s="933">
        <v>41</v>
      </c>
      <c r="CE63" s="414">
        <f t="shared" si="98"/>
        <v>0</v>
      </c>
      <c r="CF63" s="414">
        <f t="shared" si="99"/>
        <v>0</v>
      </c>
      <c r="CG63" s="414">
        <f t="shared" si="100"/>
        <v>0</v>
      </c>
      <c r="CH63" s="414">
        <f t="shared" si="101"/>
        <v>0</v>
      </c>
      <c r="CI63" s="416">
        <f t="shared" si="102"/>
        <v>0</v>
      </c>
      <c r="CJ63" s="414">
        <f t="shared" si="103"/>
        <v>0</v>
      </c>
      <c r="CK63" s="414">
        <f t="shared" si="104"/>
        <v>0</v>
      </c>
      <c r="CL63" s="414">
        <f t="shared" si="105"/>
        <v>0</v>
      </c>
      <c r="CM63" s="414">
        <f t="shared" si="106"/>
        <v>0</v>
      </c>
      <c r="CN63" s="416">
        <f t="shared" si="107"/>
        <v>0</v>
      </c>
      <c r="CO63" s="414">
        <f t="shared" si="108"/>
        <v>0</v>
      </c>
      <c r="CP63" s="414">
        <f t="shared" si="109"/>
        <v>0</v>
      </c>
      <c r="CQ63" s="414">
        <f t="shared" si="110"/>
        <v>0</v>
      </c>
      <c r="CR63" s="414">
        <f t="shared" si="111"/>
        <v>0</v>
      </c>
      <c r="CS63" s="416">
        <f t="shared" si="112"/>
        <v>0</v>
      </c>
    </row>
    <row r="64" spans="1:98" ht="15.75" customHeight="1">
      <c r="A64" s="932" t="s">
        <v>231</v>
      </c>
      <c r="B64" s="933">
        <v>42</v>
      </c>
      <c r="C64" s="231"/>
      <c r="D64" s="231"/>
      <c r="E64" s="231"/>
      <c r="F64" s="231"/>
      <c r="G64" s="231"/>
      <c r="H64" s="231"/>
      <c r="I64" s="231"/>
      <c r="J64" s="231"/>
      <c r="K64" s="412">
        <f t="shared" si="86"/>
        <v>0</v>
      </c>
      <c r="L64" s="417"/>
      <c r="M64" s="231"/>
      <c r="N64" s="231"/>
      <c r="O64" s="231"/>
      <c r="P64" s="231"/>
      <c r="Q64" s="231"/>
      <c r="R64" s="231"/>
      <c r="S64" s="231"/>
      <c r="T64" s="414">
        <f t="shared" si="87"/>
        <v>0</v>
      </c>
      <c r="U64" s="415">
        <f t="shared" si="88"/>
        <v>0</v>
      </c>
      <c r="V64" s="933">
        <v>42</v>
      </c>
      <c r="W64" s="231"/>
      <c r="X64" s="231"/>
      <c r="Y64" s="231"/>
      <c r="Z64" s="231"/>
      <c r="AA64" s="231"/>
      <c r="AB64" s="231"/>
      <c r="AC64" s="231"/>
      <c r="AD64" s="231"/>
      <c r="AE64" s="412">
        <f t="shared" si="89"/>
        <v>0</v>
      </c>
      <c r="AF64" s="417"/>
      <c r="AG64" s="231"/>
      <c r="AH64" s="231"/>
      <c r="AI64" s="231"/>
      <c r="AJ64" s="231"/>
      <c r="AK64" s="231"/>
      <c r="AL64" s="231"/>
      <c r="AM64" s="231"/>
      <c r="AN64" s="414">
        <f t="shared" si="90"/>
        <v>0</v>
      </c>
      <c r="AO64" s="415">
        <f t="shared" si="91"/>
        <v>0</v>
      </c>
      <c r="AP64" s="933">
        <v>42</v>
      </c>
      <c r="AQ64" s="231"/>
      <c r="AR64" s="231"/>
      <c r="AS64" s="231"/>
      <c r="AT64" s="231"/>
      <c r="AU64" s="231"/>
      <c r="AV64" s="231"/>
      <c r="AW64" s="231"/>
      <c r="AX64" s="231"/>
      <c r="AY64" s="412">
        <f t="shared" si="92"/>
        <v>0</v>
      </c>
      <c r="AZ64" s="417"/>
      <c r="BA64" s="231"/>
      <c r="BB64" s="231"/>
      <c r="BC64" s="231"/>
      <c r="BD64" s="231"/>
      <c r="BE64" s="231"/>
      <c r="BF64" s="231"/>
      <c r="BG64" s="231"/>
      <c r="BH64" s="414">
        <f t="shared" si="93"/>
        <v>0</v>
      </c>
      <c r="BI64" s="415">
        <f t="shared" si="94"/>
        <v>0</v>
      </c>
      <c r="BJ64" s="933">
        <v>42</v>
      </c>
      <c r="BK64" s="231"/>
      <c r="BL64" s="231"/>
      <c r="BM64" s="231"/>
      <c r="BN64" s="231"/>
      <c r="BO64" s="231"/>
      <c r="BP64" s="231"/>
      <c r="BQ64" s="231"/>
      <c r="BR64" s="231"/>
      <c r="BS64" s="412">
        <f t="shared" si="95"/>
        <v>0</v>
      </c>
      <c r="BT64" s="417"/>
      <c r="BU64" s="231"/>
      <c r="BV64" s="231"/>
      <c r="BW64" s="231"/>
      <c r="BX64" s="231"/>
      <c r="BY64" s="231"/>
      <c r="BZ64" s="231"/>
      <c r="CA64" s="231"/>
      <c r="CB64" s="414">
        <f t="shared" si="96"/>
        <v>0</v>
      </c>
      <c r="CC64" s="415">
        <f t="shared" si="97"/>
        <v>0</v>
      </c>
      <c r="CD64" s="933">
        <v>42</v>
      </c>
      <c r="CE64" s="414">
        <f t="shared" si="98"/>
        <v>0</v>
      </c>
      <c r="CF64" s="414">
        <f t="shared" si="99"/>
        <v>0</v>
      </c>
      <c r="CG64" s="414">
        <f t="shared" si="100"/>
        <v>0</v>
      </c>
      <c r="CH64" s="414">
        <f t="shared" si="101"/>
        <v>0</v>
      </c>
      <c r="CI64" s="416">
        <f t="shared" si="102"/>
        <v>0</v>
      </c>
      <c r="CJ64" s="414">
        <f t="shared" si="103"/>
        <v>0</v>
      </c>
      <c r="CK64" s="414">
        <f t="shared" si="104"/>
        <v>0</v>
      </c>
      <c r="CL64" s="414">
        <f t="shared" si="105"/>
        <v>0</v>
      </c>
      <c r="CM64" s="414">
        <f t="shared" si="106"/>
        <v>0</v>
      </c>
      <c r="CN64" s="416">
        <f t="shared" si="107"/>
        <v>0</v>
      </c>
      <c r="CO64" s="414">
        <f t="shared" si="108"/>
        <v>0</v>
      </c>
      <c r="CP64" s="414">
        <f t="shared" si="109"/>
        <v>0</v>
      </c>
      <c r="CQ64" s="414">
        <f t="shared" si="110"/>
        <v>0</v>
      </c>
      <c r="CR64" s="414">
        <f t="shared" si="111"/>
        <v>0</v>
      </c>
      <c r="CS64" s="416">
        <f t="shared" si="112"/>
        <v>0</v>
      </c>
    </row>
    <row r="65" spans="1:131" ht="15.75" customHeight="1">
      <c r="A65" s="88"/>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31" s="14" customFormat="1" ht="15.75" customHeight="1">
      <c r="A66" s="16" t="s">
        <v>233</v>
      </c>
      <c r="B66" s="933">
        <v>43</v>
      </c>
      <c r="C66" s="216">
        <f>SUM(C35:C64)-C44-C46</f>
        <v>33260.381984973254</v>
      </c>
      <c r="D66" s="216">
        <f t="shared" ref="D66:U66" si="118">SUM(D35:D64)-D44-D46</f>
        <v>231000.02825965488</v>
      </c>
      <c r="E66" s="216">
        <f t="shared" si="118"/>
        <v>252118.67229070366</v>
      </c>
      <c r="F66" s="216">
        <f t="shared" si="118"/>
        <v>406332.47490412585</v>
      </c>
      <c r="G66" s="216">
        <f t="shared" si="118"/>
        <v>167412.22004939069</v>
      </c>
      <c r="H66" s="216">
        <f t="shared" si="118"/>
        <v>394627.20980367396</v>
      </c>
      <c r="I66" s="216">
        <f t="shared" si="118"/>
        <v>137854.9115081988</v>
      </c>
      <c r="J66" s="216">
        <f t="shared" si="118"/>
        <v>238017.15385113566</v>
      </c>
      <c r="K66" s="221">
        <f t="shared" si="118"/>
        <v>1860623.052651857</v>
      </c>
      <c r="L66" s="218">
        <f t="shared" si="118"/>
        <v>0</v>
      </c>
      <c r="M66" s="218">
        <f t="shared" si="118"/>
        <v>335977.08985217597</v>
      </c>
      <c r="N66" s="218">
        <f t="shared" si="118"/>
        <v>0</v>
      </c>
      <c r="O66" s="218">
        <f t="shared" si="118"/>
        <v>700876.26369049703</v>
      </c>
      <c r="P66" s="218">
        <f t="shared" si="118"/>
        <v>0</v>
      </c>
      <c r="Q66" s="218">
        <f t="shared" si="118"/>
        <v>751286.12005943141</v>
      </c>
      <c r="R66" s="218">
        <f t="shared" si="118"/>
        <v>0</v>
      </c>
      <c r="S66" s="218">
        <f t="shared" si="118"/>
        <v>689562.52631943766</v>
      </c>
      <c r="T66" s="219">
        <f t="shared" si="118"/>
        <v>2477701.9999215417</v>
      </c>
      <c r="U66" s="218">
        <f t="shared" si="118"/>
        <v>4338325.0525733987</v>
      </c>
      <c r="V66" s="933">
        <v>43</v>
      </c>
      <c r="W66" s="216">
        <f>SUM(W35:W64)-W44-W46</f>
        <v>6463.1977761014477</v>
      </c>
      <c r="X66" s="216">
        <f t="shared" ref="X66:AO66" si="119">SUM(X35:X64)-X44-X46</f>
        <v>62494.424301910753</v>
      </c>
      <c r="Y66" s="216">
        <f t="shared" si="119"/>
        <v>6875.1332032884466</v>
      </c>
      <c r="Z66" s="216">
        <f t="shared" si="119"/>
        <v>38251.737634050041</v>
      </c>
      <c r="AA66" s="216">
        <f t="shared" si="119"/>
        <v>20559.66337538217</v>
      </c>
      <c r="AB66" s="216">
        <f t="shared" si="119"/>
        <v>34377.766304642406</v>
      </c>
      <c r="AC66" s="216">
        <f t="shared" si="119"/>
        <v>6786.7147174595093</v>
      </c>
      <c r="AD66" s="216">
        <f t="shared" si="119"/>
        <v>29801.2243187444</v>
      </c>
      <c r="AE66" s="221">
        <f t="shared" si="119"/>
        <v>205609.8616315792</v>
      </c>
      <c r="AF66" s="218">
        <f t="shared" si="119"/>
        <v>0</v>
      </c>
      <c r="AG66" s="218">
        <f t="shared" si="119"/>
        <v>190728.42906507026</v>
      </c>
      <c r="AH66" s="218">
        <f t="shared" si="119"/>
        <v>0</v>
      </c>
      <c r="AI66" s="218">
        <f t="shared" si="119"/>
        <v>121531.95067514041</v>
      </c>
      <c r="AJ66" s="218">
        <f t="shared" si="119"/>
        <v>0</v>
      </c>
      <c r="AK66" s="218">
        <f t="shared" si="119"/>
        <v>81126.433893041525</v>
      </c>
      <c r="AL66" s="218">
        <f t="shared" si="119"/>
        <v>0</v>
      </c>
      <c r="AM66" s="218">
        <f t="shared" si="119"/>
        <v>92577.743481816462</v>
      </c>
      <c r="AN66" s="219">
        <f t="shared" si="119"/>
        <v>485964.55711506878</v>
      </c>
      <c r="AO66" s="218">
        <f t="shared" si="119"/>
        <v>691574.41874664789</v>
      </c>
      <c r="AP66" s="933">
        <v>43</v>
      </c>
      <c r="AQ66" s="216">
        <f>SUM(AQ35:AQ64)-AQ44-AQ46</f>
        <v>1204819.8994098881</v>
      </c>
      <c r="AR66" s="216">
        <f t="shared" ref="AR66:BI66" si="120">SUM(AR35:AR64)-AR44-AR46</f>
        <v>2644980.5712146657</v>
      </c>
      <c r="AS66" s="216">
        <f t="shared" si="120"/>
        <v>1100743.1241194108</v>
      </c>
      <c r="AT66" s="216">
        <f t="shared" si="120"/>
        <v>2536243.837429991</v>
      </c>
      <c r="AU66" s="216">
        <f t="shared" si="120"/>
        <v>1374976.9310796114</v>
      </c>
      <c r="AV66" s="216">
        <f t="shared" si="120"/>
        <v>2821760.5283125923</v>
      </c>
      <c r="AW66" s="216">
        <f t="shared" si="120"/>
        <v>1695597.0323356867</v>
      </c>
      <c r="AX66" s="216">
        <f t="shared" si="120"/>
        <v>3163502.0155587327</v>
      </c>
      <c r="AY66" s="221">
        <f t="shared" si="120"/>
        <v>16542623.939460577</v>
      </c>
      <c r="AZ66" s="218">
        <f t="shared" si="120"/>
        <v>0</v>
      </c>
      <c r="BA66" s="218">
        <f t="shared" si="120"/>
        <v>2399796.8903528661</v>
      </c>
      <c r="BB66" s="218">
        <f t="shared" si="120"/>
        <v>0</v>
      </c>
      <c r="BC66" s="218">
        <f t="shared" si="120"/>
        <v>2397106.5852840031</v>
      </c>
      <c r="BD66" s="218">
        <f t="shared" si="120"/>
        <v>0</v>
      </c>
      <c r="BE66" s="218">
        <f t="shared" si="120"/>
        <v>2666044.6712643006</v>
      </c>
      <c r="BF66" s="218">
        <f t="shared" si="120"/>
        <v>0</v>
      </c>
      <c r="BG66" s="218">
        <f t="shared" si="120"/>
        <v>2968088.2132044104</v>
      </c>
      <c r="BH66" s="219">
        <f t="shared" si="120"/>
        <v>10431036.36010558</v>
      </c>
      <c r="BI66" s="218">
        <f t="shared" si="120"/>
        <v>26973660.299566157</v>
      </c>
      <c r="BJ66" s="933">
        <v>43</v>
      </c>
      <c r="BK66" s="216">
        <f>SUM(BK35:BK64)-BK44-BK46</f>
        <v>60130.422506104478</v>
      </c>
      <c r="BL66" s="216">
        <f t="shared" ref="BL66:CR66" si="121">SUM(BL35:BL64)-BL44-BL46</f>
        <v>435240.6130395754</v>
      </c>
      <c r="BM66" s="216">
        <f t="shared" si="121"/>
        <v>53361.484955573971</v>
      </c>
      <c r="BN66" s="216">
        <f t="shared" si="121"/>
        <v>271854.09190148063</v>
      </c>
      <c r="BO66" s="216">
        <f t="shared" si="121"/>
        <v>50411.852160391354</v>
      </c>
      <c r="BP66" s="216">
        <f t="shared" si="121"/>
        <v>344803.97042076942</v>
      </c>
      <c r="BQ66" s="216">
        <f t="shared" si="121"/>
        <v>27117.335212014521</v>
      </c>
      <c r="BR66" s="216">
        <f t="shared" si="121"/>
        <v>352159.47945056326</v>
      </c>
      <c r="BS66" s="221">
        <f t="shared" si="121"/>
        <v>1595079.249646473</v>
      </c>
      <c r="BT66" s="218">
        <f t="shared" si="121"/>
        <v>0</v>
      </c>
      <c r="BU66" s="218">
        <f t="shared" si="121"/>
        <v>110108.14599077559</v>
      </c>
      <c r="BV66" s="218">
        <f t="shared" si="121"/>
        <v>0</v>
      </c>
      <c r="BW66" s="218">
        <f t="shared" si="121"/>
        <v>192996.13920113057</v>
      </c>
      <c r="BX66" s="218">
        <f t="shared" si="121"/>
        <v>0</v>
      </c>
      <c r="BY66" s="218">
        <f t="shared" si="121"/>
        <v>133081.06256944698</v>
      </c>
      <c r="BZ66" s="218">
        <f t="shared" si="121"/>
        <v>0</v>
      </c>
      <c r="CA66" s="218">
        <f t="shared" si="121"/>
        <v>124456.66493718074</v>
      </c>
      <c r="CB66" s="219">
        <f t="shared" si="121"/>
        <v>560642.01269853394</v>
      </c>
      <c r="CC66" s="218">
        <f t="shared" si="121"/>
        <v>2155721.2623450062</v>
      </c>
      <c r="CD66" s="933">
        <v>43</v>
      </c>
      <c r="CE66" s="219">
        <f t="shared" ref="CE66:CH66" si="122">SUM(CE35:CE64)-CE44-CE46</f>
        <v>4678389.5384928761</v>
      </c>
      <c r="CF66" s="219">
        <f t="shared" si="122"/>
        <v>4665780.5564386258</v>
      </c>
      <c r="CG66" s="219">
        <f t="shared" si="122"/>
        <v>5208930.141506454</v>
      </c>
      <c r="CH66" s="219">
        <f t="shared" si="122"/>
        <v>5650835.8669525357</v>
      </c>
      <c r="CI66" s="216">
        <f>SUM(BS66,AY66,AE66,K66)</f>
        <v>20203936.103390485</v>
      </c>
      <c r="CJ66" s="219">
        <f t="shared" ref="CJ66:CM66" si="123">SUM(CJ35:CJ64)-CJ44-CJ46</f>
        <v>3036610.5552608874</v>
      </c>
      <c r="CK66" s="219">
        <f t="shared" si="123"/>
        <v>3412510.9388507712</v>
      </c>
      <c r="CL66" s="219">
        <f t="shared" si="123"/>
        <v>3631538.2877862207</v>
      </c>
      <c r="CM66" s="219">
        <f t="shared" si="123"/>
        <v>3874685.1479428452</v>
      </c>
      <c r="CN66" s="216">
        <f>SUM(BX66,BD66,AJ66,P66)</f>
        <v>0</v>
      </c>
      <c r="CO66" s="219">
        <f t="shared" si="121"/>
        <v>7715000.0937537607</v>
      </c>
      <c r="CP66" s="219">
        <f t="shared" si="121"/>
        <v>8078291.4952893965</v>
      </c>
      <c r="CQ66" s="219">
        <f t="shared" si="121"/>
        <v>8840468.4292926751</v>
      </c>
      <c r="CR66" s="219">
        <f t="shared" si="121"/>
        <v>9525521.0148953814</v>
      </c>
      <c r="CS66" s="216">
        <f>SUM(CC66,BI66,AO66,U66)</f>
        <v>34159281.033231206</v>
      </c>
      <c r="CT66" s="318"/>
      <c r="CU66" s="318"/>
      <c r="CV66" s="318"/>
      <c r="CW66" s="318"/>
      <c r="CX66" s="318"/>
      <c r="CY66" s="318"/>
      <c r="CZ66" s="318"/>
      <c r="DA66" s="318"/>
      <c r="DB66" s="318"/>
      <c r="DC66" s="318"/>
      <c r="DD66" s="318"/>
      <c r="DE66" s="318"/>
      <c r="DF66" s="318"/>
      <c r="DG66" s="318"/>
      <c r="DH66" s="318"/>
      <c r="DI66" s="318"/>
      <c r="DJ66" s="318"/>
      <c r="DK66" s="318"/>
      <c r="DL66" s="318"/>
      <c r="DM66" s="318"/>
      <c r="DN66" s="318"/>
      <c r="DO66" s="318"/>
      <c r="DP66" s="318"/>
      <c r="DQ66" s="318"/>
      <c r="DR66" s="318"/>
      <c r="DS66" s="318"/>
      <c r="DT66" s="318"/>
      <c r="DU66" s="318"/>
      <c r="DV66" s="318"/>
      <c r="DW66" s="318"/>
      <c r="DX66" s="318"/>
      <c r="DY66" s="318"/>
      <c r="DZ66" s="318"/>
      <c r="EA66" s="318"/>
    </row>
    <row r="67" spans="1:131" ht="15.75" customHeight="1">
      <c r="B67" s="933"/>
      <c r="C67" s="178"/>
      <c r="D67" s="178"/>
      <c r="E67" s="178"/>
      <c r="F67" s="178"/>
      <c r="G67" s="178"/>
      <c r="H67" s="178"/>
      <c r="I67" s="178"/>
      <c r="J67" s="178"/>
      <c r="K67" s="381"/>
      <c r="L67" s="382"/>
      <c r="M67" s="178"/>
      <c r="N67" s="178"/>
      <c r="O67" s="178"/>
      <c r="P67" s="178"/>
      <c r="Q67" s="178"/>
      <c r="R67" s="178"/>
      <c r="S67" s="178"/>
      <c r="T67" s="178"/>
      <c r="U67" s="383"/>
      <c r="V67" s="933"/>
      <c r="W67" s="178"/>
      <c r="X67" s="178"/>
      <c r="Y67" s="178"/>
      <c r="Z67" s="178"/>
      <c r="AA67" s="178"/>
      <c r="AB67" s="178"/>
      <c r="AC67" s="178"/>
      <c r="AD67" s="178"/>
      <c r="AE67" s="381"/>
      <c r="AF67" s="382"/>
      <c r="AG67" s="178"/>
      <c r="AH67" s="178"/>
      <c r="AI67" s="178"/>
      <c r="AJ67" s="178"/>
      <c r="AK67" s="178"/>
      <c r="AL67" s="178"/>
      <c r="AM67" s="178"/>
      <c r="AN67" s="178"/>
      <c r="AO67" s="383"/>
      <c r="AP67" s="933"/>
      <c r="AQ67" s="178"/>
      <c r="AR67" s="178"/>
      <c r="AS67" s="178"/>
      <c r="AT67" s="178"/>
      <c r="AU67" s="178"/>
      <c r="AV67" s="178"/>
      <c r="AW67" s="178"/>
      <c r="AX67" s="178"/>
      <c r="AY67" s="381"/>
      <c r="AZ67" s="382"/>
      <c r="BA67" s="178"/>
      <c r="BB67" s="178"/>
      <c r="BC67" s="178"/>
      <c r="BD67" s="178"/>
      <c r="BE67" s="178"/>
      <c r="BF67" s="178"/>
      <c r="BG67" s="178"/>
      <c r="BH67" s="178"/>
      <c r="BI67" s="383"/>
      <c r="BJ67" s="933"/>
      <c r="BK67" s="178"/>
      <c r="BL67" s="178"/>
      <c r="BM67" s="178"/>
      <c r="BN67" s="178"/>
      <c r="BO67" s="178"/>
      <c r="BP67" s="178"/>
      <c r="BQ67" s="178"/>
      <c r="BR67" s="178"/>
      <c r="BS67" s="381"/>
      <c r="BT67" s="382"/>
      <c r="BU67" s="178"/>
      <c r="BV67" s="178"/>
      <c r="BW67" s="178"/>
      <c r="BX67" s="178"/>
      <c r="BY67" s="178"/>
      <c r="BZ67" s="178"/>
      <c r="CA67" s="178"/>
      <c r="CB67" s="178"/>
      <c r="CC67" s="383"/>
      <c r="CD67" s="933"/>
      <c r="CE67" s="178"/>
      <c r="CF67" s="178"/>
      <c r="CG67" s="178"/>
      <c r="CH67" s="178"/>
      <c r="CI67" s="419"/>
      <c r="CJ67" s="178"/>
      <c r="CK67" s="178"/>
      <c r="CL67" s="178"/>
      <c r="CM67" s="178"/>
      <c r="CN67" s="419"/>
      <c r="CO67" s="178"/>
      <c r="CP67" s="178"/>
      <c r="CQ67" s="178"/>
      <c r="CR67" s="178"/>
      <c r="CS67" s="419"/>
    </row>
    <row r="68" spans="1:131" ht="15.75" customHeight="1">
      <c r="A68" s="16"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31" ht="15.75" customHeight="1">
      <c r="A69" s="88" t="s">
        <v>236</v>
      </c>
      <c r="B69" s="933">
        <v>44</v>
      </c>
      <c r="C69" s="420">
        <v>170.74786968489485</v>
      </c>
      <c r="D69" s="420">
        <v>592.2889674897084</v>
      </c>
      <c r="E69" s="420">
        <v>165.49578994792665</v>
      </c>
      <c r="F69" s="420">
        <v>633.44186562750986</v>
      </c>
      <c r="G69" s="420">
        <v>319.17559257973329</v>
      </c>
      <c r="H69" s="420">
        <v>1323.3826437760649</v>
      </c>
      <c r="I69" s="420">
        <v>262.31601979096524</v>
      </c>
      <c r="J69" s="420">
        <v>1006.1936372674692</v>
      </c>
      <c r="K69" s="412">
        <f>SUM(C69:J69)</f>
        <v>4473.0423861642721</v>
      </c>
      <c r="L69" s="421">
        <v>0</v>
      </c>
      <c r="M69" s="420">
        <v>1040.4184505269511</v>
      </c>
      <c r="N69" s="420">
        <v>0</v>
      </c>
      <c r="O69" s="420">
        <v>1136.2215478654746</v>
      </c>
      <c r="P69" s="420">
        <v>0</v>
      </c>
      <c r="Q69" s="420">
        <v>2685.2324447188917</v>
      </c>
      <c r="R69" s="420">
        <v>0</v>
      </c>
      <c r="S69" s="420">
        <v>1894.6376394428078</v>
      </c>
      <c r="T69" s="414">
        <f>SUM(L69:S69)</f>
        <v>6756.5100825541249</v>
      </c>
      <c r="U69" s="415">
        <f>SUM(T69,K69)</f>
        <v>11229.552468718397</v>
      </c>
      <c r="V69" s="933">
        <v>44</v>
      </c>
      <c r="W69" s="420">
        <v>43.985561510466468</v>
      </c>
      <c r="X69" s="420">
        <v>401.84918734464441</v>
      </c>
      <c r="Y69" s="420">
        <v>34.625498629351746</v>
      </c>
      <c r="Z69" s="420">
        <v>361.20428112507921</v>
      </c>
      <c r="AA69" s="420">
        <v>152.30719314657614</v>
      </c>
      <c r="AB69" s="420">
        <v>574.41045193106447</v>
      </c>
      <c r="AC69" s="420">
        <v>109.16128301348532</v>
      </c>
      <c r="AD69" s="420">
        <v>430.40341219608246</v>
      </c>
      <c r="AE69" s="412">
        <f>SUM(W69:AD69)</f>
        <v>2107.9468688967499</v>
      </c>
      <c r="AF69" s="421">
        <v>0</v>
      </c>
      <c r="AG69" s="420">
        <v>424.23698572278857</v>
      </c>
      <c r="AH69" s="420">
        <v>0</v>
      </c>
      <c r="AI69" s="420">
        <v>351.18514598595357</v>
      </c>
      <c r="AJ69" s="420">
        <v>0</v>
      </c>
      <c r="AK69" s="420">
        <v>673.48912877512601</v>
      </c>
      <c r="AL69" s="420">
        <v>0</v>
      </c>
      <c r="AM69" s="420">
        <v>481.95072332970085</v>
      </c>
      <c r="AN69" s="414">
        <f>SUM(AF69:AM69)</f>
        <v>1930.8619838135692</v>
      </c>
      <c r="AO69" s="415">
        <f>SUM(AN69,AE69)</f>
        <v>4038.8088527103191</v>
      </c>
      <c r="AP69" s="933">
        <v>44</v>
      </c>
      <c r="AQ69" s="420">
        <v>5057.4467609327567</v>
      </c>
      <c r="AR69" s="420">
        <v>10917.422165804302</v>
      </c>
      <c r="AS69" s="420">
        <v>5378.2705981688596</v>
      </c>
      <c r="AT69" s="420">
        <v>11498.350865988043</v>
      </c>
      <c r="AU69" s="420">
        <v>10555.685206320137</v>
      </c>
      <c r="AV69" s="420">
        <v>23648.876590732725</v>
      </c>
      <c r="AW69" s="420">
        <v>10860.308817529636</v>
      </c>
      <c r="AX69" s="420">
        <v>18654.517909053029</v>
      </c>
      <c r="AY69" s="412">
        <f>SUM(AQ69:AX69)</f>
        <v>96570.878914529501</v>
      </c>
      <c r="AZ69" s="421">
        <v>0</v>
      </c>
      <c r="BA69" s="420">
        <v>6086.3814865243285</v>
      </c>
      <c r="BB69" s="420">
        <v>0</v>
      </c>
      <c r="BC69" s="420">
        <v>5721.3883580732945</v>
      </c>
      <c r="BD69" s="420">
        <v>0</v>
      </c>
      <c r="BE69" s="420">
        <v>15008.021176774306</v>
      </c>
      <c r="BF69" s="420">
        <v>0</v>
      </c>
      <c r="BG69" s="420">
        <v>10618.740707548923</v>
      </c>
      <c r="BH69" s="414">
        <f>SUM(AZ69:BG69)</f>
        <v>37434.531728920854</v>
      </c>
      <c r="BI69" s="415">
        <f>SUM(BH69,AY69)</f>
        <v>134005.41064345036</v>
      </c>
      <c r="BJ69" s="933">
        <v>44</v>
      </c>
      <c r="BK69" s="420">
        <v>208.38938456161216</v>
      </c>
      <c r="BL69" s="420">
        <v>1612.5195407863564</v>
      </c>
      <c r="BM69" s="420">
        <v>205.67582009788947</v>
      </c>
      <c r="BN69" s="420">
        <v>1211.3307983115626</v>
      </c>
      <c r="BO69" s="420">
        <v>391.29820865266697</v>
      </c>
      <c r="BP69" s="420">
        <v>2064.4262054467044</v>
      </c>
      <c r="BQ69" s="420">
        <v>181.14532892345107</v>
      </c>
      <c r="BR69" s="420">
        <v>1186.3696246671766</v>
      </c>
      <c r="BS69" s="412">
        <f>SUM(BK69:BR69)</f>
        <v>7061.1549114474201</v>
      </c>
      <c r="BT69" s="421">
        <v>0</v>
      </c>
      <c r="BU69" s="420">
        <v>428.88825290204431</v>
      </c>
      <c r="BV69" s="420">
        <v>0</v>
      </c>
      <c r="BW69" s="420">
        <v>395.69391660389357</v>
      </c>
      <c r="BX69" s="420">
        <v>0</v>
      </c>
      <c r="BY69" s="420">
        <v>804.93946569085051</v>
      </c>
      <c r="BZ69" s="420">
        <v>0</v>
      </c>
      <c r="CA69" s="420">
        <v>450.61944071513221</v>
      </c>
      <c r="CB69" s="414">
        <f>SUM(BT69:CA69)</f>
        <v>2080.1410759119208</v>
      </c>
      <c r="CC69" s="415">
        <f>SUM(CB69,BS69)</f>
        <v>9141.2959873593409</v>
      </c>
      <c r="CD69" s="933">
        <v>44</v>
      </c>
      <c r="CE69" s="414">
        <f t="shared" ref="CE69:CE71" si="124">+C69+D69+W69+X69+AQ69+AR69+BK69+BL69</f>
        <v>19004.649438114742</v>
      </c>
      <c r="CF69" s="414">
        <f t="shared" ref="CF69:CF71" si="125">+E69+F69+Y69+Z69+AS69+AT69+BM69+BN69</f>
        <v>19488.395517896224</v>
      </c>
      <c r="CG69" s="414">
        <f t="shared" ref="CG69:CG71" si="126">+G69+H69+AA69+AB69+AU69+AV69+BO69+BP69</f>
        <v>39029.562092585671</v>
      </c>
      <c r="CH69" s="414">
        <f t="shared" ref="CH69:CH71" si="127">+I69+J69+AC69+AD69+AW69+AX69+BQ69+BR69</f>
        <v>32690.416032441295</v>
      </c>
      <c r="CI69" s="416">
        <f t="shared" ref="CI69:CI71" si="128">SUM(K69,AE69,AY69,BS69)</f>
        <v>110213.02308103794</v>
      </c>
      <c r="CJ69" s="414">
        <f t="shared" ref="CJ69:CJ71" si="129">L69+M69+AF69+AG69+AZ69+BA69+BT69+BU69</f>
        <v>7979.9251756761132</v>
      </c>
      <c r="CK69" s="414">
        <f t="shared" ref="CK69:CK71" si="130">N69+O69+AH69+AI69+BB69+BC69+BV69+BW69</f>
        <v>7604.4889685286162</v>
      </c>
      <c r="CL69" s="414">
        <f t="shared" ref="CL69:CL71" si="131">P69+Q69+AJ69+AK69+BD69+BE69+BX69+BY69</f>
        <v>19171.682215959176</v>
      </c>
      <c r="CM69" s="414">
        <f t="shared" ref="CM69:CM71" si="132">+R69+S69+AL69+AM69+BF69+BG69+BZ69+CA69</f>
        <v>13445.948511036564</v>
      </c>
      <c r="CN69" s="416">
        <f t="shared" ref="CN69:CN71" si="133">SUM(T69,AN69,BH69,CB69)</f>
        <v>48202.044871200473</v>
      </c>
      <c r="CO69" s="414">
        <f t="shared" ref="CO69:CO71" si="134">+C69+D69+L69+M69+W69+X69+AF69+AG69+AQ69+AR69+AZ69+BA69+BK69+BL69+BT69+BU69</f>
        <v>26984.574613790857</v>
      </c>
      <c r="CP69" s="414">
        <f t="shared" ref="CP69:CP71" si="135">+E69+F69+N69+O69+Y69+Z69+AH69+AI69+AS69+AT69+BB69+BC69+BM69+BN69+BV69+BW69</f>
        <v>27092.884486424839</v>
      </c>
      <c r="CQ69" s="414">
        <f t="shared" ref="CQ69:CQ71" si="136">+G69+H69+P69+Q69+AA69+AB69+AJ69+AK69+AU69+AV69+BD69+BE69+BO69+BP69+BX69+BY69</f>
        <v>58201.244308544839</v>
      </c>
      <c r="CR69" s="414">
        <f t="shared" ref="CR69:CR71" si="137">+I69+J69+R69+S69+AC69+AD69+AL69+AM69+AW69+AX69+BF69+BG69+BQ69+BR69+BZ69+CA69</f>
        <v>46136.364543477859</v>
      </c>
      <c r="CS69" s="416">
        <f t="shared" ref="CS69:CS71" si="138">SUM(CC69,BI69,AO69,U69)</f>
        <v>158415.06795223843</v>
      </c>
    </row>
    <row r="70" spans="1:131" ht="15.75" customHeight="1">
      <c r="A70" s="88" t="s">
        <v>238</v>
      </c>
      <c r="B70" s="933">
        <v>45</v>
      </c>
      <c r="C70" s="232">
        <f t="shared" ref="C70:J70" si="139">IF(ABS(C62)&lt;C83, -C62, C83)</f>
        <v>0</v>
      </c>
      <c r="D70" s="232">
        <f t="shared" si="139"/>
        <v>0</v>
      </c>
      <c r="E70" s="232">
        <f t="shared" si="139"/>
        <v>0</v>
      </c>
      <c r="F70" s="232">
        <f t="shared" si="139"/>
        <v>0</v>
      </c>
      <c r="G70" s="232">
        <f t="shared" si="139"/>
        <v>0</v>
      </c>
      <c r="H70" s="232">
        <f t="shared" si="139"/>
        <v>0</v>
      </c>
      <c r="I70" s="232">
        <f t="shared" si="139"/>
        <v>0</v>
      </c>
      <c r="J70" s="232">
        <f t="shared" si="139"/>
        <v>0</v>
      </c>
      <c r="K70" s="412">
        <f t="shared" ref="K70" si="140">SUM(C70:J70)</f>
        <v>0</v>
      </c>
      <c r="L70" s="418">
        <f t="shared" ref="L70:S70" si="141">IF(ABS(L62)&lt;L83, -L62, L83)</f>
        <v>0</v>
      </c>
      <c r="M70" s="232">
        <f t="shared" si="141"/>
        <v>0</v>
      </c>
      <c r="N70" s="232">
        <f t="shared" si="141"/>
        <v>0</v>
      </c>
      <c r="O70" s="232">
        <f t="shared" si="141"/>
        <v>0</v>
      </c>
      <c r="P70" s="232">
        <f t="shared" si="141"/>
        <v>0</v>
      </c>
      <c r="Q70" s="232">
        <f t="shared" si="141"/>
        <v>0</v>
      </c>
      <c r="R70" s="232">
        <f t="shared" si="141"/>
        <v>0</v>
      </c>
      <c r="S70" s="232">
        <f t="shared" si="141"/>
        <v>0</v>
      </c>
      <c r="T70" s="414">
        <f t="shared" ref="T70" si="142">SUM(L70:S70)</f>
        <v>0</v>
      </c>
      <c r="U70" s="415">
        <f t="shared" ref="U70" si="143">SUM(T70,K70)</f>
        <v>0</v>
      </c>
      <c r="V70" s="933">
        <v>45</v>
      </c>
      <c r="W70" s="232">
        <f t="shared" ref="W70:AD70" si="144">IF(ABS(W62)&lt;W83, -W62, W83)</f>
        <v>0</v>
      </c>
      <c r="X70" s="232">
        <f t="shared" si="144"/>
        <v>0</v>
      </c>
      <c r="Y70" s="232">
        <f t="shared" si="144"/>
        <v>0</v>
      </c>
      <c r="Z70" s="232">
        <f t="shared" si="144"/>
        <v>0</v>
      </c>
      <c r="AA70" s="232">
        <f t="shared" si="144"/>
        <v>0</v>
      </c>
      <c r="AB70" s="232">
        <f t="shared" si="144"/>
        <v>0</v>
      </c>
      <c r="AC70" s="232">
        <f t="shared" si="144"/>
        <v>0</v>
      </c>
      <c r="AD70" s="232">
        <f t="shared" si="144"/>
        <v>0</v>
      </c>
      <c r="AE70" s="412">
        <f t="shared" ref="AE70" si="145">SUM(W70:AD70)</f>
        <v>0</v>
      </c>
      <c r="AF70" s="418">
        <f t="shared" ref="AF70:AM70" si="146">IF(ABS(AF62)&lt;AF83, -AF62, AF83)</f>
        <v>0</v>
      </c>
      <c r="AG70" s="232">
        <f t="shared" si="146"/>
        <v>0</v>
      </c>
      <c r="AH70" s="232">
        <f t="shared" si="146"/>
        <v>0</v>
      </c>
      <c r="AI70" s="232">
        <f t="shared" si="146"/>
        <v>0</v>
      </c>
      <c r="AJ70" s="232">
        <f t="shared" si="146"/>
        <v>0</v>
      </c>
      <c r="AK70" s="232">
        <f t="shared" si="146"/>
        <v>0</v>
      </c>
      <c r="AL70" s="232">
        <f t="shared" si="146"/>
        <v>0</v>
      </c>
      <c r="AM70" s="232">
        <f t="shared" si="146"/>
        <v>0</v>
      </c>
      <c r="AN70" s="414">
        <f t="shared" ref="AN70" si="147">SUM(AF70:AM70)</f>
        <v>0</v>
      </c>
      <c r="AO70" s="415">
        <f t="shared" ref="AO70" si="148">SUM(AN70,AE70)</f>
        <v>0</v>
      </c>
      <c r="AP70" s="933">
        <v>45</v>
      </c>
      <c r="AQ70" s="232">
        <f t="shared" ref="AQ70:AX70" si="149">IF(ABS(AQ62)&lt;AQ83, -AQ62, AQ83)</f>
        <v>0</v>
      </c>
      <c r="AR70" s="232">
        <f t="shared" si="149"/>
        <v>0</v>
      </c>
      <c r="AS70" s="232">
        <f t="shared" si="149"/>
        <v>0</v>
      </c>
      <c r="AT70" s="232">
        <f t="shared" si="149"/>
        <v>0</v>
      </c>
      <c r="AU70" s="232">
        <f t="shared" si="149"/>
        <v>0</v>
      </c>
      <c r="AV70" s="232">
        <f t="shared" si="149"/>
        <v>0</v>
      </c>
      <c r="AW70" s="232">
        <f t="shared" si="149"/>
        <v>0</v>
      </c>
      <c r="AX70" s="232">
        <f t="shared" si="149"/>
        <v>0</v>
      </c>
      <c r="AY70" s="412">
        <f t="shared" ref="AY70" si="150">SUM(AQ70:AX70)</f>
        <v>0</v>
      </c>
      <c r="AZ70" s="418">
        <f t="shared" ref="AZ70:BG70" si="151">IF(ABS(AZ62)&lt;AZ83, -AZ62, AZ83)</f>
        <v>0</v>
      </c>
      <c r="BA70" s="232">
        <f t="shared" si="151"/>
        <v>0</v>
      </c>
      <c r="BB70" s="232">
        <f t="shared" si="151"/>
        <v>0</v>
      </c>
      <c r="BC70" s="232">
        <f t="shared" si="151"/>
        <v>0</v>
      </c>
      <c r="BD70" s="232">
        <f t="shared" si="151"/>
        <v>0</v>
      </c>
      <c r="BE70" s="232">
        <f t="shared" si="151"/>
        <v>0</v>
      </c>
      <c r="BF70" s="232">
        <f t="shared" si="151"/>
        <v>0</v>
      </c>
      <c r="BG70" s="232">
        <f t="shared" si="151"/>
        <v>0</v>
      </c>
      <c r="BH70" s="414">
        <f t="shared" ref="BH70" si="152">SUM(AZ70:BG70)</f>
        <v>0</v>
      </c>
      <c r="BI70" s="415">
        <f t="shared" ref="BI70" si="153">SUM(BH70,AY70)</f>
        <v>0</v>
      </c>
      <c r="BJ70" s="933">
        <v>45</v>
      </c>
      <c r="BK70" s="232">
        <f t="shared" ref="BK70:BR70" si="154">IF(ABS(BK62)&lt;BK83, -BK62, BK83)</f>
        <v>0</v>
      </c>
      <c r="BL70" s="232">
        <f t="shared" si="154"/>
        <v>0</v>
      </c>
      <c r="BM70" s="232">
        <f t="shared" si="154"/>
        <v>0</v>
      </c>
      <c r="BN70" s="232">
        <f t="shared" si="154"/>
        <v>0</v>
      </c>
      <c r="BO70" s="232">
        <f t="shared" si="154"/>
        <v>0</v>
      </c>
      <c r="BP70" s="232">
        <f t="shared" si="154"/>
        <v>0</v>
      </c>
      <c r="BQ70" s="232">
        <f t="shared" si="154"/>
        <v>0</v>
      </c>
      <c r="BR70" s="232">
        <f t="shared" si="154"/>
        <v>0</v>
      </c>
      <c r="BS70" s="412">
        <f t="shared" ref="BS70" si="155">SUM(BK70:BR70)</f>
        <v>0</v>
      </c>
      <c r="BT70" s="418">
        <f t="shared" ref="BT70:CA70" si="156">IF(ABS(BT62)&lt;BT83, -BT62, BT83)</f>
        <v>0</v>
      </c>
      <c r="BU70" s="232">
        <f t="shared" si="156"/>
        <v>0</v>
      </c>
      <c r="BV70" s="232">
        <f t="shared" si="156"/>
        <v>0</v>
      </c>
      <c r="BW70" s="232">
        <f t="shared" si="156"/>
        <v>0</v>
      </c>
      <c r="BX70" s="232">
        <f t="shared" si="156"/>
        <v>0</v>
      </c>
      <c r="BY70" s="232">
        <f t="shared" si="156"/>
        <v>0</v>
      </c>
      <c r="BZ70" s="232">
        <f t="shared" si="156"/>
        <v>0</v>
      </c>
      <c r="CA70" s="232">
        <f t="shared" si="156"/>
        <v>0</v>
      </c>
      <c r="CB70" s="414">
        <f t="shared" ref="CB70" si="157">SUM(BT70:CA70)</f>
        <v>0</v>
      </c>
      <c r="CC70" s="415">
        <f t="shared" ref="CC70" si="158">SUM(CB70,BS70)</f>
        <v>0</v>
      </c>
      <c r="CD70" s="933">
        <v>45</v>
      </c>
      <c r="CE70" s="414">
        <f t="shared" si="124"/>
        <v>0</v>
      </c>
      <c r="CF70" s="414">
        <f t="shared" si="125"/>
        <v>0</v>
      </c>
      <c r="CG70" s="414">
        <f t="shared" si="126"/>
        <v>0</v>
      </c>
      <c r="CH70" s="414">
        <f t="shared" si="127"/>
        <v>0</v>
      </c>
      <c r="CI70" s="416">
        <f t="shared" si="128"/>
        <v>0</v>
      </c>
      <c r="CJ70" s="414">
        <f t="shared" si="129"/>
        <v>0</v>
      </c>
      <c r="CK70" s="414">
        <f t="shared" si="130"/>
        <v>0</v>
      </c>
      <c r="CL70" s="414">
        <f t="shared" si="131"/>
        <v>0</v>
      </c>
      <c r="CM70" s="414">
        <f t="shared" si="132"/>
        <v>0</v>
      </c>
      <c r="CN70" s="416">
        <f t="shared" si="133"/>
        <v>0</v>
      </c>
      <c r="CO70" s="414">
        <f t="shared" si="134"/>
        <v>0</v>
      </c>
      <c r="CP70" s="414">
        <f t="shared" si="135"/>
        <v>0</v>
      </c>
      <c r="CQ70" s="414">
        <f t="shared" si="136"/>
        <v>0</v>
      </c>
      <c r="CR70" s="414">
        <f t="shared" si="137"/>
        <v>0</v>
      </c>
      <c r="CS70" s="416">
        <f t="shared" si="138"/>
        <v>0</v>
      </c>
    </row>
    <row r="71" spans="1:131" ht="15.75" customHeight="1">
      <c r="A71" s="88" t="s">
        <v>1342</v>
      </c>
      <c r="B71" s="300">
        <v>46</v>
      </c>
      <c r="C71" s="420">
        <v>1373.0575539178576</v>
      </c>
      <c r="D71" s="420">
        <v>4762.8520485482586</v>
      </c>
      <c r="E71" s="420">
        <v>1459.0684310838355</v>
      </c>
      <c r="F71" s="420">
        <v>5584.6437504830765</v>
      </c>
      <c r="G71" s="420">
        <v>1451.8235585089128</v>
      </c>
      <c r="H71" s="420">
        <v>6019.6272641866726</v>
      </c>
      <c r="I71" s="420">
        <v>1675.0725047344374</v>
      </c>
      <c r="J71" s="420">
        <v>6425.2549179747966</v>
      </c>
      <c r="K71" s="412">
        <f>SUM(C71:J71)</f>
        <v>28751.400029437849</v>
      </c>
      <c r="L71" s="421">
        <v>0</v>
      </c>
      <c r="M71" s="420">
        <v>12809.336760342856</v>
      </c>
      <c r="N71" s="420">
        <v>0</v>
      </c>
      <c r="O71" s="420">
        <v>14786.936952024726</v>
      </c>
      <c r="P71" s="420">
        <v>0</v>
      </c>
      <c r="Q71" s="420">
        <v>14701.762755148433</v>
      </c>
      <c r="R71" s="420">
        <v>0</v>
      </c>
      <c r="S71" s="420">
        <v>15529.969658447886</v>
      </c>
      <c r="T71" s="414">
        <f>SUM(L71:S71)</f>
        <v>57828.006125963904</v>
      </c>
      <c r="U71" s="415">
        <f>SUM(T71,K71)</f>
        <v>86579.406155401753</v>
      </c>
      <c r="V71" s="300">
        <v>46</v>
      </c>
      <c r="W71" s="420">
        <v>353.70694584195655</v>
      </c>
      <c r="X71" s="420">
        <v>3231.4433160282515</v>
      </c>
      <c r="Y71" s="420">
        <v>305.27043604263406</v>
      </c>
      <c r="Z71" s="420">
        <v>3184.5025418940363</v>
      </c>
      <c r="AA71" s="420">
        <v>692.79473832363192</v>
      </c>
      <c r="AB71" s="420">
        <v>2612.8019991345159</v>
      </c>
      <c r="AC71" s="420">
        <v>697.07166151398542</v>
      </c>
      <c r="AD71" s="420">
        <v>2748.4288694531788</v>
      </c>
      <c r="AE71" s="412">
        <f>SUM(W71:AD71)</f>
        <v>13826.020508232188</v>
      </c>
      <c r="AF71" s="421">
        <v>0</v>
      </c>
      <c r="AG71" s="420">
        <v>5223.0853975759965</v>
      </c>
      <c r="AH71" s="420">
        <v>0</v>
      </c>
      <c r="AI71" s="420">
        <v>4570.3697680592877</v>
      </c>
      <c r="AJ71" s="420">
        <v>0</v>
      </c>
      <c r="AK71" s="420">
        <v>3687.3818536257363</v>
      </c>
      <c r="AL71" s="420">
        <v>0</v>
      </c>
      <c r="AM71" s="420">
        <v>3950.4546697269398</v>
      </c>
      <c r="AN71" s="414">
        <f>SUM(AF71:AM71)</f>
        <v>17431.291688987963</v>
      </c>
      <c r="AO71" s="415">
        <f>SUM(AN71,AE71)</f>
        <v>31257.312197220152</v>
      </c>
      <c r="AP71" s="300">
        <v>46</v>
      </c>
      <c r="AQ71" s="420">
        <v>40669.119277746613</v>
      </c>
      <c r="AR71" s="420">
        <v>87791.718876091851</v>
      </c>
      <c r="AS71" s="420">
        <v>47416.703748679683</v>
      </c>
      <c r="AT71" s="420">
        <v>101373.45949022322</v>
      </c>
      <c r="AU71" s="420">
        <v>48014.29938572528</v>
      </c>
      <c r="AV71" s="420">
        <v>107570.86996907114</v>
      </c>
      <c r="AW71" s="420">
        <v>69350.719440107277</v>
      </c>
      <c r="AX71" s="420">
        <v>119122.23303567796</v>
      </c>
      <c r="AY71" s="412">
        <f>SUM(AQ71:AX71)</f>
        <v>621309.12322332303</v>
      </c>
      <c r="AZ71" s="421">
        <v>0</v>
      </c>
      <c r="BA71" s="420">
        <v>74933.801946053354</v>
      </c>
      <c r="BB71" s="420">
        <v>0</v>
      </c>
      <c r="BC71" s="420">
        <v>74458.902040550529</v>
      </c>
      <c r="BD71" s="420">
        <v>0</v>
      </c>
      <c r="BE71" s="420">
        <v>82169.559361285748</v>
      </c>
      <c r="BF71" s="420">
        <v>0</v>
      </c>
      <c r="BG71" s="420">
        <v>87039.715440076485</v>
      </c>
      <c r="BH71" s="414">
        <f>SUM(AZ71:BG71)</f>
        <v>318601.97878796613</v>
      </c>
      <c r="BI71" s="415">
        <f>SUM(BH71,AY71)</f>
        <v>939911.10201128921</v>
      </c>
      <c r="BJ71" s="300">
        <v>46</v>
      </c>
      <c r="BK71" s="420">
        <v>1675.7492738073522</v>
      </c>
      <c r="BL71" s="420">
        <v>12966.967847990256</v>
      </c>
      <c r="BM71" s="420">
        <v>1813.3095484576004</v>
      </c>
      <c r="BN71" s="420">
        <v>10679.513527033525</v>
      </c>
      <c r="BO71" s="420">
        <v>1779.8853387649367</v>
      </c>
      <c r="BP71" s="420">
        <v>9390.3878289877684</v>
      </c>
      <c r="BQ71" s="420">
        <v>1156.7404845596072</v>
      </c>
      <c r="BR71" s="420">
        <v>7575.8054743118937</v>
      </c>
      <c r="BS71" s="412">
        <f>SUM(BK71:BR71)</f>
        <v>47038.35932391294</v>
      </c>
      <c r="BT71" s="421">
        <v>0</v>
      </c>
      <c r="BU71" s="420">
        <v>5280.3504793623106</v>
      </c>
      <c r="BV71" s="420">
        <v>0</v>
      </c>
      <c r="BW71" s="420">
        <v>5149.6127741226901</v>
      </c>
      <c r="BX71" s="420">
        <v>0</v>
      </c>
      <c r="BY71" s="420">
        <v>4407.0780837305474</v>
      </c>
      <c r="BZ71" s="420">
        <v>0</v>
      </c>
      <c r="CA71" s="420">
        <v>3693.6383486347427</v>
      </c>
      <c r="CB71" s="414">
        <f>SUM(BT71:CA71)</f>
        <v>18530.679685850293</v>
      </c>
      <c r="CC71" s="415">
        <f>SUM(CB71,BS71)</f>
        <v>65569.039009763233</v>
      </c>
      <c r="CD71" s="300">
        <v>46</v>
      </c>
      <c r="CE71" s="414">
        <f t="shared" si="124"/>
        <v>152824.61513997242</v>
      </c>
      <c r="CF71" s="414">
        <f t="shared" si="125"/>
        <v>171816.4714738976</v>
      </c>
      <c r="CG71" s="414">
        <f t="shared" si="126"/>
        <v>177532.49008270283</v>
      </c>
      <c r="CH71" s="414">
        <f t="shared" si="127"/>
        <v>208751.32638833314</v>
      </c>
      <c r="CI71" s="416">
        <f t="shared" si="128"/>
        <v>710924.90308490605</v>
      </c>
      <c r="CJ71" s="414">
        <f t="shared" si="129"/>
        <v>98246.574583334514</v>
      </c>
      <c r="CK71" s="414">
        <f t="shared" si="130"/>
        <v>98965.82153475724</v>
      </c>
      <c r="CL71" s="414">
        <f t="shared" si="131"/>
        <v>104965.78205379046</v>
      </c>
      <c r="CM71" s="414">
        <f t="shared" si="132"/>
        <v>110213.77811688605</v>
      </c>
      <c r="CN71" s="416">
        <f t="shared" si="133"/>
        <v>412391.95628876827</v>
      </c>
      <c r="CO71" s="414">
        <f t="shared" si="134"/>
        <v>251071.18972330692</v>
      </c>
      <c r="CP71" s="414">
        <f t="shared" si="135"/>
        <v>270782.29300865484</v>
      </c>
      <c r="CQ71" s="414">
        <f t="shared" si="136"/>
        <v>282498.27213649335</v>
      </c>
      <c r="CR71" s="414">
        <f t="shared" si="137"/>
        <v>318965.10450521921</v>
      </c>
      <c r="CS71" s="416">
        <f t="shared" si="138"/>
        <v>1123316.8593736745</v>
      </c>
    </row>
    <row r="72" spans="1:131" s="14"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c r="CT72" s="318"/>
      <c r="CU72" s="318"/>
      <c r="CV72" s="318"/>
      <c r="CW72" s="318"/>
      <c r="CX72" s="318"/>
      <c r="CY72" s="318"/>
      <c r="CZ72" s="318"/>
      <c r="DA72" s="318"/>
      <c r="DB72" s="318"/>
      <c r="DC72" s="318"/>
      <c r="DD72" s="318"/>
      <c r="DE72" s="318"/>
      <c r="DF72" s="318"/>
      <c r="DG72" s="318"/>
      <c r="DH72" s="318"/>
      <c r="DI72" s="318"/>
      <c r="DJ72" s="318"/>
      <c r="DK72" s="318"/>
      <c r="DL72" s="318"/>
      <c r="DM72" s="318"/>
      <c r="DN72" s="318"/>
      <c r="DO72" s="318"/>
      <c r="DP72" s="318"/>
      <c r="DQ72" s="318"/>
      <c r="DR72" s="318"/>
      <c r="DS72" s="318"/>
      <c r="DT72" s="318"/>
      <c r="DU72" s="318"/>
      <c r="DV72" s="318"/>
      <c r="DW72" s="318"/>
      <c r="DX72" s="318"/>
      <c r="DY72" s="318"/>
      <c r="DZ72" s="318"/>
      <c r="EA72" s="318"/>
    </row>
    <row r="73" spans="1:131" s="14" customFormat="1">
      <c r="A73" s="16" t="s">
        <v>241</v>
      </c>
      <c r="B73" s="300">
        <v>47</v>
      </c>
      <c r="C73" s="216">
        <f t="shared" ref="C73:U73" si="159">SUM(C69:C71)</f>
        <v>1543.8054236027524</v>
      </c>
      <c r="D73" s="216">
        <f t="shared" si="159"/>
        <v>5355.1410160379673</v>
      </c>
      <c r="E73" s="216">
        <f t="shared" si="159"/>
        <v>1624.5642210317621</v>
      </c>
      <c r="F73" s="216">
        <f t="shared" si="159"/>
        <v>6218.0856161105867</v>
      </c>
      <c r="G73" s="216">
        <f t="shared" si="159"/>
        <v>1770.9991510886462</v>
      </c>
      <c r="H73" s="216">
        <f t="shared" si="159"/>
        <v>7343.009907962738</v>
      </c>
      <c r="I73" s="216">
        <f t="shared" si="159"/>
        <v>1937.3885245254028</v>
      </c>
      <c r="J73" s="216">
        <f t="shared" si="159"/>
        <v>7431.4485552422657</v>
      </c>
      <c r="K73" s="221">
        <f t="shared" si="159"/>
        <v>33224.44241560212</v>
      </c>
      <c r="L73" s="218">
        <f t="shared" si="159"/>
        <v>0</v>
      </c>
      <c r="M73" s="216">
        <f t="shared" si="159"/>
        <v>13849.755210869807</v>
      </c>
      <c r="N73" s="216">
        <f t="shared" si="159"/>
        <v>0</v>
      </c>
      <c r="O73" s="216">
        <f t="shared" si="159"/>
        <v>15923.1584998902</v>
      </c>
      <c r="P73" s="216">
        <f t="shared" si="159"/>
        <v>0</v>
      </c>
      <c r="Q73" s="216">
        <f t="shared" si="159"/>
        <v>17386.995199867324</v>
      </c>
      <c r="R73" s="216">
        <f t="shared" si="159"/>
        <v>0</v>
      </c>
      <c r="S73" s="216">
        <f t="shared" si="159"/>
        <v>17424.607297890692</v>
      </c>
      <c r="T73" s="219">
        <f t="shared" si="159"/>
        <v>64584.516208518027</v>
      </c>
      <c r="U73" s="218">
        <f t="shared" si="159"/>
        <v>97808.958624120147</v>
      </c>
      <c r="V73" s="300">
        <v>47</v>
      </c>
      <c r="W73" s="216">
        <f t="shared" ref="W73:AO73" si="160">SUM(W69:W71)</f>
        <v>397.69250735242304</v>
      </c>
      <c r="X73" s="216">
        <f t="shared" si="160"/>
        <v>3633.2925033728961</v>
      </c>
      <c r="Y73" s="216">
        <f t="shared" si="160"/>
        <v>339.8959346719858</v>
      </c>
      <c r="Z73" s="216">
        <f t="shared" si="160"/>
        <v>3545.7068230191153</v>
      </c>
      <c r="AA73" s="216">
        <f t="shared" si="160"/>
        <v>845.101931470208</v>
      </c>
      <c r="AB73" s="216">
        <f t="shared" si="160"/>
        <v>3187.2124510655804</v>
      </c>
      <c r="AC73" s="216">
        <f t="shared" si="160"/>
        <v>806.23294452747075</v>
      </c>
      <c r="AD73" s="216">
        <f t="shared" si="160"/>
        <v>3178.8322816492614</v>
      </c>
      <c r="AE73" s="221">
        <f t="shared" si="160"/>
        <v>15933.967377128938</v>
      </c>
      <c r="AF73" s="218">
        <f t="shared" si="160"/>
        <v>0</v>
      </c>
      <c r="AG73" s="216">
        <f t="shared" si="160"/>
        <v>5647.3223832987851</v>
      </c>
      <c r="AH73" s="216">
        <f t="shared" si="160"/>
        <v>0</v>
      </c>
      <c r="AI73" s="216">
        <f t="shared" si="160"/>
        <v>4921.5549140452413</v>
      </c>
      <c r="AJ73" s="216">
        <f t="shared" si="160"/>
        <v>0</v>
      </c>
      <c r="AK73" s="216">
        <f t="shared" si="160"/>
        <v>4360.870982400862</v>
      </c>
      <c r="AL73" s="216">
        <f t="shared" si="160"/>
        <v>0</v>
      </c>
      <c r="AM73" s="216">
        <f t="shared" si="160"/>
        <v>4432.4053930566406</v>
      </c>
      <c r="AN73" s="219">
        <f t="shared" si="160"/>
        <v>19362.153672801534</v>
      </c>
      <c r="AO73" s="218">
        <f t="shared" si="160"/>
        <v>35296.121049930473</v>
      </c>
      <c r="AP73" s="300">
        <v>47</v>
      </c>
      <c r="AQ73" s="216">
        <f t="shared" ref="AQ73:BI73" si="161">SUM(AQ69:AQ71)</f>
        <v>45726.566038679368</v>
      </c>
      <c r="AR73" s="216">
        <f t="shared" si="161"/>
        <v>98709.14104189616</v>
      </c>
      <c r="AS73" s="216">
        <f t="shared" si="161"/>
        <v>52794.974346848539</v>
      </c>
      <c r="AT73" s="216">
        <f t="shared" si="161"/>
        <v>112871.81035621127</v>
      </c>
      <c r="AU73" s="216">
        <f t="shared" si="161"/>
        <v>58569.984592045417</v>
      </c>
      <c r="AV73" s="216">
        <f t="shared" si="161"/>
        <v>131219.74655980387</v>
      </c>
      <c r="AW73" s="216">
        <f t="shared" si="161"/>
        <v>80211.028257636906</v>
      </c>
      <c r="AX73" s="216">
        <f t="shared" si="161"/>
        <v>137776.750944731</v>
      </c>
      <c r="AY73" s="221">
        <f t="shared" si="161"/>
        <v>717880.00213785248</v>
      </c>
      <c r="AZ73" s="218">
        <f t="shared" si="161"/>
        <v>0</v>
      </c>
      <c r="BA73" s="216">
        <f t="shared" si="161"/>
        <v>81020.183432577687</v>
      </c>
      <c r="BB73" s="216">
        <f t="shared" si="161"/>
        <v>0</v>
      </c>
      <c r="BC73" s="216">
        <f t="shared" si="161"/>
        <v>80180.290398623823</v>
      </c>
      <c r="BD73" s="216">
        <f t="shared" si="161"/>
        <v>0</v>
      </c>
      <c r="BE73" s="216">
        <f t="shared" si="161"/>
        <v>97177.58053806005</v>
      </c>
      <c r="BF73" s="216">
        <f t="shared" si="161"/>
        <v>0</v>
      </c>
      <c r="BG73" s="216">
        <f t="shared" si="161"/>
        <v>97658.456147625402</v>
      </c>
      <c r="BH73" s="219">
        <f t="shared" si="161"/>
        <v>356036.51051688701</v>
      </c>
      <c r="BI73" s="218">
        <f t="shared" si="161"/>
        <v>1073916.5126547397</v>
      </c>
      <c r="BJ73" s="300">
        <v>47</v>
      </c>
      <c r="BK73" s="216">
        <f t="shared" ref="BK73:CC73" si="162">SUM(BK69:BK71)</f>
        <v>1884.1386583689643</v>
      </c>
      <c r="BL73" s="216">
        <f t="shared" si="162"/>
        <v>14579.487388776612</v>
      </c>
      <c r="BM73" s="216">
        <f t="shared" si="162"/>
        <v>2018.9853685554899</v>
      </c>
      <c r="BN73" s="216">
        <f t="shared" si="162"/>
        <v>11890.844325345088</v>
      </c>
      <c r="BO73" s="216">
        <f t="shared" si="162"/>
        <v>2171.1835474176037</v>
      </c>
      <c r="BP73" s="216">
        <f t="shared" si="162"/>
        <v>11454.814034434472</v>
      </c>
      <c r="BQ73" s="216">
        <f t="shared" si="162"/>
        <v>1337.8858134830584</v>
      </c>
      <c r="BR73" s="216">
        <f t="shared" si="162"/>
        <v>8762.1750989790708</v>
      </c>
      <c r="BS73" s="221">
        <f t="shared" si="162"/>
        <v>54099.514235360359</v>
      </c>
      <c r="BT73" s="218">
        <f t="shared" si="162"/>
        <v>0</v>
      </c>
      <c r="BU73" s="216">
        <f t="shared" si="162"/>
        <v>5709.2387322643553</v>
      </c>
      <c r="BV73" s="216">
        <f t="shared" si="162"/>
        <v>0</v>
      </c>
      <c r="BW73" s="216">
        <f t="shared" si="162"/>
        <v>5545.3066907265838</v>
      </c>
      <c r="BX73" s="216">
        <f t="shared" si="162"/>
        <v>0</v>
      </c>
      <c r="BY73" s="216">
        <f t="shared" si="162"/>
        <v>5212.0175494213981</v>
      </c>
      <c r="BZ73" s="216">
        <f t="shared" si="162"/>
        <v>0</v>
      </c>
      <c r="CA73" s="216">
        <f t="shared" si="162"/>
        <v>4144.2577893498747</v>
      </c>
      <c r="CB73" s="219">
        <f t="shared" si="162"/>
        <v>20610.820761762214</v>
      </c>
      <c r="CC73" s="218">
        <f t="shared" si="162"/>
        <v>74710.334997122569</v>
      </c>
      <c r="CD73" s="300">
        <v>47</v>
      </c>
      <c r="CE73" s="219">
        <f>SUM(CE69:CE71)</f>
        <v>171829.26457808717</v>
      </c>
      <c r="CF73" s="219">
        <f>SUM(CF69:CF71)</f>
        <v>191304.86699179382</v>
      </c>
      <c r="CG73" s="219">
        <f>SUM(CG69:CG71)</f>
        <v>216562.0521752885</v>
      </c>
      <c r="CH73" s="219">
        <f>SUM(CH69:CH71)</f>
        <v>241441.74242077442</v>
      </c>
      <c r="CI73" s="216">
        <f>SUM(BS73,AY73,AE73,K73)</f>
        <v>821137.92616594385</v>
      </c>
      <c r="CJ73" s="219">
        <f>SUM(CJ69:CJ71)</f>
        <v>106226.49975901062</v>
      </c>
      <c r="CK73" s="219">
        <f>SUM(CK69:CK71)</f>
        <v>106570.31050328586</v>
      </c>
      <c r="CL73" s="219">
        <f>SUM(CL69:CL71)</f>
        <v>124137.46426974965</v>
      </c>
      <c r="CM73" s="219">
        <f>SUM(CM69:CM71)</f>
        <v>123659.72662792262</v>
      </c>
      <c r="CN73" s="216">
        <f>SUM(BX73,BD73,AJ73,P73)</f>
        <v>0</v>
      </c>
      <c r="CO73" s="219">
        <f>SUM(CO69:CO71)</f>
        <v>278055.76433709776</v>
      </c>
      <c r="CP73" s="219">
        <f>SUM(CP69:CP71)</f>
        <v>297875.1774950797</v>
      </c>
      <c r="CQ73" s="219">
        <f>SUM(CQ69:CQ71)</f>
        <v>340699.5164450382</v>
      </c>
      <c r="CR73" s="219">
        <f>SUM(CR69:CR71)</f>
        <v>365101.46904869704</v>
      </c>
      <c r="CS73" s="216">
        <f>SUM(CC73,BI73,AO73,U73)</f>
        <v>1281731.927325913</v>
      </c>
      <c r="CT73" s="318"/>
      <c r="CU73" s="318"/>
      <c r="CV73" s="318"/>
      <c r="CW73" s="318"/>
      <c r="CX73" s="318"/>
      <c r="CY73" s="318"/>
      <c r="CZ73" s="318"/>
      <c r="DA73" s="318"/>
      <c r="DB73" s="318"/>
      <c r="DC73" s="318"/>
      <c r="DD73" s="318"/>
      <c r="DE73" s="318"/>
      <c r="DF73" s="318"/>
      <c r="DG73" s="318"/>
      <c r="DH73" s="318"/>
      <c r="DI73" s="318"/>
      <c r="DJ73" s="318"/>
      <c r="DK73" s="318"/>
      <c r="DL73" s="318"/>
      <c r="DM73" s="318"/>
      <c r="DN73" s="318"/>
      <c r="DO73" s="318"/>
      <c r="DP73" s="318"/>
      <c r="DQ73" s="318"/>
      <c r="DR73" s="318"/>
      <c r="DS73" s="318"/>
      <c r="DT73" s="318"/>
      <c r="DU73" s="318"/>
      <c r="DV73" s="318"/>
      <c r="DW73" s="318"/>
      <c r="DX73" s="318"/>
      <c r="DY73" s="318"/>
      <c r="DZ73" s="318"/>
      <c r="EA73" s="318"/>
    </row>
    <row r="74" spans="1:131" ht="15.75" customHeight="1">
      <c r="B74" s="300"/>
      <c r="C74" s="178"/>
      <c r="D74" s="178"/>
      <c r="E74" s="178"/>
      <c r="F74" s="178"/>
      <c r="G74" s="178"/>
      <c r="H74" s="178"/>
      <c r="I74" s="178"/>
      <c r="J74" s="178"/>
      <c r="K74" s="381"/>
      <c r="L74" s="382"/>
      <c r="M74" s="178"/>
      <c r="N74" s="178"/>
      <c r="O74" s="178"/>
      <c r="P74" s="178"/>
      <c r="Q74" s="178"/>
      <c r="R74" s="178"/>
      <c r="S74" s="178"/>
      <c r="T74" s="178"/>
      <c r="U74" s="383"/>
      <c r="V74" s="300"/>
      <c r="W74" s="178"/>
      <c r="X74" s="178"/>
      <c r="Y74" s="178"/>
      <c r="Z74" s="178"/>
      <c r="AA74" s="178"/>
      <c r="AB74" s="178"/>
      <c r="AC74" s="178"/>
      <c r="AD74" s="178"/>
      <c r="AE74" s="381"/>
      <c r="AF74" s="382"/>
      <c r="AG74" s="178"/>
      <c r="AH74" s="178"/>
      <c r="AI74" s="178"/>
      <c r="AJ74" s="178"/>
      <c r="AK74" s="178"/>
      <c r="AL74" s="178"/>
      <c r="AM74" s="178"/>
      <c r="AN74" s="178"/>
      <c r="AO74" s="383"/>
      <c r="AP74" s="300"/>
      <c r="AQ74" s="178"/>
      <c r="AR74" s="178"/>
      <c r="AS74" s="178"/>
      <c r="AT74" s="178"/>
      <c r="AU74" s="178"/>
      <c r="AV74" s="178"/>
      <c r="AW74" s="178"/>
      <c r="AX74" s="178"/>
      <c r="AY74" s="381"/>
      <c r="AZ74" s="382"/>
      <c r="BA74" s="178"/>
      <c r="BB74" s="178"/>
      <c r="BC74" s="178"/>
      <c r="BD74" s="178"/>
      <c r="BE74" s="178"/>
      <c r="BF74" s="178"/>
      <c r="BG74" s="178"/>
      <c r="BH74" s="178"/>
      <c r="BI74" s="383"/>
      <c r="BJ74" s="300"/>
      <c r="BK74" s="178"/>
      <c r="BL74" s="178"/>
      <c r="BM74" s="178"/>
      <c r="BN74" s="178"/>
      <c r="BO74" s="178"/>
      <c r="BP74" s="178"/>
      <c r="BQ74" s="178"/>
      <c r="BR74" s="178"/>
      <c r="BS74" s="381"/>
      <c r="BT74" s="382"/>
      <c r="BU74" s="178"/>
      <c r="BV74" s="178"/>
      <c r="BW74" s="178"/>
      <c r="BX74" s="178"/>
      <c r="BY74" s="178"/>
      <c r="BZ74" s="178"/>
      <c r="CA74" s="178"/>
      <c r="CB74" s="178"/>
      <c r="CC74" s="383"/>
      <c r="CD74" s="300"/>
      <c r="CE74" s="178"/>
      <c r="CF74" s="178"/>
      <c r="CG74" s="178"/>
      <c r="CH74" s="178"/>
      <c r="CI74" s="419"/>
      <c r="CJ74" s="178"/>
      <c r="CK74" s="178"/>
      <c r="CL74" s="178"/>
      <c r="CM74" s="178"/>
      <c r="CN74" s="419"/>
      <c r="CO74" s="178"/>
      <c r="CP74" s="178"/>
      <c r="CQ74" s="178"/>
      <c r="CR74" s="178"/>
      <c r="CS74" s="419"/>
    </row>
    <row r="75" spans="1:131"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31" s="14" customFormat="1" ht="15.75" customHeight="1">
      <c r="A76" s="88" t="s">
        <v>244</v>
      </c>
      <c r="B76" s="300">
        <v>48</v>
      </c>
      <c r="C76" s="420"/>
      <c r="D76" s="420"/>
      <c r="E76" s="420"/>
      <c r="F76" s="420"/>
      <c r="G76" s="420"/>
      <c r="H76" s="420"/>
      <c r="I76" s="420"/>
      <c r="J76" s="420"/>
      <c r="K76" s="412">
        <f t="shared" ref="K76:K86" si="163">SUM(C76:J76)</f>
        <v>0</v>
      </c>
      <c r="L76" s="421"/>
      <c r="M76" s="420"/>
      <c r="N76" s="420"/>
      <c r="O76" s="420"/>
      <c r="P76" s="420"/>
      <c r="Q76" s="420"/>
      <c r="R76" s="420"/>
      <c r="S76" s="420"/>
      <c r="T76" s="414">
        <f t="shared" ref="T76:T86" si="164">SUM(L76:S76)</f>
        <v>0</v>
      </c>
      <c r="U76" s="415">
        <f t="shared" ref="U76:U86" si="165">SUM(T76,K76)</f>
        <v>0</v>
      </c>
      <c r="V76" s="300">
        <v>48</v>
      </c>
      <c r="W76" s="420"/>
      <c r="X76" s="420"/>
      <c r="Y76" s="420"/>
      <c r="Z76" s="420"/>
      <c r="AA76" s="420"/>
      <c r="AB76" s="420"/>
      <c r="AC76" s="420"/>
      <c r="AD76" s="420"/>
      <c r="AE76" s="412">
        <f t="shared" ref="AE76:AE86" si="166">SUM(W76:AD76)</f>
        <v>0</v>
      </c>
      <c r="AF76" s="421"/>
      <c r="AG76" s="420"/>
      <c r="AH76" s="420"/>
      <c r="AI76" s="420"/>
      <c r="AJ76" s="420"/>
      <c r="AK76" s="420"/>
      <c r="AL76" s="420"/>
      <c r="AM76" s="420"/>
      <c r="AN76" s="414">
        <f t="shared" ref="AN76:AN86" si="167">SUM(AF76:AM76)</f>
        <v>0</v>
      </c>
      <c r="AO76" s="415">
        <f t="shared" ref="AO76:AO86" si="168">SUM(AN76,AE76)</f>
        <v>0</v>
      </c>
      <c r="AP76" s="300">
        <v>48</v>
      </c>
      <c r="AQ76" s="420"/>
      <c r="AR76" s="420"/>
      <c r="AS76" s="420"/>
      <c r="AT76" s="420"/>
      <c r="AU76" s="420"/>
      <c r="AV76" s="420"/>
      <c r="AW76" s="420"/>
      <c r="AX76" s="420"/>
      <c r="AY76" s="412">
        <f t="shared" ref="AY76:AY86" si="169">SUM(AQ76:AX76)</f>
        <v>0</v>
      </c>
      <c r="AZ76" s="421"/>
      <c r="BA76" s="420"/>
      <c r="BB76" s="420"/>
      <c r="BC76" s="420"/>
      <c r="BD76" s="420"/>
      <c r="BE76" s="420"/>
      <c r="BF76" s="420"/>
      <c r="BG76" s="420"/>
      <c r="BH76" s="414">
        <f t="shared" ref="BH76:BH86" si="170">SUM(AZ76:BG76)</f>
        <v>0</v>
      </c>
      <c r="BI76" s="415">
        <f t="shared" ref="BI76:BI86" si="171">SUM(BH76,AY76)</f>
        <v>0</v>
      </c>
      <c r="BJ76" s="300">
        <v>48</v>
      </c>
      <c r="BK76" s="420"/>
      <c r="BL76" s="420"/>
      <c r="BM76" s="420"/>
      <c r="BN76" s="420"/>
      <c r="BO76" s="420"/>
      <c r="BP76" s="420"/>
      <c r="BQ76" s="420"/>
      <c r="BR76" s="420"/>
      <c r="BS76" s="412">
        <f t="shared" ref="BS76:BS86" si="172">SUM(BK76:BR76)</f>
        <v>0</v>
      </c>
      <c r="BT76" s="421"/>
      <c r="BU76" s="420"/>
      <c r="BV76" s="420"/>
      <c r="BW76" s="420"/>
      <c r="BX76" s="420"/>
      <c r="BY76" s="420"/>
      <c r="BZ76" s="420"/>
      <c r="CA76" s="420"/>
      <c r="CB76" s="414">
        <f t="shared" ref="CB76:CB86" si="173">SUM(BT76:CA76)</f>
        <v>0</v>
      </c>
      <c r="CC76" s="415">
        <f t="shared" ref="CC76:CC86" si="174">SUM(CB76,BS76)</f>
        <v>0</v>
      </c>
      <c r="CD76" s="300">
        <v>48</v>
      </c>
      <c r="CE76" s="414">
        <f t="shared" ref="CE76:CE86" si="175">+C76+D76+W76+X76+AQ76+AR76+BK76+BL76</f>
        <v>0</v>
      </c>
      <c r="CF76" s="414">
        <f t="shared" ref="CF76:CF86" si="176">+E76+F76+Y76+Z76+AS76+AT76+BM76+BN76</f>
        <v>0</v>
      </c>
      <c r="CG76" s="414">
        <f t="shared" ref="CG76:CG86" si="177">+G76+H76+AA76+AB76+AU76+AV76+BO76+BP76</f>
        <v>0</v>
      </c>
      <c r="CH76" s="414">
        <f t="shared" ref="CH76:CH86" si="178">+I76+J76+AC76+AD76+AW76+AX76+BQ76+BR76</f>
        <v>0</v>
      </c>
      <c r="CI76" s="416">
        <f t="shared" ref="CI76:CI86" si="179">SUM(K76,AE76,AY76,BS76)</f>
        <v>0</v>
      </c>
      <c r="CJ76" s="414">
        <f t="shared" ref="CJ76:CJ86" si="180">L76+M76+AF76+AG76+AZ76+BA76+BT76+BU76</f>
        <v>0</v>
      </c>
      <c r="CK76" s="414">
        <f t="shared" ref="CK76:CK86" si="181">N76+O76+AH76+AI76+BB76+BC76+BV76+BW76</f>
        <v>0</v>
      </c>
      <c r="CL76" s="414">
        <f t="shared" ref="CL76:CL86" si="182">P76+Q76+AJ76+AK76+BD76+BE76+BX76+BY76</f>
        <v>0</v>
      </c>
      <c r="CM76" s="414">
        <f t="shared" ref="CM76:CM86" si="183">+R76+S76+AL76+AM76+BF76+BG76+BZ76+CA76</f>
        <v>0</v>
      </c>
      <c r="CN76" s="416">
        <f t="shared" ref="CN76:CN86" si="184">SUM(T76,AN76,BH76,CB76)</f>
        <v>0</v>
      </c>
      <c r="CO76" s="414">
        <f t="shared" ref="CO76:CO86" si="185">+C76+D76+L76+M76+W76+X76+AF76+AG76+AQ76+AR76+AZ76+BA76+BK76+BL76+BT76+BU76</f>
        <v>0</v>
      </c>
      <c r="CP76" s="414">
        <f t="shared" ref="CP76:CP86" si="186">+E76+F76+N76+O76+Y76+Z76+AH76+AI76+AS76+AT76+BB76+BC76+BM76+BN76+BV76+BW76</f>
        <v>0</v>
      </c>
      <c r="CQ76" s="414">
        <f t="shared" ref="CQ76:CQ86" si="187">+G76+H76+P76+Q76+AA76+AB76+AJ76+AK76+AU76+AV76+BD76+BE76+BO76+BP76+BX76+BY76</f>
        <v>0</v>
      </c>
      <c r="CR76" s="414">
        <f t="shared" ref="CR76:CR86" si="188">+I76+J76+R76+S76+AC76+AD76+AL76+AM76+AW76+AX76+BF76+BG76+BQ76+BR76+BZ76+CA76</f>
        <v>0</v>
      </c>
      <c r="CS76" s="416">
        <f t="shared" ref="CS76:CS86" si="189">SUM(CC76,BI76,AO76,U76)</f>
        <v>0</v>
      </c>
      <c r="CT76" s="318"/>
      <c r="CU76" s="318"/>
      <c r="CV76" s="318"/>
      <c r="CW76" s="318"/>
      <c r="CX76" s="318"/>
      <c r="CY76" s="318"/>
      <c r="CZ76" s="318"/>
      <c r="DA76" s="318"/>
      <c r="DB76" s="318"/>
      <c r="DC76" s="318"/>
      <c r="DD76" s="318"/>
      <c r="DE76" s="318"/>
      <c r="DF76" s="318"/>
      <c r="DG76" s="318"/>
      <c r="DH76" s="318"/>
      <c r="DI76" s="318"/>
      <c r="DJ76" s="318"/>
      <c r="DK76" s="318"/>
      <c r="DL76" s="318"/>
      <c r="DM76" s="318"/>
      <c r="DN76" s="318"/>
      <c r="DO76" s="318"/>
      <c r="DP76" s="318"/>
      <c r="DQ76" s="318"/>
      <c r="DR76" s="318"/>
      <c r="DS76" s="318"/>
      <c r="DT76" s="318"/>
      <c r="DU76" s="318"/>
      <c r="DV76" s="318"/>
      <c r="DW76" s="318"/>
      <c r="DX76" s="318"/>
      <c r="DY76" s="318"/>
      <c r="DZ76" s="318"/>
      <c r="EA76" s="318"/>
    </row>
    <row r="77" spans="1:131" ht="15.75" customHeight="1">
      <c r="A77" s="88" t="s">
        <v>246</v>
      </c>
      <c r="B77" s="300">
        <v>49</v>
      </c>
      <c r="C77" s="420"/>
      <c r="D77" s="420"/>
      <c r="E77" s="420"/>
      <c r="F77" s="420"/>
      <c r="G77" s="420"/>
      <c r="H77" s="420"/>
      <c r="I77" s="420"/>
      <c r="J77" s="420"/>
      <c r="K77" s="412">
        <f t="shared" si="163"/>
        <v>0</v>
      </c>
      <c r="L77" s="421"/>
      <c r="M77" s="420"/>
      <c r="N77" s="420"/>
      <c r="O77" s="420"/>
      <c r="P77" s="420"/>
      <c r="Q77" s="420"/>
      <c r="R77" s="420"/>
      <c r="S77" s="420"/>
      <c r="T77" s="414">
        <f t="shared" si="164"/>
        <v>0</v>
      </c>
      <c r="U77" s="415">
        <f t="shared" si="165"/>
        <v>0</v>
      </c>
      <c r="V77" s="300">
        <v>49</v>
      </c>
      <c r="W77" s="420"/>
      <c r="X77" s="420"/>
      <c r="Y77" s="420"/>
      <c r="Z77" s="420"/>
      <c r="AA77" s="420"/>
      <c r="AB77" s="420"/>
      <c r="AC77" s="420"/>
      <c r="AD77" s="420"/>
      <c r="AE77" s="412">
        <f t="shared" si="166"/>
        <v>0</v>
      </c>
      <c r="AF77" s="421"/>
      <c r="AG77" s="420"/>
      <c r="AH77" s="420"/>
      <c r="AI77" s="420"/>
      <c r="AJ77" s="420"/>
      <c r="AK77" s="420"/>
      <c r="AL77" s="420"/>
      <c r="AM77" s="420"/>
      <c r="AN77" s="414">
        <f t="shared" si="167"/>
        <v>0</v>
      </c>
      <c r="AO77" s="415">
        <f t="shared" si="168"/>
        <v>0</v>
      </c>
      <c r="AP77" s="300">
        <v>49</v>
      </c>
      <c r="AQ77" s="420"/>
      <c r="AR77" s="420"/>
      <c r="AS77" s="420"/>
      <c r="AT77" s="420"/>
      <c r="AU77" s="420"/>
      <c r="AV77" s="420"/>
      <c r="AW77" s="420"/>
      <c r="AX77" s="420"/>
      <c r="AY77" s="412">
        <f t="shared" si="169"/>
        <v>0</v>
      </c>
      <c r="AZ77" s="421"/>
      <c r="BA77" s="420"/>
      <c r="BB77" s="420"/>
      <c r="BC77" s="420"/>
      <c r="BD77" s="420"/>
      <c r="BE77" s="420"/>
      <c r="BF77" s="420"/>
      <c r="BG77" s="420"/>
      <c r="BH77" s="414">
        <f t="shared" si="170"/>
        <v>0</v>
      </c>
      <c r="BI77" s="415">
        <f t="shared" si="171"/>
        <v>0</v>
      </c>
      <c r="BJ77" s="300">
        <v>49</v>
      </c>
      <c r="BK77" s="420"/>
      <c r="BL77" s="420"/>
      <c r="BM77" s="420"/>
      <c r="BN77" s="420"/>
      <c r="BO77" s="420"/>
      <c r="BP77" s="420"/>
      <c r="BQ77" s="420"/>
      <c r="BR77" s="420"/>
      <c r="BS77" s="412">
        <f t="shared" si="172"/>
        <v>0</v>
      </c>
      <c r="BT77" s="421"/>
      <c r="BU77" s="420"/>
      <c r="BV77" s="420"/>
      <c r="BW77" s="420"/>
      <c r="BX77" s="420"/>
      <c r="BY77" s="420"/>
      <c r="BZ77" s="420"/>
      <c r="CA77" s="420"/>
      <c r="CB77" s="414">
        <f t="shared" si="173"/>
        <v>0</v>
      </c>
      <c r="CC77" s="415">
        <f t="shared" si="174"/>
        <v>0</v>
      </c>
      <c r="CD77" s="300">
        <v>49</v>
      </c>
      <c r="CE77" s="414">
        <f t="shared" si="175"/>
        <v>0</v>
      </c>
      <c r="CF77" s="414">
        <f t="shared" si="176"/>
        <v>0</v>
      </c>
      <c r="CG77" s="414">
        <f t="shared" si="177"/>
        <v>0</v>
      </c>
      <c r="CH77" s="414">
        <f t="shared" si="178"/>
        <v>0</v>
      </c>
      <c r="CI77" s="416">
        <f t="shared" si="179"/>
        <v>0</v>
      </c>
      <c r="CJ77" s="414">
        <f t="shared" si="180"/>
        <v>0</v>
      </c>
      <c r="CK77" s="414">
        <f t="shared" si="181"/>
        <v>0</v>
      </c>
      <c r="CL77" s="414">
        <f t="shared" si="182"/>
        <v>0</v>
      </c>
      <c r="CM77" s="414">
        <f t="shared" si="183"/>
        <v>0</v>
      </c>
      <c r="CN77" s="416">
        <f t="shared" si="184"/>
        <v>0</v>
      </c>
      <c r="CO77" s="414">
        <f t="shared" si="185"/>
        <v>0</v>
      </c>
      <c r="CP77" s="414">
        <f t="shared" si="186"/>
        <v>0</v>
      </c>
      <c r="CQ77" s="414">
        <f t="shared" si="187"/>
        <v>0</v>
      </c>
      <c r="CR77" s="414">
        <f t="shared" si="188"/>
        <v>0</v>
      </c>
      <c r="CS77" s="416">
        <f t="shared" si="189"/>
        <v>0</v>
      </c>
    </row>
    <row r="78" spans="1:131" ht="15.75" customHeight="1">
      <c r="A78" s="88" t="s">
        <v>248</v>
      </c>
      <c r="B78" s="300">
        <v>50</v>
      </c>
      <c r="C78" s="420"/>
      <c r="D78" s="420"/>
      <c r="E78" s="420"/>
      <c r="F78" s="420"/>
      <c r="G78" s="420"/>
      <c r="H78" s="420"/>
      <c r="I78" s="420"/>
      <c r="J78" s="420"/>
      <c r="K78" s="412">
        <f t="shared" si="163"/>
        <v>0</v>
      </c>
      <c r="L78" s="421"/>
      <c r="M78" s="420"/>
      <c r="N78" s="420"/>
      <c r="O78" s="420"/>
      <c r="P78" s="420"/>
      <c r="Q78" s="420"/>
      <c r="R78" s="420"/>
      <c r="S78" s="420"/>
      <c r="T78" s="414">
        <f t="shared" si="164"/>
        <v>0</v>
      </c>
      <c r="U78" s="415">
        <f t="shared" si="165"/>
        <v>0</v>
      </c>
      <c r="V78" s="300">
        <v>50</v>
      </c>
      <c r="W78" s="420"/>
      <c r="X78" s="420"/>
      <c r="Y78" s="420"/>
      <c r="Z78" s="420"/>
      <c r="AA78" s="420"/>
      <c r="AB78" s="420"/>
      <c r="AC78" s="420"/>
      <c r="AD78" s="420"/>
      <c r="AE78" s="412">
        <f t="shared" si="166"/>
        <v>0</v>
      </c>
      <c r="AF78" s="421"/>
      <c r="AG78" s="420"/>
      <c r="AH78" s="420"/>
      <c r="AI78" s="420"/>
      <c r="AJ78" s="420"/>
      <c r="AK78" s="420"/>
      <c r="AL78" s="420"/>
      <c r="AM78" s="420"/>
      <c r="AN78" s="414">
        <f t="shared" si="167"/>
        <v>0</v>
      </c>
      <c r="AO78" s="415">
        <f t="shared" si="168"/>
        <v>0</v>
      </c>
      <c r="AP78" s="300">
        <v>50</v>
      </c>
      <c r="AQ78" s="420"/>
      <c r="AR78" s="420"/>
      <c r="AS78" s="420"/>
      <c r="AT78" s="420"/>
      <c r="AU78" s="420"/>
      <c r="AV78" s="420"/>
      <c r="AW78" s="420"/>
      <c r="AX78" s="420"/>
      <c r="AY78" s="412">
        <f t="shared" si="169"/>
        <v>0</v>
      </c>
      <c r="AZ78" s="421"/>
      <c r="BA78" s="420"/>
      <c r="BB78" s="420"/>
      <c r="BC78" s="420"/>
      <c r="BD78" s="420"/>
      <c r="BE78" s="420"/>
      <c r="BF78" s="420"/>
      <c r="BG78" s="420"/>
      <c r="BH78" s="414">
        <f t="shared" si="170"/>
        <v>0</v>
      </c>
      <c r="BI78" s="415">
        <f t="shared" si="171"/>
        <v>0</v>
      </c>
      <c r="BJ78" s="300">
        <v>50</v>
      </c>
      <c r="BK78" s="420"/>
      <c r="BL78" s="420"/>
      <c r="BM78" s="420"/>
      <c r="BN78" s="420"/>
      <c r="BO78" s="420"/>
      <c r="BP78" s="420"/>
      <c r="BQ78" s="420"/>
      <c r="BR78" s="420"/>
      <c r="BS78" s="412">
        <f t="shared" si="172"/>
        <v>0</v>
      </c>
      <c r="BT78" s="421"/>
      <c r="BU78" s="420"/>
      <c r="BV78" s="420"/>
      <c r="BW78" s="420"/>
      <c r="BX78" s="420"/>
      <c r="BY78" s="420"/>
      <c r="BZ78" s="420"/>
      <c r="CA78" s="420"/>
      <c r="CB78" s="414">
        <f t="shared" si="173"/>
        <v>0</v>
      </c>
      <c r="CC78" s="415">
        <f t="shared" si="174"/>
        <v>0</v>
      </c>
      <c r="CD78" s="300">
        <v>50</v>
      </c>
      <c r="CE78" s="414">
        <f t="shared" si="175"/>
        <v>0</v>
      </c>
      <c r="CF78" s="414">
        <f t="shared" si="176"/>
        <v>0</v>
      </c>
      <c r="CG78" s="414">
        <f t="shared" si="177"/>
        <v>0</v>
      </c>
      <c r="CH78" s="414">
        <f t="shared" si="178"/>
        <v>0</v>
      </c>
      <c r="CI78" s="416">
        <f t="shared" si="179"/>
        <v>0</v>
      </c>
      <c r="CJ78" s="414">
        <f t="shared" si="180"/>
        <v>0</v>
      </c>
      <c r="CK78" s="414">
        <f t="shared" si="181"/>
        <v>0</v>
      </c>
      <c r="CL78" s="414">
        <f t="shared" si="182"/>
        <v>0</v>
      </c>
      <c r="CM78" s="414">
        <f t="shared" si="183"/>
        <v>0</v>
      </c>
      <c r="CN78" s="416">
        <f t="shared" si="184"/>
        <v>0</v>
      </c>
      <c r="CO78" s="414">
        <f t="shared" si="185"/>
        <v>0</v>
      </c>
      <c r="CP78" s="414">
        <f t="shared" si="186"/>
        <v>0</v>
      </c>
      <c r="CQ78" s="414">
        <f t="shared" si="187"/>
        <v>0</v>
      </c>
      <c r="CR78" s="414">
        <f t="shared" si="188"/>
        <v>0</v>
      </c>
      <c r="CS78" s="416">
        <f t="shared" si="189"/>
        <v>0</v>
      </c>
    </row>
    <row r="79" spans="1:131" ht="15.75" customHeight="1">
      <c r="A79" s="88" t="s">
        <v>250</v>
      </c>
      <c r="B79" s="300">
        <v>51</v>
      </c>
      <c r="C79" s="420">
        <v>430.23839553479866</v>
      </c>
      <c r="D79" s="420">
        <v>1492.4078147270595</v>
      </c>
      <c r="E79" s="420">
        <v>419.61577502246877</v>
      </c>
      <c r="F79" s="420">
        <v>1606.0964418526953</v>
      </c>
      <c r="G79" s="420">
        <v>424.90525337197846</v>
      </c>
      <c r="H79" s="420">
        <v>1761.764529100941</v>
      </c>
      <c r="I79" s="420">
        <v>486.69297015895535</v>
      </c>
      <c r="J79" s="420">
        <v>1866.86032468389</v>
      </c>
      <c r="K79" s="412">
        <f t="shared" si="163"/>
        <v>8488.5815044527862</v>
      </c>
      <c r="L79" s="421">
        <v>0</v>
      </c>
      <c r="M79" s="420">
        <v>4013.7199492545979</v>
      </c>
      <c r="N79" s="420">
        <v>0</v>
      </c>
      <c r="O79" s="420">
        <v>4252.598354638596</v>
      </c>
      <c r="P79" s="420">
        <v>0</v>
      </c>
      <c r="Q79" s="420">
        <v>4302.7654372180459</v>
      </c>
      <c r="R79" s="420">
        <v>0</v>
      </c>
      <c r="S79" s="420">
        <v>4512.2387467918834</v>
      </c>
      <c r="T79" s="414">
        <f t="shared" si="164"/>
        <v>17081.322487903122</v>
      </c>
      <c r="U79" s="415">
        <f t="shared" si="165"/>
        <v>25569.90399235591</v>
      </c>
      <c r="V79" s="300">
        <v>51</v>
      </c>
      <c r="W79" s="420">
        <v>110.83170434796013</v>
      </c>
      <c r="X79" s="420">
        <v>1012.5511371192074</v>
      </c>
      <c r="Y79" s="420">
        <v>87.793202760423966</v>
      </c>
      <c r="Z79" s="420">
        <v>915.83607301082657</v>
      </c>
      <c r="AA79" s="420">
        <v>202.76026111913322</v>
      </c>
      <c r="AB79" s="420">
        <v>764.68885557504041</v>
      </c>
      <c r="AC79" s="420">
        <v>202.53444337304376</v>
      </c>
      <c r="AD79" s="420">
        <v>798.55708094071679</v>
      </c>
      <c r="AE79" s="412">
        <f t="shared" si="166"/>
        <v>4095.5527582463519</v>
      </c>
      <c r="AF79" s="421">
        <v>0</v>
      </c>
      <c r="AG79" s="420">
        <v>1636.6188546010274</v>
      </c>
      <c r="AH79" s="420">
        <v>0</v>
      </c>
      <c r="AI79" s="420">
        <v>1314.3997988763731</v>
      </c>
      <c r="AJ79" s="420">
        <v>0</v>
      </c>
      <c r="AK79" s="420">
        <v>1079.1861804496682</v>
      </c>
      <c r="AL79" s="420">
        <v>0</v>
      </c>
      <c r="AM79" s="420">
        <v>1147.8061464524687</v>
      </c>
      <c r="AN79" s="414">
        <f t="shared" si="167"/>
        <v>5178.0109803795376</v>
      </c>
      <c r="AO79" s="415">
        <f t="shared" si="168"/>
        <v>9273.5637386258895</v>
      </c>
      <c r="AP79" s="300">
        <v>51</v>
      </c>
      <c r="AQ79" s="420">
        <v>12743.396353593656</v>
      </c>
      <c r="AR79" s="420">
        <v>27508.947576680752</v>
      </c>
      <c r="AS79" s="420">
        <v>13636.644086482733</v>
      </c>
      <c r="AT79" s="420">
        <v>29154.151967430716</v>
      </c>
      <c r="AU79" s="420">
        <v>14052.346737590415</v>
      </c>
      <c r="AV79" s="420">
        <v>31482.770403998591</v>
      </c>
      <c r="AW79" s="420">
        <v>20149.878606190407</v>
      </c>
      <c r="AX79" s="420">
        <v>34611.0113109956</v>
      </c>
      <c r="AY79" s="412">
        <f t="shared" si="169"/>
        <v>183339.1470429629</v>
      </c>
      <c r="AZ79" s="421">
        <v>0</v>
      </c>
      <c r="BA79" s="420">
        <v>23480.005356367656</v>
      </c>
      <c r="BB79" s="420">
        <v>0</v>
      </c>
      <c r="BC79" s="420">
        <v>21413.752241804523</v>
      </c>
      <c r="BD79" s="420">
        <v>0</v>
      </c>
      <c r="BE79" s="420">
        <v>24048.567909815058</v>
      </c>
      <c r="BF79" s="420">
        <v>0</v>
      </c>
      <c r="BG79" s="420">
        <v>25289.423299343711</v>
      </c>
      <c r="BH79" s="414">
        <f t="shared" si="170"/>
        <v>94231.748807330936</v>
      </c>
      <c r="BI79" s="415">
        <f t="shared" si="171"/>
        <v>277570.8958502938</v>
      </c>
      <c r="BJ79" s="300">
        <v>51</v>
      </c>
      <c r="BK79" s="420">
        <v>525.08482024243744</v>
      </c>
      <c r="BL79" s="420">
        <v>4063.1125956460833</v>
      </c>
      <c r="BM79" s="420">
        <v>521.49253271586906</v>
      </c>
      <c r="BN79" s="420">
        <v>3071.3380195473669</v>
      </c>
      <c r="BO79" s="420">
        <v>520.91910646340591</v>
      </c>
      <c r="BP79" s="420">
        <v>2748.2851455001346</v>
      </c>
      <c r="BQ79" s="420">
        <v>336.09139935269718</v>
      </c>
      <c r="BR79" s="420">
        <v>2201.1532379751366</v>
      </c>
      <c r="BS79" s="412">
        <f t="shared" si="172"/>
        <v>13987.476857443131</v>
      </c>
      <c r="BT79" s="421">
        <v>0</v>
      </c>
      <c r="BU79" s="420">
        <v>1654.5624847406471</v>
      </c>
      <c r="BV79" s="420">
        <v>0</v>
      </c>
      <c r="BW79" s="420">
        <v>1480.9852020949788</v>
      </c>
      <c r="BX79" s="420">
        <v>0</v>
      </c>
      <c r="BY79" s="420">
        <v>1289.8197021412541</v>
      </c>
      <c r="BZ79" s="420">
        <v>0</v>
      </c>
      <c r="CA79" s="420">
        <v>1073.1880641041628</v>
      </c>
      <c r="CB79" s="414">
        <f t="shared" si="173"/>
        <v>5498.5554530810423</v>
      </c>
      <c r="CC79" s="415">
        <f t="shared" si="174"/>
        <v>19486.032310524173</v>
      </c>
      <c r="CD79" s="300">
        <v>51</v>
      </c>
      <c r="CE79" s="414">
        <f t="shared" si="175"/>
        <v>47886.570397891956</v>
      </c>
      <c r="CF79" s="414">
        <f t="shared" si="176"/>
        <v>49412.968098823105</v>
      </c>
      <c r="CG79" s="414">
        <f t="shared" si="177"/>
        <v>51958.440292719642</v>
      </c>
      <c r="CH79" s="414">
        <f t="shared" si="178"/>
        <v>60652.779373670448</v>
      </c>
      <c r="CI79" s="416">
        <f t="shared" si="179"/>
        <v>209910.75816310517</v>
      </c>
      <c r="CJ79" s="414">
        <f t="shared" si="180"/>
        <v>30784.906644963929</v>
      </c>
      <c r="CK79" s="414">
        <f t="shared" si="181"/>
        <v>28461.73559741447</v>
      </c>
      <c r="CL79" s="414">
        <f t="shared" si="182"/>
        <v>30720.339229624024</v>
      </c>
      <c r="CM79" s="414">
        <f t="shared" si="183"/>
        <v>32022.656256692229</v>
      </c>
      <c r="CN79" s="416">
        <f t="shared" si="184"/>
        <v>121989.63772869464</v>
      </c>
      <c r="CO79" s="414">
        <f t="shared" si="185"/>
        <v>78671.477042855884</v>
      </c>
      <c r="CP79" s="414">
        <f t="shared" si="186"/>
        <v>77874.703696237571</v>
      </c>
      <c r="CQ79" s="414">
        <f t="shared" si="187"/>
        <v>82678.77952234367</v>
      </c>
      <c r="CR79" s="414">
        <f t="shared" si="188"/>
        <v>92675.43563036267</v>
      </c>
      <c r="CS79" s="416">
        <f t="shared" si="189"/>
        <v>331900.39589179982</v>
      </c>
    </row>
    <row r="80" spans="1:131" ht="15.75" customHeight="1">
      <c r="A80" s="88" t="s">
        <v>252</v>
      </c>
      <c r="B80" s="300">
        <v>52</v>
      </c>
      <c r="C80" s="420"/>
      <c r="D80" s="420"/>
      <c r="E80" s="420"/>
      <c r="F80" s="420"/>
      <c r="G80" s="420"/>
      <c r="H80" s="420"/>
      <c r="I80" s="420"/>
      <c r="J80" s="420"/>
      <c r="K80" s="412">
        <f t="shared" si="163"/>
        <v>0</v>
      </c>
      <c r="L80" s="421"/>
      <c r="M80" s="420"/>
      <c r="N80" s="420"/>
      <c r="O80" s="420"/>
      <c r="P80" s="420"/>
      <c r="Q80" s="420"/>
      <c r="R80" s="420"/>
      <c r="S80" s="420"/>
      <c r="T80" s="414">
        <f t="shared" si="164"/>
        <v>0</v>
      </c>
      <c r="U80" s="415">
        <f t="shared" si="165"/>
        <v>0</v>
      </c>
      <c r="V80" s="300">
        <v>52</v>
      </c>
      <c r="W80" s="420"/>
      <c r="X80" s="420"/>
      <c r="Y80" s="420"/>
      <c r="Z80" s="420"/>
      <c r="AA80" s="420"/>
      <c r="AB80" s="420"/>
      <c r="AC80" s="420"/>
      <c r="AD80" s="420"/>
      <c r="AE80" s="412">
        <f t="shared" si="166"/>
        <v>0</v>
      </c>
      <c r="AF80" s="421"/>
      <c r="AG80" s="420"/>
      <c r="AH80" s="420"/>
      <c r="AI80" s="420"/>
      <c r="AJ80" s="420"/>
      <c r="AK80" s="420"/>
      <c r="AL80" s="420"/>
      <c r="AM80" s="420"/>
      <c r="AN80" s="414">
        <f t="shared" si="167"/>
        <v>0</v>
      </c>
      <c r="AO80" s="415">
        <f t="shared" si="168"/>
        <v>0</v>
      </c>
      <c r="AP80" s="300">
        <v>52</v>
      </c>
      <c r="AQ80" s="420"/>
      <c r="AR80" s="420"/>
      <c r="AS80" s="420"/>
      <c r="AT80" s="420"/>
      <c r="AU80" s="420"/>
      <c r="AV80" s="420"/>
      <c r="AW80" s="420"/>
      <c r="AX80" s="420"/>
      <c r="AY80" s="412">
        <f t="shared" si="169"/>
        <v>0</v>
      </c>
      <c r="AZ80" s="421"/>
      <c r="BA80" s="420"/>
      <c r="BB80" s="420"/>
      <c r="BC80" s="420"/>
      <c r="BD80" s="420"/>
      <c r="BE80" s="420"/>
      <c r="BF80" s="420"/>
      <c r="BG80" s="420"/>
      <c r="BH80" s="414">
        <f t="shared" si="170"/>
        <v>0</v>
      </c>
      <c r="BI80" s="415">
        <f t="shared" si="171"/>
        <v>0</v>
      </c>
      <c r="BJ80" s="300">
        <v>52</v>
      </c>
      <c r="BK80" s="420"/>
      <c r="BL80" s="420"/>
      <c r="BM80" s="420"/>
      <c r="BN80" s="420"/>
      <c r="BO80" s="420"/>
      <c r="BP80" s="420"/>
      <c r="BQ80" s="420"/>
      <c r="BR80" s="420"/>
      <c r="BS80" s="412">
        <f t="shared" si="172"/>
        <v>0</v>
      </c>
      <c r="BT80" s="421"/>
      <c r="BU80" s="420"/>
      <c r="BV80" s="420"/>
      <c r="BW80" s="420"/>
      <c r="BX80" s="420"/>
      <c r="BY80" s="420"/>
      <c r="BZ80" s="420"/>
      <c r="CA80" s="420"/>
      <c r="CB80" s="414">
        <f t="shared" si="173"/>
        <v>0</v>
      </c>
      <c r="CC80" s="415">
        <f t="shared" si="174"/>
        <v>0</v>
      </c>
      <c r="CD80" s="300">
        <v>52</v>
      </c>
      <c r="CE80" s="414">
        <f t="shared" si="175"/>
        <v>0</v>
      </c>
      <c r="CF80" s="414">
        <f t="shared" si="176"/>
        <v>0</v>
      </c>
      <c r="CG80" s="414">
        <f t="shared" si="177"/>
        <v>0</v>
      </c>
      <c r="CH80" s="414">
        <f t="shared" si="178"/>
        <v>0</v>
      </c>
      <c r="CI80" s="416">
        <f t="shared" si="179"/>
        <v>0</v>
      </c>
      <c r="CJ80" s="414">
        <f t="shared" si="180"/>
        <v>0</v>
      </c>
      <c r="CK80" s="414">
        <f t="shared" si="181"/>
        <v>0</v>
      </c>
      <c r="CL80" s="414">
        <f t="shared" si="182"/>
        <v>0</v>
      </c>
      <c r="CM80" s="414">
        <f t="shared" si="183"/>
        <v>0</v>
      </c>
      <c r="CN80" s="416">
        <f t="shared" si="184"/>
        <v>0</v>
      </c>
      <c r="CO80" s="414">
        <f t="shared" si="185"/>
        <v>0</v>
      </c>
      <c r="CP80" s="414">
        <f t="shared" si="186"/>
        <v>0</v>
      </c>
      <c r="CQ80" s="414">
        <f t="shared" si="187"/>
        <v>0</v>
      </c>
      <c r="CR80" s="414">
        <f t="shared" si="188"/>
        <v>0</v>
      </c>
      <c r="CS80" s="416">
        <f t="shared" si="189"/>
        <v>0</v>
      </c>
    </row>
    <row r="81" spans="1:131" ht="15.75" customHeight="1">
      <c r="A81" s="88" t="s">
        <v>254</v>
      </c>
      <c r="B81" s="300">
        <v>53</v>
      </c>
      <c r="C81" s="420">
        <v>1614.5190093326814</v>
      </c>
      <c r="D81" s="420">
        <v>5600.4317874939561</v>
      </c>
      <c r="E81" s="420">
        <v>3065.1888247862462</v>
      </c>
      <c r="F81" s="420">
        <v>11732.134867504035</v>
      </c>
      <c r="G81" s="420">
        <v>3036.9361630282456</v>
      </c>
      <c r="H81" s="420">
        <v>12591.904587452014</v>
      </c>
      <c r="I81" s="420">
        <v>3628.1760998704608</v>
      </c>
      <c r="J81" s="420">
        <v>13916.983451810122</v>
      </c>
      <c r="K81" s="412">
        <f t="shared" si="163"/>
        <v>55186.274791277763</v>
      </c>
      <c r="L81" s="421">
        <v>0</v>
      </c>
      <c r="M81" s="420">
        <v>15061.945245854326</v>
      </c>
      <c r="N81" s="420">
        <v>0</v>
      </c>
      <c r="O81" s="420">
        <v>31064.172819157309</v>
      </c>
      <c r="P81" s="420">
        <v>0</v>
      </c>
      <c r="Q81" s="420">
        <v>30753.265236464304</v>
      </c>
      <c r="R81" s="420">
        <v>0</v>
      </c>
      <c r="S81" s="420">
        <v>33637.627378659017</v>
      </c>
      <c r="T81" s="414">
        <f t="shared" si="164"/>
        <v>110517.01068013496</v>
      </c>
      <c r="U81" s="415">
        <f t="shared" si="165"/>
        <v>165703.28547141273</v>
      </c>
      <c r="V81" s="300">
        <v>53</v>
      </c>
      <c r="W81" s="420">
        <v>415.90870401999757</v>
      </c>
      <c r="X81" s="420">
        <v>3799.7144740378194</v>
      </c>
      <c r="Y81" s="420">
        <v>641.30750084177646</v>
      </c>
      <c r="Z81" s="420">
        <v>6689.9546285613105</v>
      </c>
      <c r="AA81" s="420">
        <v>1449.1935897028713</v>
      </c>
      <c r="AB81" s="420">
        <v>5465.4801759475604</v>
      </c>
      <c r="AC81" s="420">
        <v>1509.8443410979346</v>
      </c>
      <c r="AD81" s="420">
        <v>5953.0461566049771</v>
      </c>
      <c r="AE81" s="412">
        <f t="shared" si="166"/>
        <v>25924.449570814246</v>
      </c>
      <c r="AF81" s="421">
        <v>0</v>
      </c>
      <c r="AG81" s="420">
        <v>6141.6002830270854</v>
      </c>
      <c r="AH81" s="420">
        <v>0</v>
      </c>
      <c r="AI81" s="420">
        <v>9601.3634725754</v>
      </c>
      <c r="AJ81" s="420">
        <v>0</v>
      </c>
      <c r="AK81" s="420">
        <v>7713.2949334913101</v>
      </c>
      <c r="AL81" s="420">
        <v>0</v>
      </c>
      <c r="AM81" s="420">
        <v>8556.6118337052249</v>
      </c>
      <c r="AN81" s="414">
        <f t="shared" si="167"/>
        <v>32012.870522799021</v>
      </c>
      <c r="AO81" s="415">
        <f t="shared" si="168"/>
        <v>57937.320093613263</v>
      </c>
      <c r="AP81" s="300">
        <v>53</v>
      </c>
      <c r="AQ81" s="420">
        <v>47821.058905640202</v>
      </c>
      <c r="AR81" s="420">
        <v>103230.4862844232</v>
      </c>
      <c r="AS81" s="420">
        <v>99612.291885919112</v>
      </c>
      <c r="AT81" s="420">
        <v>212963.82578062886</v>
      </c>
      <c r="AU81" s="420">
        <v>100436.69652029469</v>
      </c>
      <c r="AV81" s="420">
        <v>225017.60849851623</v>
      </c>
      <c r="AW81" s="420">
        <v>150212.37711815332</v>
      </c>
      <c r="AX81" s="420">
        <v>258016.55608439815</v>
      </c>
      <c r="AY81" s="412">
        <f t="shared" si="169"/>
        <v>1197310.9010779739</v>
      </c>
      <c r="AZ81" s="421">
        <v>0</v>
      </c>
      <c r="BA81" s="420">
        <v>88111.417717535151</v>
      </c>
      <c r="BB81" s="420">
        <v>0</v>
      </c>
      <c r="BC81" s="420">
        <v>156422.13180571212</v>
      </c>
      <c r="BD81" s="420">
        <v>0</v>
      </c>
      <c r="BE81" s="420">
        <v>171882.94325563725</v>
      </c>
      <c r="BF81" s="420">
        <v>0</v>
      </c>
      <c r="BG81" s="420">
        <v>188526.4156665726</v>
      </c>
      <c r="BH81" s="414">
        <f t="shared" si="170"/>
        <v>604942.90844545711</v>
      </c>
      <c r="BI81" s="415">
        <f t="shared" si="171"/>
        <v>1802253.8095234311</v>
      </c>
      <c r="BJ81" s="300">
        <v>53</v>
      </c>
      <c r="BK81" s="420">
        <v>1970.4411149536293</v>
      </c>
      <c r="BL81" s="420">
        <v>15247.296826159412</v>
      </c>
      <c r="BM81" s="420">
        <v>3809.3731900440725</v>
      </c>
      <c r="BN81" s="420">
        <v>22435.360000833181</v>
      </c>
      <c r="BO81" s="420">
        <v>3723.1784259587298</v>
      </c>
      <c r="BP81" s="420">
        <v>19642.888569739502</v>
      </c>
      <c r="BQ81" s="420">
        <v>2505.4785198668787</v>
      </c>
      <c r="BR81" s="420">
        <v>16409.054701500128</v>
      </c>
      <c r="BS81" s="412">
        <f t="shared" si="172"/>
        <v>85743.071349055535</v>
      </c>
      <c r="BT81" s="421">
        <v>0</v>
      </c>
      <c r="BU81" s="420">
        <v>6208.9358166696366</v>
      </c>
      <c r="BV81" s="420">
        <v>0</v>
      </c>
      <c r="BW81" s="420">
        <v>10818.228392133869</v>
      </c>
      <c r="BX81" s="420">
        <v>0</v>
      </c>
      <c r="BY81" s="420">
        <v>9218.7612794467241</v>
      </c>
      <c r="BZ81" s="420">
        <v>0</v>
      </c>
      <c r="CA81" s="420">
        <v>8000.3524266587874</v>
      </c>
      <c r="CB81" s="414">
        <f t="shared" si="173"/>
        <v>34246.27791490902</v>
      </c>
      <c r="CC81" s="415">
        <f t="shared" si="174"/>
        <v>119989.34926396456</v>
      </c>
      <c r="CD81" s="300">
        <v>53</v>
      </c>
      <c r="CE81" s="414">
        <f t="shared" si="175"/>
        <v>179699.8571060609</v>
      </c>
      <c r="CF81" s="414">
        <f t="shared" si="176"/>
        <v>360949.4366791186</v>
      </c>
      <c r="CG81" s="414">
        <f t="shared" si="177"/>
        <v>371363.88653063984</v>
      </c>
      <c r="CH81" s="414">
        <f t="shared" si="178"/>
        <v>452151.51647330198</v>
      </c>
      <c r="CI81" s="416">
        <f t="shared" si="179"/>
        <v>1364164.6967891215</v>
      </c>
      <c r="CJ81" s="414">
        <f t="shared" si="180"/>
        <v>115523.8990630862</v>
      </c>
      <c r="CK81" s="414">
        <f t="shared" si="181"/>
        <v>207905.89648957871</v>
      </c>
      <c r="CL81" s="414">
        <f t="shared" si="182"/>
        <v>219568.26470503956</v>
      </c>
      <c r="CM81" s="414">
        <f t="shared" si="183"/>
        <v>238721.00730559565</v>
      </c>
      <c r="CN81" s="416">
        <f t="shared" si="184"/>
        <v>781719.06756330014</v>
      </c>
      <c r="CO81" s="414">
        <f t="shared" si="185"/>
        <v>295223.75616914709</v>
      </c>
      <c r="CP81" s="414">
        <f t="shared" si="186"/>
        <v>568855.33316869731</v>
      </c>
      <c r="CQ81" s="414">
        <f t="shared" si="187"/>
        <v>590932.1512356794</v>
      </c>
      <c r="CR81" s="414">
        <f t="shared" si="188"/>
        <v>690872.52377889748</v>
      </c>
      <c r="CS81" s="416">
        <f t="shared" si="189"/>
        <v>2145883.7643524217</v>
      </c>
    </row>
    <row r="82" spans="1:131" ht="15.75" customHeight="1">
      <c r="A82" s="88" t="s">
        <v>256</v>
      </c>
      <c r="B82" s="300">
        <v>54</v>
      </c>
      <c r="C82" s="420"/>
      <c r="D82" s="420"/>
      <c r="E82" s="420"/>
      <c r="F82" s="420"/>
      <c r="G82" s="420"/>
      <c r="H82" s="420"/>
      <c r="I82" s="420"/>
      <c r="J82" s="420"/>
      <c r="K82" s="412">
        <f t="shared" si="163"/>
        <v>0</v>
      </c>
      <c r="L82" s="421"/>
      <c r="M82" s="420"/>
      <c r="N82" s="420"/>
      <c r="O82" s="420"/>
      <c r="P82" s="420"/>
      <c r="Q82" s="420"/>
      <c r="R82" s="420"/>
      <c r="S82" s="420"/>
      <c r="T82" s="414">
        <f t="shared" si="164"/>
        <v>0</v>
      </c>
      <c r="U82" s="415">
        <f t="shared" si="165"/>
        <v>0</v>
      </c>
      <c r="V82" s="300">
        <v>54</v>
      </c>
      <c r="W82" s="420"/>
      <c r="X82" s="420"/>
      <c r="Y82" s="420"/>
      <c r="Z82" s="420"/>
      <c r="AA82" s="420"/>
      <c r="AB82" s="420"/>
      <c r="AC82" s="420"/>
      <c r="AD82" s="420"/>
      <c r="AE82" s="412">
        <f t="shared" si="166"/>
        <v>0</v>
      </c>
      <c r="AF82" s="421"/>
      <c r="AG82" s="420"/>
      <c r="AH82" s="420"/>
      <c r="AI82" s="420"/>
      <c r="AJ82" s="420"/>
      <c r="AK82" s="420"/>
      <c r="AL82" s="420"/>
      <c r="AM82" s="420"/>
      <c r="AN82" s="414">
        <f t="shared" si="167"/>
        <v>0</v>
      </c>
      <c r="AO82" s="415">
        <f t="shared" si="168"/>
        <v>0</v>
      </c>
      <c r="AP82" s="300">
        <v>54</v>
      </c>
      <c r="AQ82" s="420"/>
      <c r="AR82" s="420"/>
      <c r="AS82" s="420"/>
      <c r="AT82" s="420"/>
      <c r="AU82" s="420"/>
      <c r="AV82" s="420"/>
      <c r="AW82" s="420"/>
      <c r="AX82" s="420"/>
      <c r="AY82" s="412">
        <f t="shared" si="169"/>
        <v>0</v>
      </c>
      <c r="AZ82" s="421"/>
      <c r="BA82" s="420"/>
      <c r="BB82" s="420"/>
      <c r="BC82" s="420"/>
      <c r="BD82" s="420"/>
      <c r="BE82" s="420"/>
      <c r="BF82" s="420"/>
      <c r="BG82" s="420"/>
      <c r="BH82" s="414">
        <f t="shared" si="170"/>
        <v>0</v>
      </c>
      <c r="BI82" s="415">
        <f t="shared" si="171"/>
        <v>0</v>
      </c>
      <c r="BJ82" s="300">
        <v>54</v>
      </c>
      <c r="BK82" s="420"/>
      <c r="BL82" s="420"/>
      <c r="BM82" s="420"/>
      <c r="BN82" s="420"/>
      <c r="BO82" s="420"/>
      <c r="BP82" s="420"/>
      <c r="BQ82" s="420"/>
      <c r="BR82" s="420"/>
      <c r="BS82" s="412">
        <f t="shared" si="172"/>
        <v>0</v>
      </c>
      <c r="BT82" s="421"/>
      <c r="BU82" s="420"/>
      <c r="BV82" s="420"/>
      <c r="BW82" s="420"/>
      <c r="BX82" s="420"/>
      <c r="BY82" s="420"/>
      <c r="BZ82" s="420"/>
      <c r="CA82" s="420"/>
      <c r="CB82" s="414">
        <f t="shared" si="173"/>
        <v>0</v>
      </c>
      <c r="CC82" s="415">
        <f t="shared" si="174"/>
        <v>0</v>
      </c>
      <c r="CD82" s="300">
        <v>54</v>
      </c>
      <c r="CE82" s="414">
        <f t="shared" si="175"/>
        <v>0</v>
      </c>
      <c r="CF82" s="414">
        <f t="shared" si="176"/>
        <v>0</v>
      </c>
      <c r="CG82" s="414">
        <f t="shared" si="177"/>
        <v>0</v>
      </c>
      <c r="CH82" s="414">
        <f t="shared" si="178"/>
        <v>0</v>
      </c>
      <c r="CI82" s="416">
        <f t="shared" si="179"/>
        <v>0</v>
      </c>
      <c r="CJ82" s="414">
        <f t="shared" si="180"/>
        <v>0</v>
      </c>
      <c r="CK82" s="414">
        <f t="shared" si="181"/>
        <v>0</v>
      </c>
      <c r="CL82" s="414">
        <f t="shared" si="182"/>
        <v>0</v>
      </c>
      <c r="CM82" s="414">
        <f t="shared" si="183"/>
        <v>0</v>
      </c>
      <c r="CN82" s="416">
        <f t="shared" si="184"/>
        <v>0</v>
      </c>
      <c r="CO82" s="414">
        <f t="shared" si="185"/>
        <v>0</v>
      </c>
      <c r="CP82" s="414">
        <f t="shared" si="186"/>
        <v>0</v>
      </c>
      <c r="CQ82" s="414">
        <f t="shared" si="187"/>
        <v>0</v>
      </c>
      <c r="CR82" s="414">
        <f t="shared" si="188"/>
        <v>0</v>
      </c>
      <c r="CS82" s="416">
        <f t="shared" si="189"/>
        <v>0</v>
      </c>
    </row>
    <row r="83" spans="1:131" ht="15.75" customHeight="1">
      <c r="A83" s="88" t="s">
        <v>258</v>
      </c>
      <c r="B83" s="300">
        <v>55</v>
      </c>
      <c r="C83" s="420"/>
      <c r="D83" s="420"/>
      <c r="E83" s="420"/>
      <c r="F83" s="420"/>
      <c r="G83" s="420"/>
      <c r="H83" s="420"/>
      <c r="I83" s="420"/>
      <c r="J83" s="420"/>
      <c r="K83" s="412">
        <f t="shared" si="163"/>
        <v>0</v>
      </c>
      <c r="L83" s="421"/>
      <c r="M83" s="420"/>
      <c r="N83" s="420"/>
      <c r="O83" s="420"/>
      <c r="P83" s="420"/>
      <c r="Q83" s="420"/>
      <c r="R83" s="420"/>
      <c r="S83" s="420"/>
      <c r="T83" s="414">
        <f t="shared" si="164"/>
        <v>0</v>
      </c>
      <c r="U83" s="415">
        <f t="shared" si="165"/>
        <v>0</v>
      </c>
      <c r="V83" s="300">
        <v>55</v>
      </c>
      <c r="W83" s="420"/>
      <c r="X83" s="420"/>
      <c r="Y83" s="420"/>
      <c r="Z83" s="420"/>
      <c r="AA83" s="420"/>
      <c r="AB83" s="420"/>
      <c r="AC83" s="420"/>
      <c r="AD83" s="420"/>
      <c r="AE83" s="412">
        <f t="shared" si="166"/>
        <v>0</v>
      </c>
      <c r="AF83" s="421"/>
      <c r="AG83" s="420"/>
      <c r="AH83" s="420"/>
      <c r="AI83" s="420"/>
      <c r="AJ83" s="420"/>
      <c r="AK83" s="420"/>
      <c r="AL83" s="420"/>
      <c r="AM83" s="420"/>
      <c r="AN83" s="414">
        <f t="shared" si="167"/>
        <v>0</v>
      </c>
      <c r="AO83" s="415">
        <f t="shared" si="168"/>
        <v>0</v>
      </c>
      <c r="AP83" s="300">
        <v>55</v>
      </c>
      <c r="AQ83" s="420"/>
      <c r="AR83" s="420"/>
      <c r="AS83" s="420"/>
      <c r="AT83" s="420"/>
      <c r="AU83" s="420"/>
      <c r="AV83" s="420"/>
      <c r="AW83" s="420"/>
      <c r="AX83" s="420"/>
      <c r="AY83" s="412">
        <f t="shared" si="169"/>
        <v>0</v>
      </c>
      <c r="AZ83" s="421"/>
      <c r="BA83" s="420"/>
      <c r="BB83" s="420"/>
      <c r="BC83" s="420"/>
      <c r="BD83" s="420"/>
      <c r="BE83" s="420"/>
      <c r="BF83" s="420"/>
      <c r="BG83" s="420"/>
      <c r="BH83" s="414">
        <f t="shared" si="170"/>
        <v>0</v>
      </c>
      <c r="BI83" s="415">
        <f t="shared" si="171"/>
        <v>0</v>
      </c>
      <c r="BJ83" s="300">
        <v>55</v>
      </c>
      <c r="BK83" s="420"/>
      <c r="BL83" s="420"/>
      <c r="BM83" s="420"/>
      <c r="BN83" s="420"/>
      <c r="BO83" s="420"/>
      <c r="BP83" s="420"/>
      <c r="BQ83" s="420"/>
      <c r="BR83" s="420"/>
      <c r="BS83" s="412">
        <f t="shared" si="172"/>
        <v>0</v>
      </c>
      <c r="BT83" s="421"/>
      <c r="BU83" s="420"/>
      <c r="BV83" s="420"/>
      <c r="BW83" s="420"/>
      <c r="BX83" s="420"/>
      <c r="BY83" s="420"/>
      <c r="BZ83" s="420"/>
      <c r="CA83" s="420"/>
      <c r="CB83" s="414">
        <f t="shared" si="173"/>
        <v>0</v>
      </c>
      <c r="CC83" s="415">
        <f t="shared" si="174"/>
        <v>0</v>
      </c>
      <c r="CD83" s="300">
        <v>55</v>
      </c>
      <c r="CE83" s="414">
        <f t="shared" si="175"/>
        <v>0</v>
      </c>
      <c r="CF83" s="414">
        <f t="shared" si="176"/>
        <v>0</v>
      </c>
      <c r="CG83" s="414">
        <f t="shared" si="177"/>
        <v>0</v>
      </c>
      <c r="CH83" s="414">
        <f t="shared" si="178"/>
        <v>0</v>
      </c>
      <c r="CI83" s="416">
        <f t="shared" si="179"/>
        <v>0</v>
      </c>
      <c r="CJ83" s="414">
        <f t="shared" si="180"/>
        <v>0</v>
      </c>
      <c r="CK83" s="414">
        <f t="shared" si="181"/>
        <v>0</v>
      </c>
      <c r="CL83" s="414">
        <f t="shared" si="182"/>
        <v>0</v>
      </c>
      <c r="CM83" s="414">
        <f t="shared" si="183"/>
        <v>0</v>
      </c>
      <c r="CN83" s="416">
        <f t="shared" si="184"/>
        <v>0</v>
      </c>
      <c r="CO83" s="414">
        <f t="shared" si="185"/>
        <v>0</v>
      </c>
      <c r="CP83" s="414">
        <f t="shared" si="186"/>
        <v>0</v>
      </c>
      <c r="CQ83" s="414">
        <f t="shared" si="187"/>
        <v>0</v>
      </c>
      <c r="CR83" s="414">
        <f t="shared" si="188"/>
        <v>0</v>
      </c>
      <c r="CS83" s="416">
        <f t="shared" si="189"/>
        <v>0</v>
      </c>
    </row>
    <row r="84" spans="1:131" ht="15.75" customHeight="1">
      <c r="A84" s="88" t="s">
        <v>260</v>
      </c>
      <c r="B84" s="300">
        <v>56</v>
      </c>
      <c r="C84" s="420"/>
      <c r="D84" s="420"/>
      <c r="E84" s="420"/>
      <c r="F84" s="420"/>
      <c r="G84" s="420"/>
      <c r="H84" s="420"/>
      <c r="I84" s="420"/>
      <c r="J84" s="420"/>
      <c r="K84" s="412">
        <f t="shared" si="163"/>
        <v>0</v>
      </c>
      <c r="L84" s="421"/>
      <c r="M84" s="420"/>
      <c r="N84" s="420"/>
      <c r="O84" s="420"/>
      <c r="P84" s="420"/>
      <c r="Q84" s="420"/>
      <c r="R84" s="420"/>
      <c r="S84" s="420"/>
      <c r="T84" s="414">
        <f t="shared" si="164"/>
        <v>0</v>
      </c>
      <c r="U84" s="415">
        <f t="shared" si="165"/>
        <v>0</v>
      </c>
      <c r="V84" s="300">
        <v>56</v>
      </c>
      <c r="W84" s="420"/>
      <c r="X84" s="420"/>
      <c r="Y84" s="420"/>
      <c r="Z84" s="420"/>
      <c r="AA84" s="420"/>
      <c r="AB84" s="420"/>
      <c r="AC84" s="420"/>
      <c r="AD84" s="420"/>
      <c r="AE84" s="412">
        <f t="shared" si="166"/>
        <v>0</v>
      </c>
      <c r="AF84" s="421"/>
      <c r="AG84" s="420"/>
      <c r="AH84" s="420"/>
      <c r="AI84" s="420"/>
      <c r="AJ84" s="420"/>
      <c r="AK84" s="420"/>
      <c r="AL84" s="420"/>
      <c r="AM84" s="420"/>
      <c r="AN84" s="414">
        <f t="shared" si="167"/>
        <v>0</v>
      </c>
      <c r="AO84" s="415">
        <f t="shared" si="168"/>
        <v>0</v>
      </c>
      <c r="AP84" s="300">
        <v>56</v>
      </c>
      <c r="AQ84" s="420"/>
      <c r="AR84" s="420"/>
      <c r="AS84" s="420"/>
      <c r="AT84" s="420"/>
      <c r="AU84" s="420"/>
      <c r="AV84" s="420"/>
      <c r="AW84" s="420"/>
      <c r="AX84" s="420"/>
      <c r="AY84" s="412">
        <f t="shared" si="169"/>
        <v>0</v>
      </c>
      <c r="AZ84" s="421"/>
      <c r="BA84" s="420"/>
      <c r="BB84" s="420"/>
      <c r="BC84" s="420"/>
      <c r="BD84" s="420"/>
      <c r="BE84" s="420"/>
      <c r="BF84" s="420"/>
      <c r="BG84" s="420"/>
      <c r="BH84" s="414">
        <f t="shared" si="170"/>
        <v>0</v>
      </c>
      <c r="BI84" s="415">
        <f t="shared" si="171"/>
        <v>0</v>
      </c>
      <c r="BJ84" s="300">
        <v>56</v>
      </c>
      <c r="BK84" s="420"/>
      <c r="BL84" s="420"/>
      <c r="BM84" s="420"/>
      <c r="BN84" s="420"/>
      <c r="BO84" s="420"/>
      <c r="BP84" s="420"/>
      <c r="BQ84" s="420"/>
      <c r="BR84" s="420"/>
      <c r="BS84" s="412">
        <f t="shared" si="172"/>
        <v>0</v>
      </c>
      <c r="BT84" s="421"/>
      <c r="BU84" s="420"/>
      <c r="BV84" s="420"/>
      <c r="BW84" s="420"/>
      <c r="BX84" s="420"/>
      <c r="BY84" s="420"/>
      <c r="BZ84" s="420"/>
      <c r="CA84" s="420"/>
      <c r="CB84" s="414">
        <f t="shared" si="173"/>
        <v>0</v>
      </c>
      <c r="CC84" s="415">
        <f t="shared" si="174"/>
        <v>0</v>
      </c>
      <c r="CD84" s="300">
        <v>56</v>
      </c>
      <c r="CE84" s="414">
        <f t="shared" si="175"/>
        <v>0</v>
      </c>
      <c r="CF84" s="414">
        <f t="shared" si="176"/>
        <v>0</v>
      </c>
      <c r="CG84" s="414">
        <f t="shared" si="177"/>
        <v>0</v>
      </c>
      <c r="CH84" s="414">
        <f t="shared" si="178"/>
        <v>0</v>
      </c>
      <c r="CI84" s="416">
        <f t="shared" si="179"/>
        <v>0</v>
      </c>
      <c r="CJ84" s="414">
        <f t="shared" si="180"/>
        <v>0</v>
      </c>
      <c r="CK84" s="414">
        <f t="shared" si="181"/>
        <v>0</v>
      </c>
      <c r="CL84" s="414">
        <f t="shared" si="182"/>
        <v>0</v>
      </c>
      <c r="CM84" s="414">
        <f t="shared" si="183"/>
        <v>0</v>
      </c>
      <c r="CN84" s="416">
        <f t="shared" si="184"/>
        <v>0</v>
      </c>
      <c r="CO84" s="414">
        <f t="shared" si="185"/>
        <v>0</v>
      </c>
      <c r="CP84" s="414">
        <f t="shared" si="186"/>
        <v>0</v>
      </c>
      <c r="CQ84" s="414">
        <f t="shared" si="187"/>
        <v>0</v>
      </c>
      <c r="CR84" s="414">
        <f t="shared" si="188"/>
        <v>0</v>
      </c>
      <c r="CS84" s="416">
        <f t="shared" si="189"/>
        <v>0</v>
      </c>
    </row>
    <row r="85" spans="1:131" ht="15.75" customHeight="1">
      <c r="A85" s="88" t="s">
        <v>262</v>
      </c>
      <c r="B85" s="300">
        <v>57</v>
      </c>
      <c r="C85" s="420"/>
      <c r="D85" s="420"/>
      <c r="E85" s="420"/>
      <c r="F85" s="420"/>
      <c r="G85" s="420"/>
      <c r="H85" s="420"/>
      <c r="I85" s="420"/>
      <c r="J85" s="420"/>
      <c r="K85" s="412">
        <f t="shared" si="163"/>
        <v>0</v>
      </c>
      <c r="L85" s="421"/>
      <c r="M85" s="420"/>
      <c r="N85" s="420"/>
      <c r="O85" s="420"/>
      <c r="P85" s="420"/>
      <c r="Q85" s="420"/>
      <c r="R85" s="420"/>
      <c r="S85" s="420"/>
      <c r="T85" s="414">
        <f t="shared" si="164"/>
        <v>0</v>
      </c>
      <c r="U85" s="415">
        <f t="shared" si="165"/>
        <v>0</v>
      </c>
      <c r="V85" s="300">
        <v>57</v>
      </c>
      <c r="W85" s="420"/>
      <c r="X85" s="420"/>
      <c r="Y85" s="420"/>
      <c r="Z85" s="420"/>
      <c r="AA85" s="420"/>
      <c r="AB85" s="420"/>
      <c r="AC85" s="420"/>
      <c r="AD85" s="420"/>
      <c r="AE85" s="412">
        <f t="shared" si="166"/>
        <v>0</v>
      </c>
      <c r="AF85" s="421"/>
      <c r="AG85" s="420"/>
      <c r="AH85" s="420"/>
      <c r="AI85" s="420"/>
      <c r="AJ85" s="420"/>
      <c r="AK85" s="420"/>
      <c r="AL85" s="420"/>
      <c r="AM85" s="420"/>
      <c r="AN85" s="414">
        <f t="shared" si="167"/>
        <v>0</v>
      </c>
      <c r="AO85" s="415">
        <f t="shared" si="168"/>
        <v>0</v>
      </c>
      <c r="AP85" s="300">
        <v>57</v>
      </c>
      <c r="AQ85" s="420"/>
      <c r="AR85" s="420"/>
      <c r="AS85" s="420"/>
      <c r="AT85" s="420"/>
      <c r="AU85" s="420"/>
      <c r="AV85" s="420"/>
      <c r="AW85" s="420"/>
      <c r="AX85" s="420"/>
      <c r="AY85" s="412">
        <f t="shared" si="169"/>
        <v>0</v>
      </c>
      <c r="AZ85" s="421"/>
      <c r="BA85" s="420"/>
      <c r="BB85" s="420"/>
      <c r="BC85" s="420"/>
      <c r="BD85" s="420"/>
      <c r="BE85" s="420"/>
      <c r="BF85" s="420"/>
      <c r="BG85" s="420"/>
      <c r="BH85" s="414">
        <f t="shared" si="170"/>
        <v>0</v>
      </c>
      <c r="BI85" s="415">
        <f t="shared" si="171"/>
        <v>0</v>
      </c>
      <c r="BJ85" s="300">
        <v>57</v>
      </c>
      <c r="BK85" s="420"/>
      <c r="BL85" s="420"/>
      <c r="BM85" s="420"/>
      <c r="BN85" s="420"/>
      <c r="BO85" s="420"/>
      <c r="BP85" s="420"/>
      <c r="BQ85" s="420"/>
      <c r="BR85" s="420"/>
      <c r="BS85" s="412">
        <f t="shared" si="172"/>
        <v>0</v>
      </c>
      <c r="BT85" s="421"/>
      <c r="BU85" s="420"/>
      <c r="BV85" s="420"/>
      <c r="BW85" s="420"/>
      <c r="BX85" s="420"/>
      <c r="BY85" s="420"/>
      <c r="BZ85" s="420"/>
      <c r="CA85" s="420"/>
      <c r="CB85" s="414">
        <f t="shared" si="173"/>
        <v>0</v>
      </c>
      <c r="CC85" s="415">
        <f t="shared" si="174"/>
        <v>0</v>
      </c>
      <c r="CD85" s="300">
        <v>57</v>
      </c>
      <c r="CE85" s="414">
        <f t="shared" si="175"/>
        <v>0</v>
      </c>
      <c r="CF85" s="414">
        <f t="shared" si="176"/>
        <v>0</v>
      </c>
      <c r="CG85" s="414">
        <f t="shared" si="177"/>
        <v>0</v>
      </c>
      <c r="CH85" s="414">
        <f t="shared" si="178"/>
        <v>0</v>
      </c>
      <c r="CI85" s="416">
        <f t="shared" si="179"/>
        <v>0</v>
      </c>
      <c r="CJ85" s="414">
        <f t="shared" si="180"/>
        <v>0</v>
      </c>
      <c r="CK85" s="414">
        <f t="shared" si="181"/>
        <v>0</v>
      </c>
      <c r="CL85" s="414">
        <f t="shared" si="182"/>
        <v>0</v>
      </c>
      <c r="CM85" s="414">
        <f t="shared" si="183"/>
        <v>0</v>
      </c>
      <c r="CN85" s="416">
        <f t="shared" si="184"/>
        <v>0</v>
      </c>
      <c r="CO85" s="414">
        <f t="shared" si="185"/>
        <v>0</v>
      </c>
      <c r="CP85" s="414">
        <f t="shared" si="186"/>
        <v>0</v>
      </c>
      <c r="CQ85" s="414">
        <f t="shared" si="187"/>
        <v>0</v>
      </c>
      <c r="CR85" s="414">
        <f t="shared" si="188"/>
        <v>0</v>
      </c>
      <c r="CS85" s="416">
        <f t="shared" si="189"/>
        <v>0</v>
      </c>
    </row>
    <row r="86" spans="1:131" ht="15.75" customHeight="1">
      <c r="A86" s="88" t="s">
        <v>264</v>
      </c>
      <c r="B86" s="300">
        <v>58</v>
      </c>
      <c r="C86" s="420">
        <v>2398.9025383344983</v>
      </c>
      <c r="D86" s="420">
        <v>8321.295663369996</v>
      </c>
      <c r="E86" s="420">
        <v>1385.0540124134391</v>
      </c>
      <c r="F86" s="420">
        <v>5301.3505533530251</v>
      </c>
      <c r="G86" s="420">
        <v>1553.0206914061246</v>
      </c>
      <c r="H86" s="420">
        <v>6439.2161437549457</v>
      </c>
      <c r="I86" s="420">
        <v>1719.1483903520095</v>
      </c>
      <c r="J86" s="420">
        <v>6594.321510631512</v>
      </c>
      <c r="K86" s="412">
        <f t="shared" si="163"/>
        <v>33712.30950361555</v>
      </c>
      <c r="L86" s="421">
        <v>0</v>
      </c>
      <c r="M86" s="420">
        <v>22379.506511644875</v>
      </c>
      <c r="N86" s="420">
        <v>0</v>
      </c>
      <c r="O86" s="420">
        <v>14036.837423377581</v>
      </c>
      <c r="P86" s="420">
        <v>0</v>
      </c>
      <c r="Q86" s="420">
        <v>15726.526563833317</v>
      </c>
      <c r="R86" s="420">
        <v>0</v>
      </c>
      <c r="S86" s="420">
        <v>15938.606994667929</v>
      </c>
      <c r="T86" s="414">
        <f t="shared" si="164"/>
        <v>68081.477493523707</v>
      </c>
      <c r="U86" s="415">
        <f t="shared" si="165"/>
        <v>101793.78699713925</v>
      </c>
      <c r="V86" s="300">
        <v>58</v>
      </c>
      <c r="W86" s="420">
        <v>617.97008274394159</v>
      </c>
      <c r="X86" s="420">
        <v>5645.7338959936815</v>
      </c>
      <c r="Y86" s="420">
        <v>289.78492941415448</v>
      </c>
      <c r="Z86" s="420">
        <v>3022.9617262808829</v>
      </c>
      <c r="AA86" s="420">
        <v>741.08493226195765</v>
      </c>
      <c r="AB86" s="420">
        <v>2794.9233523739381</v>
      </c>
      <c r="AC86" s="420">
        <v>715.4135844655608</v>
      </c>
      <c r="AD86" s="420">
        <v>2820.7477906554923</v>
      </c>
      <c r="AE86" s="412">
        <f t="shared" si="166"/>
        <v>16648.620294189612</v>
      </c>
      <c r="AF86" s="421">
        <v>0</v>
      </c>
      <c r="AG86" s="420">
        <v>9125.3806385835524</v>
      </c>
      <c r="AH86" s="420">
        <v>0</v>
      </c>
      <c r="AI86" s="420">
        <v>4338.5278240591806</v>
      </c>
      <c r="AJ86" s="420">
        <v>0</v>
      </c>
      <c r="AK86" s="420">
        <v>3944.405146364817</v>
      </c>
      <c r="AL86" s="420">
        <v>0</v>
      </c>
      <c r="AM86" s="420">
        <v>4054.4022825425973</v>
      </c>
      <c r="AN86" s="414">
        <f t="shared" si="167"/>
        <v>21462.715891550146</v>
      </c>
      <c r="AO86" s="415">
        <f t="shared" si="168"/>
        <v>38111.336185739754</v>
      </c>
      <c r="AP86" s="300">
        <v>58</v>
      </c>
      <c r="AQ86" s="420">
        <v>71054.016045310927</v>
      </c>
      <c r="AR86" s="420">
        <v>153383.06588509158</v>
      </c>
      <c r="AS86" s="420">
        <v>45011.388351225731</v>
      </c>
      <c r="AT86" s="420">
        <v>96231.070337712837</v>
      </c>
      <c r="AU86" s="420">
        <v>51361.062432396095</v>
      </c>
      <c r="AV86" s="420">
        <v>115068.93236124574</v>
      </c>
      <c r="AW86" s="420">
        <v>71175.532616193115</v>
      </c>
      <c r="AX86" s="420">
        <v>122256.67521830021</v>
      </c>
      <c r="AY86" s="412">
        <f t="shared" si="169"/>
        <v>725541.74324747617</v>
      </c>
      <c r="AZ86" s="421">
        <v>0</v>
      </c>
      <c r="BA86" s="420">
        <v>130918.68376713067</v>
      </c>
      <c r="BB86" s="420">
        <v>0</v>
      </c>
      <c r="BC86" s="420">
        <v>70681.81233594114</v>
      </c>
      <c r="BD86" s="420">
        <v>0</v>
      </c>
      <c r="BE86" s="420">
        <v>87897.062383298689</v>
      </c>
      <c r="BF86" s="420">
        <v>0</v>
      </c>
      <c r="BG86" s="420">
        <v>89329.976029441881</v>
      </c>
      <c r="BH86" s="414">
        <f t="shared" si="170"/>
        <v>378827.53451581235</v>
      </c>
      <c r="BI86" s="415">
        <f t="shared" si="171"/>
        <v>1104369.2777632885</v>
      </c>
      <c r="BJ86" s="300">
        <v>58</v>
      </c>
      <c r="BK86" s="420">
        <v>2927.7426682356981</v>
      </c>
      <c r="BL86" s="420">
        <v>22654.907652113307</v>
      </c>
      <c r="BM86" s="420">
        <v>1721.3254788695326</v>
      </c>
      <c r="BN86" s="420">
        <v>10137.771982533886</v>
      </c>
      <c r="BO86" s="420">
        <v>1903.9495145479671</v>
      </c>
      <c r="BP86" s="420">
        <v>10044.930400305744</v>
      </c>
      <c r="BQ86" s="420">
        <v>1187.1775916953054</v>
      </c>
      <c r="BR86" s="420">
        <v>7775.1462996212358</v>
      </c>
      <c r="BS86" s="412">
        <f t="shared" si="172"/>
        <v>58352.951587922682</v>
      </c>
      <c r="BT86" s="421">
        <v>0</v>
      </c>
      <c r="BU86" s="420">
        <v>9225.4298678843516</v>
      </c>
      <c r="BV86" s="420">
        <v>0</v>
      </c>
      <c r="BW86" s="420">
        <v>4888.387469171631</v>
      </c>
      <c r="BX86" s="420">
        <v>0</v>
      </c>
      <c r="BY86" s="420">
        <v>4714.2666976043402</v>
      </c>
      <c r="BZ86" s="420">
        <v>0</v>
      </c>
      <c r="CA86" s="420">
        <v>3790.8283991591011</v>
      </c>
      <c r="CB86" s="414">
        <f t="shared" si="173"/>
        <v>22618.912433819423</v>
      </c>
      <c r="CC86" s="415">
        <f t="shared" si="174"/>
        <v>80971.864021742105</v>
      </c>
      <c r="CD86" s="300">
        <v>58</v>
      </c>
      <c r="CE86" s="414">
        <f t="shared" si="175"/>
        <v>267003.63443119364</v>
      </c>
      <c r="CF86" s="414">
        <f t="shared" si="176"/>
        <v>163100.70737180347</v>
      </c>
      <c r="CG86" s="414">
        <f t="shared" si="177"/>
        <v>189907.11982829252</v>
      </c>
      <c r="CH86" s="414">
        <f t="shared" si="178"/>
        <v>214244.16300191445</v>
      </c>
      <c r="CI86" s="416">
        <f t="shared" si="179"/>
        <v>834255.62463320396</v>
      </c>
      <c r="CJ86" s="414">
        <f t="shared" si="180"/>
        <v>171649.00078524344</v>
      </c>
      <c r="CK86" s="414">
        <f t="shared" si="181"/>
        <v>93945.565052549529</v>
      </c>
      <c r="CL86" s="414">
        <f t="shared" si="182"/>
        <v>112282.26079110116</v>
      </c>
      <c r="CM86" s="414">
        <f t="shared" si="183"/>
        <v>113113.81370581151</v>
      </c>
      <c r="CN86" s="416">
        <f t="shared" si="184"/>
        <v>490990.64033470565</v>
      </c>
      <c r="CO86" s="414">
        <f t="shared" si="185"/>
        <v>438652.63521643705</v>
      </c>
      <c r="CP86" s="414">
        <f t="shared" si="186"/>
        <v>257046.27242435302</v>
      </c>
      <c r="CQ86" s="414">
        <f t="shared" si="187"/>
        <v>302189.3806193936</v>
      </c>
      <c r="CR86" s="414">
        <f t="shared" si="188"/>
        <v>327357.97670772596</v>
      </c>
      <c r="CS86" s="416">
        <f t="shared" si="189"/>
        <v>1325246.2649679095</v>
      </c>
    </row>
    <row r="87" spans="1:131" ht="15.75" customHeight="1">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t="s">
        <v>1315</v>
      </c>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t="s">
        <v>1315</v>
      </c>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t="s">
        <v>1315</v>
      </c>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t="s">
        <v>1315</v>
      </c>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131" s="14" customFormat="1" ht="15.75" customHeight="1">
      <c r="A88" s="16" t="s">
        <v>266</v>
      </c>
      <c r="B88" s="300">
        <v>59</v>
      </c>
      <c r="C88" s="216">
        <f t="shared" ref="C88:U88" si="190">SUM(C76:C86)</f>
        <v>4443.6599432019784</v>
      </c>
      <c r="D88" s="216">
        <f t="shared" si="190"/>
        <v>15414.135265591012</v>
      </c>
      <c r="E88" s="216">
        <f t="shared" si="190"/>
        <v>4869.8586122221541</v>
      </c>
      <c r="F88" s="216">
        <f t="shared" si="190"/>
        <v>18639.581862709754</v>
      </c>
      <c r="G88" s="216">
        <f t="shared" si="190"/>
        <v>5014.8621078063488</v>
      </c>
      <c r="H88" s="216">
        <f t="shared" si="190"/>
        <v>20792.885260307899</v>
      </c>
      <c r="I88" s="216">
        <f t="shared" si="190"/>
        <v>5834.0174603814257</v>
      </c>
      <c r="J88" s="216">
        <f t="shared" si="190"/>
        <v>22378.165287125525</v>
      </c>
      <c r="K88" s="221">
        <f t="shared" si="190"/>
        <v>97387.165799346098</v>
      </c>
      <c r="L88" s="218">
        <f t="shared" si="190"/>
        <v>0</v>
      </c>
      <c r="M88" s="216">
        <f t="shared" si="190"/>
        <v>41455.171706753797</v>
      </c>
      <c r="N88" s="216">
        <f t="shared" si="190"/>
        <v>0</v>
      </c>
      <c r="O88" s="216">
        <f t="shared" si="190"/>
        <v>49353.608597173486</v>
      </c>
      <c r="P88" s="216">
        <f t="shared" si="190"/>
        <v>0</v>
      </c>
      <c r="Q88" s="216">
        <f t="shared" si="190"/>
        <v>50782.557237515663</v>
      </c>
      <c r="R88" s="216">
        <f t="shared" si="190"/>
        <v>0</v>
      </c>
      <c r="S88" s="216">
        <f t="shared" si="190"/>
        <v>54088.473120118826</v>
      </c>
      <c r="T88" s="219">
        <f t="shared" si="190"/>
        <v>195679.81066156179</v>
      </c>
      <c r="U88" s="220">
        <f t="shared" si="190"/>
        <v>293066.9764609079</v>
      </c>
      <c r="V88" s="300">
        <v>59</v>
      </c>
      <c r="W88" s="216">
        <f t="shared" ref="W88:AO88" si="191">SUM(W76:W86)</f>
        <v>1144.7104911118993</v>
      </c>
      <c r="X88" s="216">
        <f t="shared" si="191"/>
        <v>10457.999507150707</v>
      </c>
      <c r="Y88" s="216">
        <f t="shared" si="191"/>
        <v>1018.8856330163549</v>
      </c>
      <c r="Z88" s="216">
        <f t="shared" si="191"/>
        <v>10628.75242785302</v>
      </c>
      <c r="AA88" s="216">
        <f t="shared" si="191"/>
        <v>2393.0387830839622</v>
      </c>
      <c r="AB88" s="216">
        <f t="shared" si="191"/>
        <v>9025.0923838965391</v>
      </c>
      <c r="AC88" s="216">
        <f t="shared" si="191"/>
        <v>2427.7923689365393</v>
      </c>
      <c r="AD88" s="216">
        <f t="shared" si="191"/>
        <v>9572.3510282011866</v>
      </c>
      <c r="AE88" s="221">
        <f t="shared" si="191"/>
        <v>46668.622623250209</v>
      </c>
      <c r="AF88" s="218">
        <f t="shared" si="191"/>
        <v>0</v>
      </c>
      <c r="AG88" s="216">
        <f t="shared" si="191"/>
        <v>16903.599776211664</v>
      </c>
      <c r="AH88" s="216">
        <f t="shared" si="191"/>
        <v>0</v>
      </c>
      <c r="AI88" s="216">
        <f t="shared" si="191"/>
        <v>15254.291095510955</v>
      </c>
      <c r="AJ88" s="216">
        <f t="shared" si="191"/>
        <v>0</v>
      </c>
      <c r="AK88" s="216">
        <f t="shared" si="191"/>
        <v>12736.886260305795</v>
      </c>
      <c r="AL88" s="216">
        <f t="shared" si="191"/>
        <v>0</v>
      </c>
      <c r="AM88" s="216">
        <f t="shared" si="191"/>
        <v>13758.82026270029</v>
      </c>
      <c r="AN88" s="219">
        <f t="shared" si="191"/>
        <v>58653.597394728698</v>
      </c>
      <c r="AO88" s="220">
        <f t="shared" si="191"/>
        <v>105322.22001797891</v>
      </c>
      <c r="AP88" s="300">
        <v>59</v>
      </c>
      <c r="AQ88" s="216">
        <f t="shared" ref="AQ88:BI88" si="192">SUM(AQ76:AQ86)</f>
        <v>131618.47130454477</v>
      </c>
      <c r="AR88" s="216">
        <f t="shared" si="192"/>
        <v>284122.49974619551</v>
      </c>
      <c r="AS88" s="216">
        <f t="shared" si="192"/>
        <v>158260.32432362757</v>
      </c>
      <c r="AT88" s="216">
        <f t="shared" si="192"/>
        <v>338349.04808577243</v>
      </c>
      <c r="AU88" s="216">
        <f t="shared" si="192"/>
        <v>165850.1056902812</v>
      </c>
      <c r="AV88" s="216">
        <f t="shared" si="192"/>
        <v>371569.31126376055</v>
      </c>
      <c r="AW88" s="216">
        <f t="shared" si="192"/>
        <v>241537.78834053685</v>
      </c>
      <c r="AX88" s="216">
        <f t="shared" si="192"/>
        <v>414884.24261369393</v>
      </c>
      <c r="AY88" s="221">
        <f t="shared" si="192"/>
        <v>2106191.7913684128</v>
      </c>
      <c r="AZ88" s="218">
        <f t="shared" si="192"/>
        <v>0</v>
      </c>
      <c r="BA88" s="216">
        <f t="shared" si="192"/>
        <v>242510.1068410335</v>
      </c>
      <c r="BB88" s="216">
        <f t="shared" si="192"/>
        <v>0</v>
      </c>
      <c r="BC88" s="216">
        <f t="shared" si="192"/>
        <v>248517.69638345781</v>
      </c>
      <c r="BD88" s="216">
        <f t="shared" si="192"/>
        <v>0</v>
      </c>
      <c r="BE88" s="216">
        <f t="shared" si="192"/>
        <v>283828.57354875101</v>
      </c>
      <c r="BF88" s="216">
        <f t="shared" si="192"/>
        <v>0</v>
      </c>
      <c r="BG88" s="216">
        <f t="shared" si="192"/>
        <v>303145.81499535817</v>
      </c>
      <c r="BH88" s="219">
        <f t="shared" si="192"/>
        <v>1078002.1917686004</v>
      </c>
      <c r="BI88" s="220">
        <f t="shared" si="192"/>
        <v>3184193.9831370134</v>
      </c>
      <c r="BJ88" s="300">
        <v>59</v>
      </c>
      <c r="BK88" s="216">
        <f t="shared" ref="BK88:CC88" si="193">SUM(BK76:BK86)</f>
        <v>5423.2686034317649</v>
      </c>
      <c r="BL88" s="216">
        <f t="shared" si="193"/>
        <v>41965.317073918806</v>
      </c>
      <c r="BM88" s="216">
        <f t="shared" si="193"/>
        <v>6052.1912016294737</v>
      </c>
      <c r="BN88" s="216">
        <f t="shared" si="193"/>
        <v>35644.47000291443</v>
      </c>
      <c r="BO88" s="216">
        <f t="shared" si="193"/>
        <v>6148.0470469701022</v>
      </c>
      <c r="BP88" s="216">
        <f t="shared" si="193"/>
        <v>32436.104115545382</v>
      </c>
      <c r="BQ88" s="216">
        <f t="shared" si="193"/>
        <v>4028.7475109148818</v>
      </c>
      <c r="BR88" s="216">
        <f t="shared" si="193"/>
        <v>26385.354239096501</v>
      </c>
      <c r="BS88" s="221">
        <f t="shared" si="193"/>
        <v>158083.49979442137</v>
      </c>
      <c r="BT88" s="218">
        <f t="shared" si="193"/>
        <v>0</v>
      </c>
      <c r="BU88" s="216">
        <f t="shared" si="193"/>
        <v>17088.928169294635</v>
      </c>
      <c r="BV88" s="216">
        <f t="shared" si="193"/>
        <v>0</v>
      </c>
      <c r="BW88" s="216">
        <f t="shared" si="193"/>
        <v>17187.601063400478</v>
      </c>
      <c r="BX88" s="216">
        <f t="shared" si="193"/>
        <v>0</v>
      </c>
      <c r="BY88" s="216">
        <f t="shared" si="193"/>
        <v>15222.847679192319</v>
      </c>
      <c r="BZ88" s="216">
        <f t="shared" si="193"/>
        <v>0</v>
      </c>
      <c r="CA88" s="216">
        <f t="shared" si="193"/>
        <v>12864.368889922052</v>
      </c>
      <c r="CB88" s="219">
        <f t="shared" si="193"/>
        <v>62363.745801809484</v>
      </c>
      <c r="CC88" s="220">
        <f t="shared" si="193"/>
        <v>220447.24559623084</v>
      </c>
      <c r="CD88" s="300">
        <v>59</v>
      </c>
      <c r="CE88" s="219">
        <f t="shared" ref="CE88:CH88" si="194">SUM(CE76:CE86)</f>
        <v>494590.06193514646</v>
      </c>
      <c r="CF88" s="219">
        <f t="shared" si="194"/>
        <v>573463.11214974523</v>
      </c>
      <c r="CG88" s="219">
        <f t="shared" si="194"/>
        <v>613229.44665165199</v>
      </c>
      <c r="CH88" s="219">
        <f t="shared" si="194"/>
        <v>727048.45884888689</v>
      </c>
      <c r="CI88" s="216">
        <f>SUM(CI76:CI86)</f>
        <v>2408331.0795854307</v>
      </c>
      <c r="CJ88" s="219">
        <f t="shared" ref="CJ88:CM88" si="195">SUM(CJ76:CJ86)</f>
        <v>317957.80649329355</v>
      </c>
      <c r="CK88" s="219">
        <f t="shared" si="195"/>
        <v>330313.19713954267</v>
      </c>
      <c r="CL88" s="219">
        <f t="shared" si="195"/>
        <v>362570.86472576472</v>
      </c>
      <c r="CM88" s="219">
        <f t="shared" si="195"/>
        <v>383857.47726809938</v>
      </c>
      <c r="CN88" s="216">
        <f>SUM(CN76:CN86)</f>
        <v>1394699.3456267004</v>
      </c>
      <c r="CO88" s="219">
        <f t="shared" ref="CO88:CR88" si="196">SUM(CO76:CO86)</f>
        <v>812547.86842844007</v>
      </c>
      <c r="CP88" s="219">
        <f t="shared" si="196"/>
        <v>903776.30928928789</v>
      </c>
      <c r="CQ88" s="219">
        <f t="shared" si="196"/>
        <v>975800.3113774166</v>
      </c>
      <c r="CR88" s="219">
        <f t="shared" si="196"/>
        <v>1110905.9361169862</v>
      </c>
      <c r="CS88" s="216">
        <f>SUM(CS76:CS86)</f>
        <v>3803030.4252121313</v>
      </c>
      <c r="CT88" s="318"/>
      <c r="CU88" s="318"/>
      <c r="CV88" s="318"/>
      <c r="CW88" s="318"/>
      <c r="CX88" s="318"/>
      <c r="CY88" s="318"/>
      <c r="CZ88" s="318"/>
      <c r="DA88" s="318"/>
      <c r="DB88" s="318"/>
      <c r="DC88" s="318"/>
      <c r="DD88" s="318"/>
      <c r="DE88" s="318"/>
      <c r="DF88" s="318"/>
      <c r="DG88" s="318"/>
      <c r="DH88" s="318"/>
      <c r="DI88" s="318"/>
      <c r="DJ88" s="318"/>
      <c r="DK88" s="318"/>
      <c r="DL88" s="318"/>
      <c r="DM88" s="318"/>
      <c r="DN88" s="318"/>
      <c r="DO88" s="318"/>
      <c r="DP88" s="318"/>
      <c r="DQ88" s="318"/>
      <c r="DR88" s="318"/>
      <c r="DS88" s="318"/>
      <c r="DT88" s="318"/>
      <c r="DU88" s="318"/>
      <c r="DV88" s="318"/>
      <c r="DW88" s="318"/>
      <c r="DX88" s="318"/>
      <c r="DY88" s="318"/>
      <c r="DZ88" s="318"/>
      <c r="EA88" s="318"/>
    </row>
    <row r="89" spans="1:131" ht="15.75" customHeight="1">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t="s">
        <v>1315</v>
      </c>
      <c r="U89" s="422"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t="s">
        <v>1315</v>
      </c>
      <c r="AO89" s="422"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t="s">
        <v>1315</v>
      </c>
      <c r="BI89" s="422"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t="s">
        <v>1315</v>
      </c>
      <c r="CC89" s="422" t="s">
        <v>1315</v>
      </c>
      <c r="CD89" s="300"/>
      <c r="CE89" s="380" t="s">
        <v>1315</v>
      </c>
      <c r="CF89" s="380"/>
      <c r="CG89" s="380"/>
      <c r="CH89" s="380"/>
      <c r="CI89" s="187"/>
      <c r="CJ89" s="380" t="s">
        <v>1315</v>
      </c>
      <c r="CK89" s="380"/>
      <c r="CL89" s="380"/>
      <c r="CM89" s="380"/>
      <c r="CN89" s="187"/>
      <c r="CO89" s="380" t="s">
        <v>1315</v>
      </c>
      <c r="CP89" s="380"/>
      <c r="CQ89" s="380"/>
      <c r="CR89" s="380"/>
      <c r="CS89" s="187"/>
    </row>
    <row r="90" spans="1:131" s="14" customFormat="1" ht="15.75" customHeight="1">
      <c r="A90" s="16" t="s">
        <v>268</v>
      </c>
      <c r="B90" s="300">
        <v>60</v>
      </c>
      <c r="C90" s="216">
        <f t="shared" ref="C90:U90" si="197">C88+C66+C73-C70</f>
        <v>39247.847351777986</v>
      </c>
      <c r="D90" s="216">
        <f t="shared" si="197"/>
        <v>251769.30454128384</v>
      </c>
      <c r="E90" s="216">
        <f t="shared" si="197"/>
        <v>258613.09512395758</v>
      </c>
      <c r="F90" s="216">
        <f t="shared" si="197"/>
        <v>431190.14238294621</v>
      </c>
      <c r="G90" s="216">
        <f t="shared" si="197"/>
        <v>174198.08130828568</v>
      </c>
      <c r="H90" s="216">
        <f t="shared" si="197"/>
        <v>422763.10497194459</v>
      </c>
      <c r="I90" s="216">
        <f t="shared" si="197"/>
        <v>145626.31749310563</v>
      </c>
      <c r="J90" s="216">
        <f t="shared" si="197"/>
        <v>267826.76769350347</v>
      </c>
      <c r="K90" s="221">
        <f t="shared" si="197"/>
        <v>1991234.6608668051</v>
      </c>
      <c r="L90" s="218">
        <f t="shared" si="197"/>
        <v>0</v>
      </c>
      <c r="M90" s="216">
        <f t="shared" si="197"/>
        <v>391282.01676979958</v>
      </c>
      <c r="N90" s="216">
        <f t="shared" si="197"/>
        <v>0</v>
      </c>
      <c r="O90" s="216">
        <f t="shared" si="197"/>
        <v>766153.03078756074</v>
      </c>
      <c r="P90" s="216">
        <f t="shared" si="197"/>
        <v>0</v>
      </c>
      <c r="Q90" s="216">
        <f t="shared" si="197"/>
        <v>819455.6724968144</v>
      </c>
      <c r="R90" s="216">
        <f t="shared" si="197"/>
        <v>0</v>
      </c>
      <c r="S90" s="216">
        <f t="shared" si="197"/>
        <v>761075.6067374472</v>
      </c>
      <c r="T90" s="219">
        <f t="shared" si="197"/>
        <v>2737966.3267916213</v>
      </c>
      <c r="U90" s="220">
        <f t="shared" si="197"/>
        <v>4729200.9876584262</v>
      </c>
      <c r="V90" s="300">
        <v>60</v>
      </c>
      <c r="W90" s="216">
        <f t="shared" ref="W90:AO90" si="198">W88+W66+W73-W70</f>
        <v>8005.6007745657698</v>
      </c>
      <c r="X90" s="216">
        <f t="shared" si="198"/>
        <v>76585.716312434364</v>
      </c>
      <c r="Y90" s="216">
        <f t="shared" si="198"/>
        <v>8233.9147709767876</v>
      </c>
      <c r="Z90" s="216">
        <f t="shared" si="198"/>
        <v>52426.196884922174</v>
      </c>
      <c r="AA90" s="216">
        <f t="shared" si="198"/>
        <v>23797.80408993634</v>
      </c>
      <c r="AB90" s="216">
        <f t="shared" si="198"/>
        <v>46590.071139604523</v>
      </c>
      <c r="AC90" s="216">
        <f t="shared" si="198"/>
        <v>10020.740030923518</v>
      </c>
      <c r="AD90" s="216">
        <f t="shared" si="198"/>
        <v>42552.407628594847</v>
      </c>
      <c r="AE90" s="221">
        <f t="shared" si="198"/>
        <v>268212.45163195836</v>
      </c>
      <c r="AF90" s="218">
        <f t="shared" si="198"/>
        <v>0</v>
      </c>
      <c r="AG90" s="216">
        <f t="shared" si="198"/>
        <v>213279.35122458069</v>
      </c>
      <c r="AH90" s="216">
        <f t="shared" si="198"/>
        <v>0</v>
      </c>
      <c r="AI90" s="216">
        <f t="shared" si="198"/>
        <v>141707.7966846966</v>
      </c>
      <c r="AJ90" s="216">
        <f t="shared" si="198"/>
        <v>0</v>
      </c>
      <c r="AK90" s="216">
        <f t="shared" si="198"/>
        <v>98224.191135748173</v>
      </c>
      <c r="AL90" s="216">
        <f t="shared" si="198"/>
        <v>0</v>
      </c>
      <c r="AM90" s="216">
        <f t="shared" si="198"/>
        <v>110768.9691375734</v>
      </c>
      <c r="AN90" s="219">
        <f t="shared" si="198"/>
        <v>563980.30818259902</v>
      </c>
      <c r="AO90" s="220">
        <f t="shared" si="198"/>
        <v>832192.75981455727</v>
      </c>
      <c r="AP90" s="300">
        <v>60</v>
      </c>
      <c r="AQ90" s="216">
        <f t="shared" ref="AQ90:BI90" si="199">AQ88+AQ66+AQ73-AQ70</f>
        <v>1382164.9367531121</v>
      </c>
      <c r="AR90" s="216">
        <f t="shared" si="199"/>
        <v>3027812.2120027575</v>
      </c>
      <c r="AS90" s="216">
        <f t="shared" si="199"/>
        <v>1311798.4227898868</v>
      </c>
      <c r="AT90" s="216">
        <f t="shared" si="199"/>
        <v>2987464.6958719748</v>
      </c>
      <c r="AU90" s="216">
        <f t="shared" si="199"/>
        <v>1599397.021361938</v>
      </c>
      <c r="AV90" s="216">
        <f t="shared" si="199"/>
        <v>3324549.5861361567</v>
      </c>
      <c r="AW90" s="216">
        <f t="shared" si="199"/>
        <v>2017345.8489338604</v>
      </c>
      <c r="AX90" s="216">
        <f t="shared" si="199"/>
        <v>3716163.0091171572</v>
      </c>
      <c r="AY90" s="221">
        <f t="shared" si="199"/>
        <v>19366695.73296684</v>
      </c>
      <c r="AZ90" s="218">
        <f t="shared" si="199"/>
        <v>0</v>
      </c>
      <c r="BA90" s="216">
        <f t="shared" si="199"/>
        <v>2723327.1806264771</v>
      </c>
      <c r="BB90" s="216">
        <f t="shared" si="199"/>
        <v>0</v>
      </c>
      <c r="BC90" s="216">
        <f t="shared" si="199"/>
        <v>2725804.5720660845</v>
      </c>
      <c r="BD90" s="216">
        <f t="shared" si="199"/>
        <v>0</v>
      </c>
      <c r="BE90" s="216">
        <f t="shared" si="199"/>
        <v>3047050.8253511116</v>
      </c>
      <c r="BF90" s="216">
        <f t="shared" si="199"/>
        <v>0</v>
      </c>
      <c r="BG90" s="216">
        <f t="shared" si="199"/>
        <v>3368892.4843473942</v>
      </c>
      <c r="BH90" s="219">
        <f t="shared" si="199"/>
        <v>11865075.062391067</v>
      </c>
      <c r="BI90" s="220">
        <f t="shared" si="199"/>
        <v>31231770.795357909</v>
      </c>
      <c r="BJ90" s="300">
        <v>60</v>
      </c>
      <c r="BK90" s="216">
        <f t="shared" ref="BK90:CC90" si="200">BK88+BK66+BK73-BK70</f>
        <v>67437.829767905205</v>
      </c>
      <c r="BL90" s="216">
        <f t="shared" si="200"/>
        <v>491785.41750227084</v>
      </c>
      <c r="BM90" s="216">
        <f t="shared" si="200"/>
        <v>61432.661525758936</v>
      </c>
      <c r="BN90" s="216">
        <f t="shared" si="200"/>
        <v>319389.40622974013</v>
      </c>
      <c r="BO90" s="216">
        <f t="shared" si="200"/>
        <v>58731.082754779061</v>
      </c>
      <c r="BP90" s="216">
        <f t="shared" si="200"/>
        <v>388694.88857074932</v>
      </c>
      <c r="BQ90" s="216">
        <f t="shared" si="200"/>
        <v>32483.96853641246</v>
      </c>
      <c r="BR90" s="216">
        <f t="shared" si="200"/>
        <v>387307.00878863886</v>
      </c>
      <c r="BS90" s="221">
        <f t="shared" si="200"/>
        <v>1807262.2636762548</v>
      </c>
      <c r="BT90" s="218">
        <f t="shared" si="200"/>
        <v>0</v>
      </c>
      <c r="BU90" s="216">
        <f t="shared" si="200"/>
        <v>132906.31289233459</v>
      </c>
      <c r="BV90" s="216">
        <f t="shared" si="200"/>
        <v>0</v>
      </c>
      <c r="BW90" s="216">
        <f t="shared" si="200"/>
        <v>215729.04695525763</v>
      </c>
      <c r="BX90" s="216">
        <f t="shared" si="200"/>
        <v>0</v>
      </c>
      <c r="BY90" s="216">
        <f t="shared" si="200"/>
        <v>153515.9277980607</v>
      </c>
      <c r="BZ90" s="216">
        <f t="shared" si="200"/>
        <v>0</v>
      </c>
      <c r="CA90" s="216">
        <f t="shared" si="200"/>
        <v>141465.29161645268</v>
      </c>
      <c r="CB90" s="219">
        <f t="shared" si="200"/>
        <v>643616.57926210563</v>
      </c>
      <c r="CC90" s="220">
        <f t="shared" si="200"/>
        <v>2450878.8429383598</v>
      </c>
      <c r="CD90" s="300">
        <v>60</v>
      </c>
      <c r="CE90" s="219">
        <f t="shared" ref="CE90:CS90" si="201">CE88+CE66+CE73-CE70</f>
        <v>5344808.8650061097</v>
      </c>
      <c r="CF90" s="219">
        <f t="shared" si="201"/>
        <v>5430548.5355801648</v>
      </c>
      <c r="CG90" s="219">
        <f t="shared" si="201"/>
        <v>6038721.6403333945</v>
      </c>
      <c r="CH90" s="219">
        <f t="shared" si="201"/>
        <v>6619326.0682221968</v>
      </c>
      <c r="CI90" s="216">
        <f t="shared" si="201"/>
        <v>23433405.109141856</v>
      </c>
      <c r="CJ90" s="219">
        <f t="shared" si="201"/>
        <v>3460794.8615131914</v>
      </c>
      <c r="CK90" s="219">
        <f t="shared" si="201"/>
        <v>3849394.4464935996</v>
      </c>
      <c r="CL90" s="219">
        <f t="shared" si="201"/>
        <v>4118246.6167817353</v>
      </c>
      <c r="CM90" s="219">
        <f t="shared" si="201"/>
        <v>4382202.3518388672</v>
      </c>
      <c r="CN90" s="216">
        <f t="shared" si="201"/>
        <v>1394699.3456267004</v>
      </c>
      <c r="CO90" s="219">
        <f t="shared" si="201"/>
        <v>8805603.7265192997</v>
      </c>
      <c r="CP90" s="219">
        <f t="shared" si="201"/>
        <v>9279942.9820737634</v>
      </c>
      <c r="CQ90" s="219">
        <f t="shared" si="201"/>
        <v>10156968.257115131</v>
      </c>
      <c r="CR90" s="219">
        <f t="shared" si="201"/>
        <v>11001528.420061065</v>
      </c>
      <c r="CS90" s="216">
        <f t="shared" si="201"/>
        <v>39244043.385769248</v>
      </c>
      <c r="CT90" s="318"/>
      <c r="CU90" s="318"/>
      <c r="CV90" s="318"/>
      <c r="CW90" s="318"/>
      <c r="CX90" s="318"/>
      <c r="CY90" s="318"/>
      <c r="CZ90" s="318"/>
      <c r="DA90" s="318"/>
      <c r="DB90" s="318"/>
      <c r="DC90" s="318"/>
      <c r="DD90" s="318"/>
      <c r="DE90" s="318"/>
      <c r="DF90" s="318"/>
      <c r="DG90" s="318"/>
      <c r="DH90" s="318"/>
      <c r="DI90" s="318"/>
      <c r="DJ90" s="318"/>
      <c r="DK90" s="318"/>
      <c r="DL90" s="318"/>
      <c r="DM90" s="318"/>
      <c r="DN90" s="318"/>
      <c r="DO90" s="318"/>
      <c r="DP90" s="318"/>
      <c r="DQ90" s="318"/>
      <c r="DR90" s="318"/>
      <c r="DS90" s="318"/>
      <c r="DT90" s="318"/>
      <c r="DU90" s="318"/>
      <c r="DV90" s="318"/>
      <c r="DW90" s="318"/>
      <c r="DX90" s="318"/>
      <c r="DY90" s="318"/>
      <c r="DZ90" s="318"/>
      <c r="EA90" s="318"/>
    </row>
    <row r="91" spans="1:131" ht="15.75" customHeight="1">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t="s">
        <v>1315</v>
      </c>
      <c r="U91" s="422"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422"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422"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422" t="s">
        <v>1315</v>
      </c>
      <c r="CD91" s="300"/>
      <c r="CE91" s="380" t="s">
        <v>1315</v>
      </c>
      <c r="CF91" s="380"/>
      <c r="CG91" s="380"/>
      <c r="CH91" s="380"/>
      <c r="CI91" s="187"/>
      <c r="CJ91" s="380" t="s">
        <v>1315</v>
      </c>
      <c r="CK91" s="380"/>
      <c r="CL91" s="380"/>
      <c r="CM91" s="380"/>
      <c r="CN91" s="187"/>
      <c r="CO91" s="380" t="s">
        <v>1315</v>
      </c>
      <c r="CP91" s="380"/>
      <c r="CQ91" s="380"/>
      <c r="CR91" s="380"/>
      <c r="CS91" s="187"/>
    </row>
    <row r="92" spans="1:131" s="14" customFormat="1" ht="15.75" customHeight="1">
      <c r="A92" s="16" t="s">
        <v>270</v>
      </c>
      <c r="B92" s="300">
        <v>61</v>
      </c>
      <c r="C92" s="216">
        <f t="shared" ref="C92:J92" si="202">C32-C90</f>
        <v>9864.4126482220163</v>
      </c>
      <c r="D92" s="216">
        <f t="shared" si="202"/>
        <v>-81409.05454128384</v>
      </c>
      <c r="E92" s="216">
        <f t="shared" si="202"/>
        <v>-211306.04512395756</v>
      </c>
      <c r="F92" s="216">
        <f t="shared" si="202"/>
        <v>-246589.27238294622</v>
      </c>
      <c r="G92" s="216">
        <f t="shared" si="202"/>
        <v>-123735.47130828568</v>
      </c>
      <c r="H92" s="216">
        <f t="shared" si="202"/>
        <v>-213532.37497194359</v>
      </c>
      <c r="I92" s="216">
        <f t="shared" si="202"/>
        <v>-88222.517493105624</v>
      </c>
      <c r="J92" s="216">
        <f t="shared" si="202"/>
        <v>-45867.447693502472</v>
      </c>
      <c r="K92" s="221">
        <f>SUM(C92:J92)</f>
        <v>-1000797.7708668029</v>
      </c>
      <c r="L92" s="218">
        <f t="shared" ref="L92:U92" si="203">L32-L90</f>
        <v>0</v>
      </c>
      <c r="M92" s="216">
        <f t="shared" si="203"/>
        <v>138664.71908899391</v>
      </c>
      <c r="N92" s="216">
        <f t="shared" si="203"/>
        <v>0</v>
      </c>
      <c r="O92" s="216">
        <f t="shared" si="203"/>
        <v>-221792.73932432593</v>
      </c>
      <c r="P92" s="216">
        <f t="shared" si="203"/>
        <v>0</v>
      </c>
      <c r="Q92" s="216">
        <f t="shared" si="203"/>
        <v>-234918.33634800743</v>
      </c>
      <c r="R92" s="216">
        <f t="shared" si="203"/>
        <v>0</v>
      </c>
      <c r="S92" s="216">
        <f t="shared" si="203"/>
        <v>-132295.46665581141</v>
      </c>
      <c r="T92" s="219">
        <f t="shared" si="203"/>
        <v>-450341.82323915046</v>
      </c>
      <c r="U92" s="220">
        <f t="shared" si="203"/>
        <v>-1451139.5941059534</v>
      </c>
      <c r="V92" s="300">
        <v>61</v>
      </c>
      <c r="W92" s="216">
        <f t="shared" ref="W92:AD92" si="204">W32-W90</f>
        <v>4645.9792254342301</v>
      </c>
      <c r="X92" s="216">
        <f t="shared" si="204"/>
        <v>38998.283687565636</v>
      </c>
      <c r="Y92" s="216">
        <f t="shared" si="204"/>
        <v>1856.8252290232122</v>
      </c>
      <c r="Z92" s="216">
        <f t="shared" si="204"/>
        <v>52837.803115077826</v>
      </c>
      <c r="AA92" s="216">
        <f t="shared" si="204"/>
        <v>282.4159100636607</v>
      </c>
      <c r="AB92" s="216">
        <f t="shared" si="204"/>
        <v>44225.928860395477</v>
      </c>
      <c r="AC92" s="216">
        <f t="shared" si="204"/>
        <v>14059.479969076483</v>
      </c>
      <c r="AD92" s="216">
        <f t="shared" si="204"/>
        <v>52391.592371405153</v>
      </c>
      <c r="AE92" s="221">
        <f>SUM(W92:AD92)</f>
        <v>209298.3083680417</v>
      </c>
      <c r="AF92" s="218">
        <f t="shared" ref="AF92:AM92" si="205">AF32-AF90</f>
        <v>0</v>
      </c>
      <c r="AG92" s="216">
        <f t="shared" si="205"/>
        <v>326.60922527956427</v>
      </c>
      <c r="AH92" s="216">
        <f t="shared" si="205"/>
        <v>0</v>
      </c>
      <c r="AI92" s="216">
        <f t="shared" si="205"/>
        <v>39940.410115543171</v>
      </c>
      <c r="AJ92" s="216">
        <f t="shared" si="205"/>
        <v>0</v>
      </c>
      <c r="AK92" s="216">
        <f t="shared" si="205"/>
        <v>75433.819262546691</v>
      </c>
      <c r="AL92" s="216">
        <f t="shared" si="205"/>
        <v>0</v>
      </c>
      <c r="AM92" s="216">
        <f t="shared" si="205"/>
        <v>60199.080155718242</v>
      </c>
      <c r="AN92" s="219">
        <f>SUM(AF92:AM92)</f>
        <v>175899.91875908768</v>
      </c>
      <c r="AO92" s="220">
        <f>AO32-AO90</f>
        <v>385198.22712712933</v>
      </c>
      <c r="AP92" s="300">
        <v>61</v>
      </c>
      <c r="AQ92" s="216">
        <f t="shared" ref="AQ92:AX92" si="206">AQ32-AQ90</f>
        <v>72509.963246887783</v>
      </c>
      <c r="AR92" s="216">
        <f t="shared" si="206"/>
        <v>112369.1379972822</v>
      </c>
      <c r="AS92" s="216">
        <f t="shared" si="206"/>
        <v>255564.71721011307</v>
      </c>
      <c r="AT92" s="216">
        <f t="shared" si="206"/>
        <v>363443.55412807502</v>
      </c>
      <c r="AU92" s="216">
        <f t="shared" si="206"/>
        <v>66766.0986380619</v>
      </c>
      <c r="AV92" s="216">
        <f t="shared" si="206"/>
        <v>414408.10386376362</v>
      </c>
      <c r="AW92" s="216">
        <f t="shared" si="206"/>
        <v>-196951.51893386035</v>
      </c>
      <c r="AX92" s="216">
        <f t="shared" si="206"/>
        <v>398893.93088275241</v>
      </c>
      <c r="AY92" s="221">
        <f>SUM(AQ92:AX92)</f>
        <v>1487003.9870330757</v>
      </c>
      <c r="AZ92" s="218">
        <f t="shared" ref="AZ92:BG92" si="207">AZ32-AZ90</f>
        <v>0</v>
      </c>
      <c r="BA92" s="216">
        <f t="shared" si="207"/>
        <v>614773.09826919856</v>
      </c>
      <c r="BB92" s="216">
        <f t="shared" si="207"/>
        <v>0</v>
      </c>
      <c r="BC92" s="216">
        <f t="shared" si="207"/>
        <v>400866.45762087684</v>
      </c>
      <c r="BD92" s="216">
        <f t="shared" si="207"/>
        <v>0</v>
      </c>
      <c r="BE92" s="216">
        <f t="shared" si="207"/>
        <v>447099.33629160421</v>
      </c>
      <c r="BF92" s="216">
        <f t="shared" si="207"/>
        <v>0</v>
      </c>
      <c r="BG92" s="216">
        <f t="shared" si="207"/>
        <v>296581.34524251614</v>
      </c>
      <c r="BH92" s="219">
        <f>SUM(AZ92:BG92)</f>
        <v>1759320.2374241957</v>
      </c>
      <c r="BI92" s="220">
        <f>BI32-BI90</f>
        <v>3246324.2244572751</v>
      </c>
      <c r="BJ92" s="300">
        <v>61</v>
      </c>
      <c r="BK92" s="216">
        <f t="shared" ref="BK92:BR92" si="208">BK32-BK90</f>
        <v>-2892.7894040690371</v>
      </c>
      <c r="BL92" s="216">
        <f t="shared" si="208"/>
        <v>7664.8739148417953</v>
      </c>
      <c r="BM92" s="216">
        <f t="shared" si="208"/>
        <v>3290.9062052422232</v>
      </c>
      <c r="BN92" s="216">
        <f t="shared" si="208"/>
        <v>61801.007557605393</v>
      </c>
      <c r="BO92" s="216">
        <f t="shared" si="208"/>
        <v>17101.410333955784</v>
      </c>
      <c r="BP92" s="216">
        <f t="shared" si="208"/>
        <v>-35671.15196648374</v>
      </c>
      <c r="BQ92" s="216">
        <f t="shared" si="208"/>
        <v>33307.865421438168</v>
      </c>
      <c r="BR92" s="216">
        <f t="shared" si="208"/>
        <v>-40333.089330472285</v>
      </c>
      <c r="BS92" s="221">
        <f>SUM(BK92:BR92)</f>
        <v>44269.032732058302</v>
      </c>
      <c r="BT92" s="218">
        <f t="shared" ref="BT92:CA92" si="209">BT32-BT90</f>
        <v>0</v>
      </c>
      <c r="BU92" s="216">
        <f t="shared" si="209"/>
        <v>81307.155172264989</v>
      </c>
      <c r="BV92" s="216">
        <f t="shared" si="209"/>
        <v>0</v>
      </c>
      <c r="BW92" s="216">
        <f t="shared" si="209"/>
        <v>-23544.213477830752</v>
      </c>
      <c r="BX92" s="216">
        <f t="shared" si="209"/>
        <v>0</v>
      </c>
      <c r="BY92" s="216">
        <f t="shared" si="209"/>
        <v>23019.936964784982</v>
      </c>
      <c r="BZ92" s="216">
        <f t="shared" si="209"/>
        <v>0</v>
      </c>
      <c r="CA92" s="216">
        <f t="shared" si="209"/>
        <v>11025.204510262934</v>
      </c>
      <c r="CB92" s="219">
        <f>SUM(BT92:CA92)</f>
        <v>91808.083169482154</v>
      </c>
      <c r="CC92" s="220">
        <f>CC32-CC90</f>
        <v>136077.1159015405</v>
      </c>
      <c r="CD92" s="300">
        <v>61</v>
      </c>
      <c r="CE92" s="219">
        <f t="shared" ref="CE92:CS92" si="210">CE32-CE90</f>
        <v>161750.80677487701</v>
      </c>
      <c r="CF92" s="219">
        <f t="shared" si="210"/>
        <v>280899.49593823031</v>
      </c>
      <c r="CG92" s="219">
        <f t="shared" si="210"/>
        <v>169844.95935952663</v>
      </c>
      <c r="CH92" s="219">
        <f t="shared" si="210"/>
        <v>127278.29519372992</v>
      </c>
      <c r="CI92" s="216">
        <f t="shared" si="210"/>
        <v>739773.55726637691</v>
      </c>
      <c r="CJ92" s="219">
        <f t="shared" si="210"/>
        <v>835071.58175573731</v>
      </c>
      <c r="CK92" s="219">
        <f t="shared" si="210"/>
        <v>195469.91493426263</v>
      </c>
      <c r="CL92" s="219">
        <f t="shared" si="210"/>
        <v>310634.75617092801</v>
      </c>
      <c r="CM92" s="219">
        <f t="shared" si="210"/>
        <v>235510.16325268615</v>
      </c>
      <c r="CN92" s="216">
        <f t="shared" si="210"/>
        <v>-1394699.3456267004</v>
      </c>
      <c r="CO92" s="219">
        <f t="shared" si="210"/>
        <v>996822.38853061944</v>
      </c>
      <c r="CP92" s="219">
        <f t="shared" si="210"/>
        <v>476369.41087249666</v>
      </c>
      <c r="CQ92" s="219">
        <f t="shared" si="210"/>
        <v>480479.71553045325</v>
      </c>
      <c r="CR92" s="219">
        <f t="shared" si="210"/>
        <v>362788.45844641887</v>
      </c>
      <c r="CS92" s="216">
        <f t="shared" si="210"/>
        <v>2316459.9733799994</v>
      </c>
      <c r="CT92" s="318"/>
      <c r="CU92" s="318"/>
      <c r="CV92" s="318"/>
      <c r="CW92" s="318"/>
      <c r="CX92" s="318"/>
      <c r="CY92" s="318"/>
      <c r="CZ92" s="318"/>
      <c r="DA92" s="318"/>
      <c r="DB92" s="318"/>
      <c r="DC92" s="318"/>
      <c r="DD92" s="318"/>
      <c r="DE92" s="318"/>
      <c r="DF92" s="318"/>
      <c r="DG92" s="318"/>
      <c r="DH92" s="318"/>
      <c r="DI92" s="318"/>
      <c r="DJ92" s="318"/>
      <c r="DK92" s="318"/>
      <c r="DL92" s="318"/>
      <c r="DM92" s="318"/>
      <c r="DN92" s="318"/>
      <c r="DO92" s="318"/>
      <c r="DP92" s="318"/>
      <c r="DQ92" s="318"/>
      <c r="DR92" s="318"/>
      <c r="DS92" s="318"/>
      <c r="DT92" s="318"/>
      <c r="DU92" s="318"/>
      <c r="DV92" s="318"/>
      <c r="DW92" s="318"/>
      <c r="DX92" s="318"/>
      <c r="DY92" s="318"/>
      <c r="DZ92" s="318"/>
      <c r="EA92" s="318"/>
    </row>
    <row r="93" spans="1:131" ht="15.75" customHeight="1">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t="s">
        <v>1320</v>
      </c>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t="s">
        <v>1320</v>
      </c>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t="s">
        <v>1320</v>
      </c>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t="s">
        <v>1320</v>
      </c>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131" ht="15.75" customHeight="1">
      <c r="A94" s="135" t="s">
        <v>272</v>
      </c>
      <c r="B94" s="300">
        <v>62</v>
      </c>
      <c r="C94" s="387">
        <f t="shared" ref="C94:U94" si="211">IF((C32-C28)=0,"",C92/(C32-C28))</f>
        <v>0.20085438235222766</v>
      </c>
      <c r="D94" s="387">
        <f t="shared" si="211"/>
        <v>-0.47786414108504677</v>
      </c>
      <c r="E94" s="387">
        <f t="shared" si="211"/>
        <v>-4.4666924934858026</v>
      </c>
      <c r="F94" s="387">
        <f t="shared" si="211"/>
        <v>-1.3357969135407988</v>
      </c>
      <c r="G94" s="387">
        <f t="shared" si="211"/>
        <v>-2.4520228206247294</v>
      </c>
      <c r="H94" s="387">
        <f t="shared" si="211"/>
        <v>-1.0205593364413659</v>
      </c>
      <c r="I94" s="387">
        <f t="shared" si="211"/>
        <v>-1.5368759122759403</v>
      </c>
      <c r="J94" s="387">
        <f t="shared" si="211"/>
        <v>-0.20664799159369504</v>
      </c>
      <c r="K94" s="388">
        <f t="shared" si="211"/>
        <v>-1.0104609197934871</v>
      </c>
      <c r="L94" s="389" t="str">
        <f t="shared" si="211"/>
        <v/>
      </c>
      <c r="M94" s="387">
        <f t="shared" si="211"/>
        <v>0.26165784164003553</v>
      </c>
      <c r="N94" s="387" t="str">
        <f t="shared" si="211"/>
        <v/>
      </c>
      <c r="O94" s="387">
        <f t="shared" si="211"/>
        <v>-0.40743739542086976</v>
      </c>
      <c r="P94" s="387" t="str">
        <f t="shared" si="211"/>
        <v/>
      </c>
      <c r="Q94" s="387">
        <f t="shared" si="211"/>
        <v>-0.40188764997588411</v>
      </c>
      <c r="R94" s="387" t="str">
        <f t="shared" si="211"/>
        <v/>
      </c>
      <c r="S94" s="387">
        <f t="shared" si="211"/>
        <v>-0.21040019908808702</v>
      </c>
      <c r="T94" s="390">
        <f t="shared" si="211"/>
        <v>-0.19686002774485539</v>
      </c>
      <c r="U94" s="389">
        <f t="shared" si="211"/>
        <v>-0.44268225023489771</v>
      </c>
      <c r="V94" s="300">
        <v>62</v>
      </c>
      <c r="W94" s="387">
        <f t="shared" ref="W94:AO94" si="212">IF((W32-W28)=0,"",W92/(W32-W28))</f>
        <v>0.36722521814937187</v>
      </c>
      <c r="X94" s="387">
        <f t="shared" si="212"/>
        <v>0.33740209447298619</v>
      </c>
      <c r="Y94" s="387">
        <f t="shared" si="212"/>
        <v>0.18401279083825489</v>
      </c>
      <c r="Z94" s="387">
        <f t="shared" si="212"/>
        <v>0.50195511395232773</v>
      </c>
      <c r="AA94" s="387">
        <f t="shared" si="212"/>
        <v>1.1728128317086002E-2</v>
      </c>
      <c r="AB94" s="387">
        <f t="shared" si="212"/>
        <v>0.48698388896665212</v>
      </c>
      <c r="AC94" s="387">
        <f t="shared" si="212"/>
        <v>0.58386011295064921</v>
      </c>
      <c r="AD94" s="387">
        <f t="shared" si="212"/>
        <v>0.55181572686431113</v>
      </c>
      <c r="AE94" s="388">
        <f t="shared" si="212"/>
        <v>0.43831118772704031</v>
      </c>
      <c r="AF94" s="389" t="str">
        <f t="shared" si="212"/>
        <v/>
      </c>
      <c r="AG94" s="387">
        <f t="shared" si="212"/>
        <v>1.5290267396645483E-3</v>
      </c>
      <c r="AH94" s="387" t="str">
        <f t="shared" si="212"/>
        <v/>
      </c>
      <c r="AI94" s="387">
        <f t="shared" si="212"/>
        <v>0.21987781117743713</v>
      </c>
      <c r="AJ94" s="387" t="str">
        <f t="shared" si="212"/>
        <v/>
      </c>
      <c r="AK94" s="387">
        <f t="shared" si="212"/>
        <v>0.43438145519193033</v>
      </c>
      <c r="AL94" s="387" t="str">
        <f t="shared" si="212"/>
        <v/>
      </c>
      <c r="AM94" s="387">
        <f t="shared" si="212"/>
        <v>0.35210719432405846</v>
      </c>
      <c r="AN94" s="390">
        <f t="shared" si="212"/>
        <v>0.23774107261410998</v>
      </c>
      <c r="AO94" s="389">
        <f t="shared" si="212"/>
        <v>0.31641291192307835</v>
      </c>
      <c r="AP94" s="300">
        <v>62</v>
      </c>
      <c r="AQ94" s="387">
        <f t="shared" ref="AQ94:BI94" si="213">IF((AQ32-AQ28)=0,"",AQ92/(AQ32-AQ28))</f>
        <v>4.9846163735201447E-2</v>
      </c>
      <c r="AR94" s="387">
        <f t="shared" si="213"/>
        <v>3.5784282967377276E-2</v>
      </c>
      <c r="AS94" s="387">
        <f t="shared" si="213"/>
        <v>0.16305392840239505</v>
      </c>
      <c r="AT94" s="387">
        <f t="shared" si="213"/>
        <v>0.10846120723480555</v>
      </c>
      <c r="AU94" s="387">
        <f t="shared" si="213"/>
        <v>4.0071765985350762E-2</v>
      </c>
      <c r="AV94" s="387">
        <f t="shared" si="213"/>
        <v>0.11083519478493281</v>
      </c>
      <c r="AW94" s="387">
        <f t="shared" si="213"/>
        <v>-0.10819167896104157</v>
      </c>
      <c r="AX94" s="387">
        <f t="shared" si="213"/>
        <v>9.6935215405005104E-2</v>
      </c>
      <c r="AY94" s="388">
        <f t="shared" si="213"/>
        <v>7.1306483118050837E-2</v>
      </c>
      <c r="AZ94" s="389" t="str">
        <f t="shared" si="213"/>
        <v/>
      </c>
      <c r="BA94" s="387">
        <f t="shared" si="213"/>
        <v>0.18416855304076735</v>
      </c>
      <c r="BB94" s="387" t="str">
        <f t="shared" si="213"/>
        <v/>
      </c>
      <c r="BC94" s="387">
        <f t="shared" si="213"/>
        <v>0.12820870945959773</v>
      </c>
      <c r="BD94" s="387" t="str">
        <f t="shared" si="213"/>
        <v/>
      </c>
      <c r="BE94" s="387">
        <f t="shared" si="213"/>
        <v>0.12795653180555011</v>
      </c>
      <c r="BF94" s="387" t="str">
        <f t="shared" si="213"/>
        <v/>
      </c>
      <c r="BG94" s="387">
        <f t="shared" si="213"/>
        <v>8.0912143703859796E-2</v>
      </c>
      <c r="BH94" s="390">
        <f t="shared" si="213"/>
        <v>0.12913015210649759</v>
      </c>
      <c r="BI94" s="389">
        <f t="shared" si="213"/>
        <v>9.415613660184978E-2</v>
      </c>
      <c r="BJ94" s="300">
        <v>62</v>
      </c>
      <c r="BK94" s="387">
        <f t="shared" ref="BK94:CC94" si="214">IF((BK32-BK28)=0,"",BK92/(BK32-BK28))</f>
        <v>-4.481815160022478E-2</v>
      </c>
      <c r="BL94" s="387">
        <f t="shared" si="214"/>
        <v>1.5346620167332181E-2</v>
      </c>
      <c r="BM94" s="387">
        <f t="shared" si="214"/>
        <v>5.0845562452917006E-2</v>
      </c>
      <c r="BN94" s="387">
        <f t="shared" si="214"/>
        <v>0.16212634243232121</v>
      </c>
      <c r="BO94" s="387">
        <f t="shared" si="214"/>
        <v>0.22551560205128285</v>
      </c>
      <c r="BP94" s="387">
        <f t="shared" si="214"/>
        <v>-0.1010446275074998</v>
      </c>
      <c r="BQ94" s="387">
        <f t="shared" si="214"/>
        <v>0.50626139169150941</v>
      </c>
      <c r="BR94" s="387">
        <f t="shared" si="214"/>
        <v>-0.11624242361920549</v>
      </c>
      <c r="BS94" s="388">
        <f t="shared" si="214"/>
        <v>2.3909416393843003E-2</v>
      </c>
      <c r="BT94" s="389" t="str">
        <f t="shared" si="214"/>
        <v/>
      </c>
      <c r="BU94" s="387">
        <f t="shared" si="214"/>
        <v>0.37956135954880987</v>
      </c>
      <c r="BV94" s="387" t="str">
        <f t="shared" si="214"/>
        <v/>
      </c>
      <c r="BW94" s="387">
        <f t="shared" si="214"/>
        <v>-0.12250817638321156</v>
      </c>
      <c r="BX94" s="387" t="str">
        <f t="shared" si="214"/>
        <v/>
      </c>
      <c r="BY94" s="387">
        <f t="shared" si="214"/>
        <v>0.13039807517701543</v>
      </c>
      <c r="BZ94" s="387" t="str">
        <f t="shared" si="214"/>
        <v/>
      </c>
      <c r="CA94" s="387">
        <f t="shared" si="214"/>
        <v>7.2300928846747783E-2</v>
      </c>
      <c r="CB94" s="390">
        <f t="shared" si="214"/>
        <v>0.12483682946657032</v>
      </c>
      <c r="CC94" s="389">
        <f t="shared" si="214"/>
        <v>5.2601249525161299E-2</v>
      </c>
      <c r="CD94" s="300">
        <v>62</v>
      </c>
      <c r="CE94" s="390">
        <f t="shared" ref="CE94:CS94" si="215">IF((CE32-CE28)=0,"",CE92/(CE32-CE28))</f>
        <v>2.9374203934225587E-2</v>
      </c>
      <c r="CF94" s="390">
        <f t="shared" si="215"/>
        <v>4.9181835217286016E-2</v>
      </c>
      <c r="CG94" s="390">
        <f t="shared" si="215"/>
        <v>2.735654947599777E-2</v>
      </c>
      <c r="CH94" s="390">
        <f t="shared" si="215"/>
        <v>1.8865534176556731E-2</v>
      </c>
      <c r="CI94" s="423">
        <f t="shared" si="215"/>
        <v>3.0603073243916746E-2</v>
      </c>
      <c r="CJ94" s="390">
        <f t="shared" si="215"/>
        <v>0.1943895586102746</v>
      </c>
      <c r="CK94" s="390">
        <f t="shared" si="215"/>
        <v>4.8325456051945472E-2</v>
      </c>
      <c r="CL94" s="390">
        <f t="shared" si="215"/>
        <v>7.0138423229844343E-2</v>
      </c>
      <c r="CM94" s="390">
        <f t="shared" si="215"/>
        <v>5.1001478000848824E-2</v>
      </c>
      <c r="CN94" s="423" t="str">
        <f t="shared" si="215"/>
        <v/>
      </c>
      <c r="CO94" s="390">
        <f t="shared" si="215"/>
        <v>0.1016913952557288</v>
      </c>
      <c r="CP94" s="390">
        <f t="shared" si="215"/>
        <v>4.8826789435002939E-2</v>
      </c>
      <c r="CQ94" s="390">
        <f t="shared" si="215"/>
        <v>4.5168701813256024E-2</v>
      </c>
      <c r="CR94" s="390">
        <f t="shared" si="215"/>
        <v>3.1923472596274982E-2</v>
      </c>
      <c r="CS94" s="423">
        <f t="shared" si="215"/>
        <v>5.5737052878356133E-2</v>
      </c>
    </row>
    <row r="95" spans="1:131" s="317" customFormat="1" ht="15.75" customHeight="1">
      <c r="A95" s="135" t="s">
        <v>274</v>
      </c>
      <c r="B95" s="300">
        <v>63</v>
      </c>
      <c r="C95" s="392">
        <f>IF((C32-C28-C25)=0,"",(C73+C66-C64)/(C32-C28-C25))</f>
        <v>0.70866597074897397</v>
      </c>
      <c r="D95" s="392">
        <f t="shared" ref="D95:U95" si="216">IF((D32-D28-D25)=0,"",(D73+D66-D64)/(D32-D28-D25))</f>
        <v>1.3873844941862485</v>
      </c>
      <c r="E95" s="392">
        <f t="shared" si="216"/>
        <v>5.3637509950786493</v>
      </c>
      <c r="F95" s="392">
        <f t="shared" si="216"/>
        <v>2.234824573254917</v>
      </c>
      <c r="G95" s="392">
        <f t="shared" si="216"/>
        <v>3.3526450415561011</v>
      </c>
      <c r="H95" s="392">
        <f t="shared" si="216"/>
        <v>1.9211815573727378</v>
      </c>
      <c r="I95" s="392">
        <f t="shared" si="216"/>
        <v>2.4352447056244393</v>
      </c>
      <c r="J95" s="392">
        <f t="shared" si="216"/>
        <v>1.105826970484397</v>
      </c>
      <c r="K95" s="388">
        <f t="shared" si="216"/>
        <v>1.9121334374646075</v>
      </c>
      <c r="L95" s="393" t="str">
        <f t="shared" si="216"/>
        <v/>
      </c>
      <c r="M95" s="392">
        <f t="shared" si="216"/>
        <v>0.66011699175039096</v>
      </c>
      <c r="N95" s="392" t="str">
        <f t="shared" si="216"/>
        <v/>
      </c>
      <c r="O95" s="392">
        <f t="shared" si="216"/>
        <v>1.3167738966845615</v>
      </c>
      <c r="P95" s="392" t="str">
        <f t="shared" si="216"/>
        <v/>
      </c>
      <c r="Q95" s="392">
        <f t="shared" si="216"/>
        <v>1.3150111510817435</v>
      </c>
      <c r="R95" s="392" t="str">
        <f t="shared" si="216"/>
        <v/>
      </c>
      <c r="S95" s="392">
        <f t="shared" si="216"/>
        <v>1.1243789180834158</v>
      </c>
      <c r="T95" s="390">
        <f t="shared" si="216"/>
        <v>1.111321596783966</v>
      </c>
      <c r="U95" s="394">
        <f t="shared" si="216"/>
        <v>1.3532797219487183</v>
      </c>
      <c r="V95" s="300">
        <v>63</v>
      </c>
      <c r="W95" s="392">
        <f>IF((W32-W28-W25)=0,"",(W73+W66-W64)/(W32-W28-W25))</f>
        <v>0.54229513495182979</v>
      </c>
      <c r="X95" s="392">
        <f t="shared" ref="X95:AO95" si="217">IF((X32-X28-X25)=0,"",(X73+X66-X64)/(X32-X28-X25))</f>
        <v>0.57211825862821541</v>
      </c>
      <c r="Y95" s="392">
        <f t="shared" si="217"/>
        <v>0.71501486887586363</v>
      </c>
      <c r="Z95" s="392">
        <f t="shared" si="217"/>
        <v>0.39707254576179091</v>
      </c>
      <c r="AA95" s="392">
        <f t="shared" si="217"/>
        <v>0.88889409261428587</v>
      </c>
      <c r="AB95" s="392">
        <f t="shared" si="217"/>
        <v>0.41363833196471972</v>
      </c>
      <c r="AC95" s="392">
        <f t="shared" si="217"/>
        <v>0.31531886594005287</v>
      </c>
      <c r="AD95" s="392">
        <f t="shared" si="217"/>
        <v>0.34736325202639096</v>
      </c>
      <c r="AE95" s="388">
        <f t="shared" si="217"/>
        <v>0.46395567925779962</v>
      </c>
      <c r="AF95" s="393" t="str">
        <f t="shared" si="217"/>
        <v/>
      </c>
      <c r="AG95" s="392">
        <f t="shared" si="217"/>
        <v>0.91933647841472255</v>
      </c>
      <c r="AH95" s="392" t="str">
        <f t="shared" si="217"/>
        <v/>
      </c>
      <c r="AI95" s="392">
        <f t="shared" si="217"/>
        <v>0.69614508073976056</v>
      </c>
      <c r="AJ95" s="392" t="str">
        <f t="shared" si="217"/>
        <v/>
      </c>
      <c r="AK95" s="392">
        <f t="shared" si="217"/>
        <v>0.49227389326511467</v>
      </c>
      <c r="AL95" s="392" t="str">
        <f t="shared" si="217"/>
        <v/>
      </c>
      <c r="AM95" s="392">
        <f t="shared" si="217"/>
        <v>0.56741683183420133</v>
      </c>
      <c r="AN95" s="390">
        <f t="shared" si="217"/>
        <v>0.6829844782805603</v>
      </c>
      <c r="AO95" s="394">
        <f t="shared" si="217"/>
        <v>0.59707238479119418</v>
      </c>
      <c r="AP95" s="300">
        <v>63</v>
      </c>
      <c r="AQ95" s="392">
        <f>IF((AQ32-AQ28-AQ25)=0,"",(AQ73+AQ66-AQ64)/(AQ32-AQ28-AQ25))</f>
        <v>0.85967418936600026</v>
      </c>
      <c r="AR95" s="392">
        <f t="shared" ref="AR95:BI95" si="218">IF((AR32-AR28-AR25)=0,"",(AR73+AR66-AR64)/(AR32-AR28-AR25))</f>
        <v>0.87373607013382437</v>
      </c>
      <c r="AS95" s="392">
        <f t="shared" si="218"/>
        <v>0.7359737313117235</v>
      </c>
      <c r="AT95" s="392">
        <f t="shared" si="218"/>
        <v>0.79056645247931301</v>
      </c>
      <c r="AU95" s="392">
        <f t="shared" si="218"/>
        <v>0.86038809673788541</v>
      </c>
      <c r="AV95" s="392">
        <f t="shared" si="218"/>
        <v>0.78978702614643903</v>
      </c>
      <c r="AW95" s="392">
        <f t="shared" si="218"/>
        <v>0.9755073564711243</v>
      </c>
      <c r="AX95" s="392">
        <f t="shared" si="218"/>
        <v>0.80224376348569704</v>
      </c>
      <c r="AY95" s="388">
        <f t="shared" si="218"/>
        <v>0.8276950456443275</v>
      </c>
      <c r="AZ95" s="393" t="str">
        <f t="shared" si="218"/>
        <v/>
      </c>
      <c r="BA95" s="392">
        <f t="shared" si="218"/>
        <v>0.74318230925230266</v>
      </c>
      <c r="BB95" s="392" t="str">
        <f t="shared" si="218"/>
        <v/>
      </c>
      <c r="BC95" s="392">
        <f t="shared" si="218"/>
        <v>0.79230812968854292</v>
      </c>
      <c r="BD95" s="392" t="str">
        <f t="shared" si="218"/>
        <v/>
      </c>
      <c r="BE95" s="392">
        <f t="shared" si="218"/>
        <v>0.7908138242413939</v>
      </c>
      <c r="BF95" s="392" t="str">
        <f t="shared" si="218"/>
        <v/>
      </c>
      <c r="BG95" s="392">
        <f t="shared" si="218"/>
        <v>0.83638482004795234</v>
      </c>
      <c r="BH95" s="390">
        <f t="shared" si="218"/>
        <v>0.79174690936695968</v>
      </c>
      <c r="BI95" s="394">
        <f t="shared" si="218"/>
        <v>0.81348974750784375</v>
      </c>
      <c r="BJ95" s="300">
        <v>63</v>
      </c>
      <c r="BK95" s="392">
        <f>IF((BK32-BK28-BK25)=0,"",(BK73+BK66-BK64)/(BK32-BK28-BK25))</f>
        <v>1.0346261649653306</v>
      </c>
      <c r="BL95" s="392">
        <f t="shared" ref="BL95:CS95" si="219">IF((BL32-BL28-BL25)=0,"",(BL73+BL66-BL64)/(BL32-BL28-BL25))</f>
        <v>0.96983811138731613</v>
      </c>
      <c r="BM95" s="392">
        <f t="shared" si="219"/>
        <v>0.92394564356370812</v>
      </c>
      <c r="BN95" s="392">
        <f t="shared" si="219"/>
        <v>0.80378219265844586</v>
      </c>
      <c r="BO95" s="392">
        <f t="shared" si="219"/>
        <v>0.74285972201879702</v>
      </c>
      <c r="BP95" s="392">
        <f t="shared" si="219"/>
        <v>1.0915061391691432</v>
      </c>
      <c r="BQ95" s="392">
        <f t="shared" si="219"/>
        <v>0.53920843992505862</v>
      </c>
      <c r="BR95" s="392">
        <f t="shared" si="219"/>
        <v>1.3791169685424769</v>
      </c>
      <c r="BS95" s="388">
        <f t="shared" si="219"/>
        <v>1.0005006473865106</v>
      </c>
      <c r="BT95" s="393" t="str">
        <f t="shared" si="219"/>
        <v/>
      </c>
      <c r="BU95" s="392">
        <f t="shared" si="219"/>
        <v>0.54066341285373021</v>
      </c>
      <c r="BV95" s="392" t="str">
        <f t="shared" si="219"/>
        <v/>
      </c>
      <c r="BW95" s="392">
        <f t="shared" si="219"/>
        <v>1.0330755153745099</v>
      </c>
      <c r="BX95" s="392" t="str">
        <f t="shared" si="219"/>
        <v/>
      </c>
      <c r="BY95" s="392">
        <f t="shared" si="219"/>
        <v>0.78337101814777521</v>
      </c>
      <c r="BZ95" s="392" t="str">
        <f t="shared" si="219"/>
        <v/>
      </c>
      <c r="CA95" s="392">
        <f t="shared" si="219"/>
        <v>0.84333729637594335</v>
      </c>
      <c r="CB95" s="390">
        <f t="shared" si="219"/>
        <v>0.79036353164776652</v>
      </c>
      <c r="CC95" s="394">
        <f t="shared" si="219"/>
        <v>0.9356707825335342</v>
      </c>
      <c r="CD95" s="300">
        <v>63</v>
      </c>
      <c r="CE95" s="390">
        <f t="shared" ref="CE95:CN95" si="220">IF((CE32-CE28-CE25)=0,"",(CE73+CE66-CE64)/(CE32-CE28-CE25))</f>
        <v>0.887292565011784</v>
      </c>
      <c r="CF95" s="390">
        <f t="shared" si="220"/>
        <v>0.85534876062036558</v>
      </c>
      <c r="CG95" s="390">
        <f t="shared" si="220"/>
        <v>0.87835381827726378</v>
      </c>
      <c r="CH95" s="390">
        <f t="shared" si="220"/>
        <v>0.88628125774932409</v>
      </c>
      <c r="CI95" s="391">
        <f t="shared" si="220"/>
        <v>0.8771411451356228</v>
      </c>
      <c r="CJ95" s="390">
        <f t="shared" si="220"/>
        <v>0.73159561558165298</v>
      </c>
      <c r="CK95" s="390">
        <f t="shared" si="220"/>
        <v>0.87001217714796242</v>
      </c>
      <c r="CL95" s="390">
        <f t="shared" si="220"/>
        <v>0.84799646587782107</v>
      </c>
      <c r="CM95" s="390">
        <f t="shared" si="220"/>
        <v>0.86587132947393852</v>
      </c>
      <c r="CN95" s="391" t="str">
        <f t="shared" si="220"/>
        <v/>
      </c>
      <c r="CO95" s="390">
        <f t="shared" si="219"/>
        <v>0.81877781270370731</v>
      </c>
      <c r="CP95" s="390">
        <f t="shared" si="219"/>
        <v>0.86144866780950424</v>
      </c>
      <c r="CQ95" s="390">
        <f t="shared" si="219"/>
        <v>0.86567683824961883</v>
      </c>
      <c r="CR95" s="390">
        <f t="shared" si="219"/>
        <v>0.87791564927166499</v>
      </c>
      <c r="CS95" s="391">
        <f t="shared" si="219"/>
        <v>0.85694644083434679</v>
      </c>
    </row>
    <row r="96" spans="1:131" s="317" customFormat="1" ht="15.75" customHeight="1">
      <c r="A96" s="135" t="s">
        <v>276</v>
      </c>
      <c r="B96" s="300">
        <v>64</v>
      </c>
      <c r="C96" s="392">
        <f>IF((C32-C28)=0,"",(C73)/(C32-C28))</f>
        <v>3.1434216702769378E-2</v>
      </c>
      <c r="D96" s="392">
        <f t="shared" ref="D96:U96" si="221">IF((D32-D28)=0,"",(D73)/(D32-D28))</f>
        <v>3.1434216702769378E-2</v>
      </c>
      <c r="E96" s="392">
        <f t="shared" si="221"/>
        <v>3.4340848161780582E-2</v>
      </c>
      <c r="F96" s="392">
        <f t="shared" si="221"/>
        <v>3.3683945347118827E-2</v>
      </c>
      <c r="G96" s="392">
        <f t="shared" si="221"/>
        <v>3.5095274522832773E-2</v>
      </c>
      <c r="H96" s="392">
        <f t="shared" si="221"/>
        <v>3.5095274522832773E-2</v>
      </c>
      <c r="I96" s="392">
        <f t="shared" si="221"/>
        <v>3.3750178986851093E-2</v>
      </c>
      <c r="J96" s="392">
        <f t="shared" si="221"/>
        <v>3.348112868268939E-2</v>
      </c>
      <c r="K96" s="388">
        <f t="shared" si="221"/>
        <v>3.3545239228318778E-2</v>
      </c>
      <c r="L96" s="393" t="str">
        <f t="shared" si="221"/>
        <v/>
      </c>
      <c r="M96" s="392">
        <f t="shared" si="221"/>
        <v>2.6134240054193167E-2</v>
      </c>
      <c r="N96" s="392" t="str">
        <f t="shared" si="221"/>
        <v/>
      </c>
      <c r="O96" s="392">
        <f t="shared" si="221"/>
        <v>2.9251138904876614E-2</v>
      </c>
      <c r="P96" s="392" t="str">
        <f t="shared" si="221"/>
        <v/>
      </c>
      <c r="Q96" s="392">
        <f t="shared" si="221"/>
        <v>2.9744883901549581E-2</v>
      </c>
      <c r="R96" s="392" t="str">
        <f t="shared" si="221"/>
        <v/>
      </c>
      <c r="S96" s="392">
        <f t="shared" si="221"/>
        <v>2.7711764712588443E-2</v>
      </c>
      <c r="T96" s="390">
        <f t="shared" si="221"/>
        <v>2.823213167555436E-2</v>
      </c>
      <c r="U96" s="394">
        <f t="shared" si="221"/>
        <v>2.9837439535604138E-2</v>
      </c>
      <c r="V96" s="300">
        <v>64</v>
      </c>
      <c r="W96" s="392">
        <f t="shared" ref="W96:AO96" si="222">IF((W32-W28)=0,"",(W73)/(W32-W28))</f>
        <v>3.1434216702769378E-2</v>
      </c>
      <c r="X96" s="392">
        <f t="shared" si="222"/>
        <v>3.1434216702769378E-2</v>
      </c>
      <c r="Y96" s="392">
        <f t="shared" si="222"/>
        <v>3.3683945347118827E-2</v>
      </c>
      <c r="Z96" s="392">
        <f t="shared" si="222"/>
        <v>3.368394534711882E-2</v>
      </c>
      <c r="AA96" s="392">
        <f t="shared" si="222"/>
        <v>3.5095274522832766E-2</v>
      </c>
      <c r="AB96" s="392">
        <f t="shared" si="222"/>
        <v>3.5095274522832766E-2</v>
      </c>
      <c r="AC96" s="392">
        <f t="shared" si="222"/>
        <v>3.348112868268939E-2</v>
      </c>
      <c r="AD96" s="392">
        <f t="shared" si="222"/>
        <v>3.348112868268939E-2</v>
      </c>
      <c r="AE96" s="388">
        <f t="shared" si="222"/>
        <v>3.3368813253818484E-2</v>
      </c>
      <c r="AF96" s="393" t="str">
        <f t="shared" si="222"/>
        <v/>
      </c>
      <c r="AG96" s="392">
        <f t="shared" si="222"/>
        <v>2.6438037456470609E-2</v>
      </c>
      <c r="AH96" s="392" t="str">
        <f t="shared" si="222"/>
        <v/>
      </c>
      <c r="AI96" s="392">
        <f t="shared" si="222"/>
        <v>2.7093881083326745E-2</v>
      </c>
      <c r="AJ96" s="392" t="str">
        <f t="shared" si="222"/>
        <v/>
      </c>
      <c r="AK96" s="392">
        <f t="shared" si="222"/>
        <v>2.5111833150679014E-2</v>
      </c>
      <c r="AL96" s="392" t="str">
        <f t="shared" si="222"/>
        <v/>
      </c>
      <c r="AM96" s="392">
        <f t="shared" si="222"/>
        <v>2.5925343427490092E-2</v>
      </c>
      <c r="AN96" s="390">
        <f t="shared" si="222"/>
        <v>2.616930817685922E-2</v>
      </c>
      <c r="AO96" s="394">
        <f t="shared" si="222"/>
        <v>2.8993249850322055E-2</v>
      </c>
      <c r="AP96" s="300">
        <v>64</v>
      </c>
      <c r="AQ96" s="392">
        <f t="shared" ref="AQ96:BI96" si="223">IF((AQ32-AQ28)=0,"",(AQ73)/(AQ32-AQ28))</f>
        <v>3.1434216702769378E-2</v>
      </c>
      <c r="AR96" s="392">
        <f t="shared" si="223"/>
        <v>3.1434216702769385E-2</v>
      </c>
      <c r="AS96" s="392">
        <f t="shared" si="223"/>
        <v>3.368394534711882E-2</v>
      </c>
      <c r="AT96" s="392">
        <f t="shared" si="223"/>
        <v>3.3683945347118827E-2</v>
      </c>
      <c r="AU96" s="392">
        <f t="shared" si="223"/>
        <v>3.5152611343387208E-2</v>
      </c>
      <c r="AV96" s="392">
        <f t="shared" si="223"/>
        <v>3.5095274522832773E-2</v>
      </c>
      <c r="AW96" s="392">
        <f t="shared" si="223"/>
        <v>4.4062446765386766E-2</v>
      </c>
      <c r="AX96" s="392">
        <f t="shared" si="223"/>
        <v>3.348112868268939E-2</v>
      </c>
      <c r="AY96" s="388">
        <f t="shared" si="223"/>
        <v>3.4424587088945351E-2</v>
      </c>
      <c r="AZ96" s="393" t="str">
        <f t="shared" si="223"/>
        <v/>
      </c>
      <c r="BA96" s="392">
        <f t="shared" si="223"/>
        <v>2.42713449757061E-2</v>
      </c>
      <c r="BB96" s="392" t="str">
        <f t="shared" si="223"/>
        <v/>
      </c>
      <c r="BC96" s="392">
        <f t="shared" si="223"/>
        <v>2.5643980334781616E-2</v>
      </c>
      <c r="BD96" s="392" t="str">
        <f t="shared" si="223"/>
        <v/>
      </c>
      <c r="BE96" s="392">
        <f t="shared" si="223"/>
        <v>2.7811506673306119E-2</v>
      </c>
      <c r="BF96" s="392" t="str">
        <f t="shared" si="223"/>
        <v/>
      </c>
      <c r="BG96" s="392">
        <f t="shared" si="223"/>
        <v>2.6642791815690396E-2</v>
      </c>
      <c r="BH96" s="390">
        <f t="shared" si="223"/>
        <v>2.6132279832024149E-2</v>
      </c>
      <c r="BI96" s="394">
        <f t="shared" si="223"/>
        <v>3.1147791432140914E-2</v>
      </c>
      <c r="BJ96" s="300">
        <v>64</v>
      </c>
      <c r="BK96" s="392">
        <f t="shared" ref="BK96:CC96" si="224">IF((BK32-BK28)=0,"",(BK73)/(BK32-BK28))</f>
        <v>2.9191067938732364E-2</v>
      </c>
      <c r="BL96" s="392">
        <f t="shared" si="224"/>
        <v>2.9191067938732364E-2</v>
      </c>
      <c r="BM96" s="392">
        <f t="shared" si="224"/>
        <v>3.1193975229342009E-2</v>
      </c>
      <c r="BN96" s="392">
        <f t="shared" si="224"/>
        <v>3.1193975229342013E-2</v>
      </c>
      <c r="BO96" s="392">
        <f t="shared" si="224"/>
        <v>2.8631309073236046E-2</v>
      </c>
      <c r="BP96" s="392">
        <f t="shared" si="224"/>
        <v>3.2447716248823096E-2</v>
      </c>
      <c r="BQ96" s="392">
        <f t="shared" si="224"/>
        <v>2.0335134818405754E-2</v>
      </c>
      <c r="BR96" s="392">
        <f t="shared" si="224"/>
        <v>2.5253123095424743E-2</v>
      </c>
      <c r="BS96" s="388">
        <f t="shared" si="224"/>
        <v>2.9218795458821101E-2</v>
      </c>
      <c r="BT96" s="393" t="str">
        <f t="shared" si="224"/>
        <v/>
      </c>
      <c r="BU96" s="392">
        <f t="shared" si="224"/>
        <v>2.665209981354973E-2</v>
      </c>
      <c r="BV96" s="392" t="str">
        <f t="shared" si="224"/>
        <v/>
      </c>
      <c r="BW96" s="392">
        <f t="shared" si="224"/>
        <v>2.8854028647260083E-2</v>
      </c>
      <c r="BX96" s="392" t="str">
        <f t="shared" si="224"/>
        <v/>
      </c>
      <c r="BY96" s="392">
        <f t="shared" si="224"/>
        <v>2.9523845233505982E-2</v>
      </c>
      <c r="BZ96" s="392" t="str">
        <f t="shared" si="224"/>
        <v/>
      </c>
      <c r="CA96" s="392">
        <f t="shared" si="224"/>
        <v>2.7177154607104858E-2</v>
      </c>
      <c r="CB96" s="390">
        <f t="shared" si="224"/>
        <v>2.8025740520606378E-2</v>
      </c>
      <c r="CC96" s="394">
        <f t="shared" si="224"/>
        <v>2.8879631576961912E-2</v>
      </c>
      <c r="CD96" s="300">
        <v>64</v>
      </c>
      <c r="CE96" s="390">
        <f t="shared" ref="CE96:CS96" si="225">IF((CE32-CE28)=0,"",(CE73)/(CE32-CE28))</f>
        <v>3.1204467910998308E-2</v>
      </c>
      <c r="CF96" s="390">
        <f t="shared" si="225"/>
        <v>3.3494985148439703E-2</v>
      </c>
      <c r="CG96" s="390">
        <f t="shared" si="225"/>
        <v>3.4881167608961428E-2</v>
      </c>
      <c r="CH96" s="390">
        <f t="shared" si="225"/>
        <v>3.5787150011347059E-2</v>
      </c>
      <c r="CI96" s="391">
        <f t="shared" si="225"/>
        <v>3.3968967734765536E-2</v>
      </c>
      <c r="CJ96" s="390">
        <f t="shared" si="225"/>
        <v>2.4727607611138357E-2</v>
      </c>
      <c r="CK96" s="390">
        <f t="shared" si="225"/>
        <v>2.6347066546791666E-2</v>
      </c>
      <c r="CL96" s="390">
        <f t="shared" si="225"/>
        <v>2.8029078635490572E-2</v>
      </c>
      <c r="CM96" s="390">
        <f t="shared" si="225"/>
        <v>2.6779433804893518E-2</v>
      </c>
      <c r="CN96" s="391" t="str">
        <f t="shared" si="225"/>
        <v/>
      </c>
      <c r="CO96" s="390">
        <f t="shared" si="225"/>
        <v>2.8366014808333166E-2</v>
      </c>
      <c r="CP96" s="390">
        <f t="shared" si="225"/>
        <v>3.0531533380423651E-2</v>
      </c>
      <c r="CQ96" s="390">
        <f t="shared" si="225"/>
        <v>3.2028313306081871E-2</v>
      </c>
      <c r="CR96" s="390">
        <f t="shared" si="225"/>
        <v>3.2127005340654241E-2</v>
      </c>
      <c r="CS96" s="391">
        <f t="shared" si="225"/>
        <v>3.0840144457580272E-2</v>
      </c>
    </row>
    <row r="97" spans="1:102" ht="15.75" customHeight="1">
      <c r="A97" s="135" t="s">
        <v>278</v>
      </c>
      <c r="B97" s="300">
        <v>65</v>
      </c>
      <c r="C97" s="392">
        <f t="shared" ref="C97:U97" si="226">IF((C32-C28)=0,"",C88/(C32-C28))</f>
        <v>9.0479646898798352E-2</v>
      </c>
      <c r="D97" s="392">
        <f t="shared" si="226"/>
        <v>9.0479646898798352E-2</v>
      </c>
      <c r="E97" s="392">
        <f t="shared" si="226"/>
        <v>0.10294149840715398</v>
      </c>
      <c r="F97" s="392">
        <f t="shared" si="226"/>
        <v>0.1009723402858814</v>
      </c>
      <c r="G97" s="392">
        <f t="shared" si="226"/>
        <v>9.9377779068628214E-2</v>
      </c>
      <c r="H97" s="392">
        <f t="shared" si="226"/>
        <v>9.9377779068628214E-2</v>
      </c>
      <c r="I97" s="392">
        <f t="shared" si="226"/>
        <v>0.10163120665150087</v>
      </c>
      <c r="J97" s="392">
        <f t="shared" si="226"/>
        <v>0.10082102110929797</v>
      </c>
      <c r="K97" s="395">
        <f t="shared" si="226"/>
        <v>9.8327482328880042E-2</v>
      </c>
      <c r="L97" s="393" t="str">
        <f t="shared" si="226"/>
        <v/>
      </c>
      <c r="M97" s="392">
        <f t="shared" si="226"/>
        <v>7.8225166609573571E-2</v>
      </c>
      <c r="N97" s="392" t="str">
        <f t="shared" si="226"/>
        <v/>
      </c>
      <c r="O97" s="392">
        <f t="shared" si="226"/>
        <v>9.066349873630844E-2</v>
      </c>
      <c r="P97" s="392" t="str">
        <f t="shared" si="226"/>
        <v/>
      </c>
      <c r="Q97" s="392">
        <f t="shared" si="226"/>
        <v>8.6876498894140494E-2</v>
      </c>
      <c r="R97" s="392" t="str">
        <f t="shared" si="226"/>
        <v/>
      </c>
      <c r="S97" s="392">
        <f t="shared" si="226"/>
        <v>8.602128100467106E-2</v>
      </c>
      <c r="T97" s="396">
        <f t="shared" si="226"/>
        <v>8.5538430960889339E-2</v>
      </c>
      <c r="U97" s="393">
        <f t="shared" si="226"/>
        <v>8.9402528286179492E-2</v>
      </c>
      <c r="V97" s="300">
        <v>65</v>
      </c>
      <c r="W97" s="392">
        <f t="shared" ref="W97:AO97" si="227">IF((W32-W28)=0,"",W88/(W32-W28))</f>
        <v>9.0479646898798352E-2</v>
      </c>
      <c r="X97" s="392">
        <f t="shared" si="227"/>
        <v>9.0479646898798338E-2</v>
      </c>
      <c r="Y97" s="392">
        <f t="shared" si="227"/>
        <v>0.1009723402858814</v>
      </c>
      <c r="Z97" s="392">
        <f t="shared" si="227"/>
        <v>0.10097234028588141</v>
      </c>
      <c r="AA97" s="392">
        <f t="shared" si="227"/>
        <v>9.93777790686282E-2</v>
      </c>
      <c r="AB97" s="392">
        <f t="shared" si="227"/>
        <v>9.93777790686282E-2</v>
      </c>
      <c r="AC97" s="392">
        <f t="shared" si="227"/>
        <v>0.10082102110929797</v>
      </c>
      <c r="AD97" s="392">
        <f t="shared" si="227"/>
        <v>0.10082102110929797</v>
      </c>
      <c r="AE97" s="395">
        <f t="shared" si="227"/>
        <v>9.7733133015160137E-2</v>
      </c>
      <c r="AF97" s="393" t="str">
        <f t="shared" si="227"/>
        <v/>
      </c>
      <c r="AG97" s="392">
        <f t="shared" si="227"/>
        <v>7.9134494845612927E-2</v>
      </c>
      <c r="AH97" s="392" t="str">
        <f t="shared" si="227"/>
        <v/>
      </c>
      <c r="AI97" s="392">
        <f t="shared" si="227"/>
        <v>8.3977108082802274E-2</v>
      </c>
      <c r="AJ97" s="392" t="str">
        <f t="shared" si="227"/>
        <v/>
      </c>
      <c r="AK97" s="392">
        <f t="shared" si="227"/>
        <v>7.3344651542955011E-2</v>
      </c>
      <c r="AL97" s="392" t="str">
        <f t="shared" si="227"/>
        <v/>
      </c>
      <c r="AM97" s="392">
        <f t="shared" si="227"/>
        <v>8.0475973841740225E-2</v>
      </c>
      <c r="AN97" s="396">
        <f t="shared" si="227"/>
        <v>7.9274449105329936E-2</v>
      </c>
      <c r="AO97" s="393">
        <f t="shared" si="227"/>
        <v>8.651470328572744E-2</v>
      </c>
      <c r="AP97" s="300">
        <v>65</v>
      </c>
      <c r="AQ97" s="392">
        <f t="shared" ref="AQ97:BI97" si="228">IF((AQ32-AQ28)=0,"",AQ88/(AQ32-AQ28))</f>
        <v>9.0479646898798338E-2</v>
      </c>
      <c r="AR97" s="392">
        <f t="shared" si="228"/>
        <v>9.0479646898798352E-2</v>
      </c>
      <c r="AS97" s="392">
        <f t="shared" si="228"/>
        <v>0.10097234028588141</v>
      </c>
      <c r="AT97" s="392">
        <f t="shared" si="228"/>
        <v>0.10097234028588142</v>
      </c>
      <c r="AU97" s="392">
        <f t="shared" si="228"/>
        <v>9.9540137276763876E-2</v>
      </c>
      <c r="AV97" s="392">
        <f t="shared" si="228"/>
        <v>9.93777790686282E-2</v>
      </c>
      <c r="AW97" s="392">
        <f t="shared" si="228"/>
        <v>0.13268432248991724</v>
      </c>
      <c r="AX97" s="392">
        <f t="shared" si="228"/>
        <v>0.10082102110929796</v>
      </c>
      <c r="AY97" s="395">
        <f t="shared" si="228"/>
        <v>0.10099847123762178</v>
      </c>
      <c r="AZ97" s="393" t="str">
        <f t="shared" si="228"/>
        <v/>
      </c>
      <c r="BA97" s="392">
        <f t="shared" si="228"/>
        <v>7.2649137706930031E-2</v>
      </c>
      <c r="BB97" s="392" t="str">
        <f t="shared" si="228"/>
        <v/>
      </c>
      <c r="BC97" s="392">
        <f t="shared" si="228"/>
        <v>7.9483160851859469E-2</v>
      </c>
      <c r="BD97" s="392" t="str">
        <f t="shared" si="228"/>
        <v/>
      </c>
      <c r="BE97" s="392">
        <f t="shared" si="228"/>
        <v>8.1229643953056041E-2</v>
      </c>
      <c r="BF97" s="392" t="str">
        <f t="shared" si="228"/>
        <v/>
      </c>
      <c r="BG97" s="392">
        <f t="shared" si="228"/>
        <v>8.2703036248187825E-2</v>
      </c>
      <c r="BH97" s="396">
        <f t="shared" si="228"/>
        <v>7.9122938526542702E-2</v>
      </c>
      <c r="BI97" s="393">
        <f t="shared" si="228"/>
        <v>9.2354115890306579E-2</v>
      </c>
      <c r="BJ97" s="300">
        <v>65</v>
      </c>
      <c r="BK97" s="392">
        <f t="shared" ref="BK97:CC97" si="229">IF((BK32-BK28)=0,"",BK88/(BK32-BK28))</f>
        <v>8.4023010487888072E-2</v>
      </c>
      <c r="BL97" s="392">
        <f t="shared" si="229"/>
        <v>8.4023010487888072E-2</v>
      </c>
      <c r="BM97" s="392">
        <f t="shared" si="229"/>
        <v>9.3508306383589659E-2</v>
      </c>
      <c r="BN97" s="392">
        <f t="shared" si="229"/>
        <v>9.3508306383589673E-2</v>
      </c>
      <c r="BO97" s="392">
        <f t="shared" si="229"/>
        <v>8.1074046184608617E-2</v>
      </c>
      <c r="BP97" s="392">
        <f t="shared" si="229"/>
        <v>9.1880802201994072E-2</v>
      </c>
      <c r="BQ97" s="392">
        <f t="shared" si="229"/>
        <v>6.1234765297709874E-2</v>
      </c>
      <c r="BR97" s="392">
        <f t="shared" si="229"/>
        <v>7.6044200325776037E-2</v>
      </c>
      <c r="BS97" s="395">
        <f t="shared" si="229"/>
        <v>8.5379869139170991E-2</v>
      </c>
      <c r="BT97" s="393" t="str">
        <f t="shared" si="229"/>
        <v/>
      </c>
      <c r="BU97" s="392">
        <f t="shared" si="229"/>
        <v>7.9775227597459877E-2</v>
      </c>
      <c r="BV97" s="392" t="str">
        <f t="shared" si="229"/>
        <v/>
      </c>
      <c r="BW97" s="392">
        <f t="shared" si="229"/>
        <v>8.9432661008701564E-2</v>
      </c>
      <c r="BX97" s="392" t="str">
        <f t="shared" si="229"/>
        <v/>
      </c>
      <c r="BY97" s="392">
        <f t="shared" si="229"/>
        <v>8.6230906675209315E-2</v>
      </c>
      <c r="BZ97" s="392" t="str">
        <f t="shared" si="229"/>
        <v/>
      </c>
      <c r="CA97" s="392">
        <f t="shared" si="229"/>
        <v>8.4361774777308732E-2</v>
      </c>
      <c r="CB97" s="396">
        <f t="shared" si="229"/>
        <v>8.4799638885663317E-2</v>
      </c>
      <c r="CC97" s="393">
        <f t="shared" si="229"/>
        <v>8.5214920201072394E-2</v>
      </c>
      <c r="CD97" s="300">
        <v>65</v>
      </c>
      <c r="CE97" s="396">
        <f t="shared" ref="CE97:CS97" si="230">IF((CE32-CE28)=0,"",CE88/(CE32-CE28))</f>
        <v>8.9818342379858598E-2</v>
      </c>
      <c r="CF97" s="396">
        <f t="shared" si="230"/>
        <v>0.10040590564513802</v>
      </c>
      <c r="CG97" s="396">
        <f t="shared" si="230"/>
        <v>9.8771501731491879E-2</v>
      </c>
      <c r="CH97" s="396">
        <f t="shared" si="230"/>
        <v>0.10776509480700736</v>
      </c>
      <c r="CI97" s="423">
        <f t="shared" si="230"/>
        <v>9.9628233126498961E-2</v>
      </c>
      <c r="CJ97" s="396">
        <f t="shared" si="230"/>
        <v>7.4014825808072462E-2</v>
      </c>
      <c r="CK97" s="396">
        <f t="shared" si="230"/>
        <v>8.1662366800092173E-2</v>
      </c>
      <c r="CL97" s="396">
        <f t="shared" si="230"/>
        <v>8.1865110892334558E-2</v>
      </c>
      <c r="CM97" s="396">
        <f t="shared" si="230"/>
        <v>8.3127192525212626E-2</v>
      </c>
      <c r="CN97" s="423" t="str">
        <f t="shared" si="230"/>
        <v/>
      </c>
      <c r="CO97" s="396">
        <f t="shared" si="230"/>
        <v>8.2892526696111912E-2</v>
      </c>
      <c r="CP97" s="396">
        <f t="shared" si="230"/>
        <v>9.2635031853091479E-2</v>
      </c>
      <c r="CQ97" s="396">
        <f t="shared" si="230"/>
        <v>9.1732557835930859E-2</v>
      </c>
      <c r="CR97" s="396">
        <f t="shared" si="230"/>
        <v>9.7753868357715615E-2</v>
      </c>
      <c r="CS97" s="423">
        <f t="shared" si="230"/>
        <v>9.1505879809680446E-2</v>
      </c>
    </row>
    <row r="98" spans="1:102" s="317" customFormat="1" ht="15.75" customHeight="1">
      <c r="A98" s="316"/>
      <c r="AP98" s="424"/>
    </row>
    <row r="99" spans="1:102" s="317" customFormat="1" ht="15.75" customHeight="1">
      <c r="A99" s="316"/>
    </row>
    <row r="100" spans="1:102" s="317" customFormat="1" ht="15.75" customHeight="1">
      <c r="C100" s="319"/>
      <c r="D100" s="319"/>
      <c r="E100" s="319"/>
      <c r="F100" s="319"/>
      <c r="G100" s="319"/>
      <c r="H100" s="319"/>
      <c r="I100" s="319"/>
      <c r="J100" s="319"/>
      <c r="L100" s="319"/>
      <c r="M100" s="319"/>
      <c r="N100" s="319"/>
      <c r="O100" s="319"/>
      <c r="P100" s="319"/>
      <c r="Q100" s="319"/>
      <c r="R100" s="319"/>
      <c r="S100" s="319"/>
      <c r="W100" s="319"/>
      <c r="X100" s="319"/>
      <c r="Y100" s="319"/>
      <c r="Z100" s="319"/>
      <c r="AA100" s="319"/>
      <c r="AB100" s="319"/>
      <c r="AC100" s="319"/>
      <c r="AD100" s="319"/>
      <c r="AF100" s="319"/>
      <c r="AG100" s="319"/>
      <c r="AH100" s="319"/>
      <c r="AI100" s="319"/>
      <c r="AJ100" s="319"/>
      <c r="AK100" s="319"/>
      <c r="AL100" s="319"/>
      <c r="AM100" s="319"/>
      <c r="AQ100" s="319"/>
      <c r="AR100" s="319"/>
      <c r="AS100" s="319"/>
      <c r="AT100" s="319"/>
      <c r="AU100" s="319"/>
      <c r="AV100" s="319"/>
      <c r="AW100" s="319"/>
      <c r="AX100" s="319"/>
      <c r="AZ100" s="319"/>
      <c r="BA100" s="319"/>
      <c r="BB100" s="319"/>
      <c r="BC100" s="319"/>
      <c r="BD100" s="319"/>
      <c r="BE100" s="319"/>
      <c r="BF100" s="319"/>
      <c r="BG100" s="319"/>
      <c r="BK100" s="319"/>
      <c r="BL100" s="319"/>
      <c r="BM100" s="319"/>
      <c r="BN100" s="319"/>
      <c r="BO100" s="319"/>
      <c r="BP100" s="319"/>
      <c r="BQ100" s="319"/>
      <c r="BR100" s="319"/>
      <c r="BT100" s="319"/>
      <c r="BU100" s="319"/>
      <c r="BV100" s="319"/>
      <c r="BW100" s="319"/>
      <c r="BX100" s="319"/>
      <c r="BY100" s="319"/>
      <c r="BZ100" s="319"/>
      <c r="CA100" s="319"/>
      <c r="CT100" s="319"/>
      <c r="CU100" s="319"/>
      <c r="CV100" s="319"/>
      <c r="CW100" s="319"/>
      <c r="CX100" s="319"/>
    </row>
    <row r="101" spans="1:102" s="317" customFormat="1" ht="15.75" customHeight="1">
      <c r="C101" s="319"/>
      <c r="D101" s="319"/>
      <c r="F101" s="319"/>
      <c r="H101" s="319"/>
      <c r="J101" s="319"/>
      <c r="L101" s="319"/>
      <c r="M101" s="319"/>
      <c r="O101" s="319"/>
      <c r="Q101" s="319"/>
      <c r="S101" s="319"/>
      <c r="W101" s="319"/>
      <c r="X101" s="319"/>
      <c r="Z101" s="319"/>
      <c r="AB101" s="319"/>
      <c r="AD101" s="319"/>
      <c r="AF101" s="319"/>
      <c r="AG101" s="319"/>
      <c r="AI101" s="319"/>
      <c r="AK101" s="319"/>
      <c r="AM101" s="319"/>
      <c r="AQ101" s="319"/>
      <c r="AR101" s="319"/>
      <c r="AT101" s="319"/>
      <c r="AV101" s="319"/>
      <c r="AX101" s="319"/>
      <c r="AZ101" s="319"/>
      <c r="BA101" s="319"/>
      <c r="BC101" s="319"/>
      <c r="BE101" s="319"/>
      <c r="BG101" s="319"/>
      <c r="BK101" s="319"/>
      <c r="BL101" s="319"/>
      <c r="BN101" s="319"/>
      <c r="BP101" s="319"/>
      <c r="BR101" s="319"/>
      <c r="BT101" s="319"/>
      <c r="BU101" s="319"/>
      <c r="BW101" s="319"/>
      <c r="BY101" s="319"/>
      <c r="CA101" s="319"/>
      <c r="CT101" s="319"/>
      <c r="CV101" s="319"/>
      <c r="CX101" s="319"/>
    </row>
    <row r="102" spans="1:102" s="317" customFormat="1" ht="15.75" customHeight="1"/>
    <row r="103" spans="1:102" s="317" customFormat="1">
      <c r="C103" s="319"/>
      <c r="D103" s="319"/>
      <c r="E103" s="319"/>
      <c r="F103" s="319"/>
      <c r="G103" s="319"/>
      <c r="H103" s="319"/>
      <c r="I103" s="319"/>
      <c r="J103" s="319"/>
      <c r="L103" s="319"/>
      <c r="M103" s="319"/>
      <c r="N103" s="319"/>
      <c r="O103" s="319"/>
      <c r="P103" s="319"/>
      <c r="Q103" s="319"/>
      <c r="R103" s="319"/>
      <c r="S103" s="319"/>
      <c r="W103" s="319"/>
      <c r="X103" s="319"/>
      <c r="Y103" s="319"/>
      <c r="Z103" s="319"/>
      <c r="AA103" s="319"/>
      <c r="AB103" s="319"/>
      <c r="AC103" s="319"/>
      <c r="AD103" s="319"/>
      <c r="AF103" s="319"/>
      <c r="AG103" s="319"/>
      <c r="AH103" s="319"/>
      <c r="AI103" s="319"/>
      <c r="AJ103" s="319"/>
      <c r="AK103" s="319"/>
      <c r="AL103" s="319"/>
      <c r="AM103" s="319"/>
      <c r="AQ103" s="319"/>
      <c r="AR103" s="319"/>
      <c r="AS103" s="319"/>
      <c r="AT103" s="319"/>
      <c r="AU103" s="319"/>
      <c r="AV103" s="319"/>
      <c r="AW103" s="319"/>
      <c r="AX103" s="319"/>
      <c r="AZ103" s="319"/>
      <c r="BA103" s="319"/>
      <c r="BB103" s="319"/>
      <c r="BC103" s="319"/>
      <c r="BD103" s="319"/>
      <c r="BE103" s="319"/>
      <c r="BF103" s="319"/>
      <c r="BG103" s="319"/>
      <c r="BK103" s="319"/>
      <c r="BL103" s="319"/>
      <c r="BM103" s="319"/>
      <c r="BN103" s="319"/>
      <c r="BO103" s="319"/>
      <c r="BP103" s="319"/>
      <c r="BQ103" s="319"/>
      <c r="BR103" s="319"/>
      <c r="BT103" s="319"/>
      <c r="BU103" s="319"/>
      <c r="BV103" s="319"/>
      <c r="BW103" s="319"/>
      <c r="BX103" s="319"/>
      <c r="BY103" s="319"/>
      <c r="BZ103" s="319"/>
      <c r="CA103" s="319"/>
      <c r="CT103" s="319"/>
      <c r="CU103" s="319"/>
      <c r="CV103" s="319"/>
      <c r="CW103" s="319"/>
      <c r="CX103" s="319"/>
    </row>
    <row r="104" spans="1:102" s="317" customFormat="1">
      <c r="C104" s="319"/>
      <c r="D104" s="319"/>
      <c r="F104" s="319"/>
      <c r="H104" s="319"/>
      <c r="J104" s="319"/>
      <c r="L104" s="319"/>
      <c r="M104" s="319"/>
      <c r="O104" s="319"/>
      <c r="Q104" s="319"/>
      <c r="S104" s="319"/>
      <c r="W104" s="319"/>
      <c r="X104" s="319"/>
      <c r="Z104" s="319"/>
      <c r="AB104" s="319"/>
      <c r="AD104" s="319"/>
      <c r="AF104" s="319"/>
      <c r="AG104" s="319"/>
      <c r="AI104" s="319"/>
      <c r="AK104" s="319"/>
      <c r="AM104" s="319"/>
      <c r="AQ104" s="319"/>
      <c r="AR104" s="319"/>
      <c r="AT104" s="319"/>
      <c r="AV104" s="319"/>
      <c r="AX104" s="319"/>
      <c r="AZ104" s="319"/>
      <c r="BA104" s="319"/>
      <c r="BC104" s="319"/>
      <c r="BE104" s="319"/>
      <c r="BG104" s="319"/>
      <c r="BK104" s="319"/>
      <c r="BL104" s="319"/>
      <c r="BN104" s="319"/>
      <c r="BP104" s="319"/>
      <c r="BR104" s="319"/>
      <c r="BT104" s="319"/>
      <c r="BU104" s="319"/>
      <c r="BW104" s="319"/>
      <c r="BY104" s="319"/>
      <c r="CA104" s="319"/>
      <c r="CT104" s="319"/>
      <c r="CV104" s="319"/>
      <c r="CX104" s="319"/>
    </row>
    <row r="105" spans="1:102" s="317" customFormat="1"/>
    <row r="106" spans="1:102" s="317" customFormat="1">
      <c r="CT106" s="319"/>
      <c r="CV106" s="319"/>
      <c r="CX106" s="319"/>
    </row>
    <row r="107" spans="1:102" s="317" customFormat="1">
      <c r="CT107" s="319"/>
      <c r="CV107" s="319"/>
      <c r="CX107" s="319"/>
    </row>
    <row r="108" spans="1:102" s="317" customFormat="1">
      <c r="CT108" s="319"/>
      <c r="CV108" s="319"/>
      <c r="CX108" s="319"/>
    </row>
    <row r="109" spans="1:102" s="317" customFormat="1"/>
    <row r="110" spans="1:102" s="317" customFormat="1">
      <c r="CT110" s="319"/>
      <c r="CV110" s="319"/>
      <c r="CX110" s="319"/>
    </row>
    <row r="111" spans="1:102" s="317" customFormat="1"/>
    <row r="112" spans="1:102" s="317" customFormat="1"/>
    <row r="113" s="317" customFormat="1"/>
    <row r="114" s="317" customFormat="1"/>
    <row r="115" s="317" customFormat="1"/>
    <row r="116" s="317" customFormat="1"/>
    <row r="117" s="317" customFormat="1"/>
    <row r="118" s="317" customFormat="1"/>
    <row r="119" s="317" customFormat="1"/>
    <row r="120" s="317" customFormat="1"/>
    <row r="121" s="317" customFormat="1"/>
    <row r="122" s="317" customFormat="1"/>
    <row r="123" s="317" customFormat="1"/>
    <row r="124" s="317" customFormat="1"/>
    <row r="125" s="317" customFormat="1"/>
    <row r="126" s="317" customFormat="1"/>
    <row r="127" s="317" customFormat="1"/>
    <row r="128" s="317" customFormat="1"/>
    <row r="129" s="317" customFormat="1"/>
    <row r="130" s="317" customFormat="1"/>
    <row r="131" s="317" customFormat="1"/>
    <row r="132" s="317" customFormat="1"/>
    <row r="133" s="317" customFormat="1"/>
    <row r="134" s="317" customFormat="1"/>
    <row r="135" s="317" customFormat="1"/>
    <row r="136" s="317" customFormat="1"/>
    <row r="137" s="317" customFormat="1"/>
    <row r="138" s="317" customFormat="1"/>
    <row r="139" s="317" customFormat="1"/>
    <row r="140" s="317" customFormat="1"/>
    <row r="141" s="317" customFormat="1"/>
    <row r="142" s="317" customFormat="1"/>
    <row r="143" s="317" customFormat="1"/>
    <row r="144" s="317" customFormat="1"/>
    <row r="145" s="317" customFormat="1"/>
    <row r="146" s="317" customFormat="1"/>
    <row r="147" s="317" customFormat="1"/>
    <row r="148" s="317" customFormat="1"/>
    <row r="149" s="317" customFormat="1"/>
    <row r="150" s="317" customFormat="1"/>
    <row r="151" s="317" customFormat="1"/>
    <row r="152" s="317" customFormat="1"/>
    <row r="153" s="317" customFormat="1"/>
    <row r="154" s="317" customFormat="1"/>
    <row r="155" s="317" customFormat="1"/>
    <row r="156" s="317" customFormat="1"/>
    <row r="157" s="317" customFormat="1"/>
    <row r="158" s="317" customFormat="1"/>
    <row r="159" s="317" customFormat="1"/>
    <row r="160" s="317" customFormat="1"/>
    <row r="161" s="317" customFormat="1"/>
    <row r="162" s="317" customFormat="1"/>
    <row r="163" s="317" customFormat="1"/>
    <row r="164" s="317" customFormat="1"/>
    <row r="165" s="317" customFormat="1"/>
    <row r="166" s="317" customFormat="1"/>
    <row r="167" s="317" customFormat="1"/>
    <row r="168" s="317" customFormat="1"/>
    <row r="169" s="317" customFormat="1"/>
    <row r="170" s="317" customFormat="1"/>
    <row r="171" s="317" customFormat="1"/>
    <row r="172" s="317" customFormat="1"/>
    <row r="173" s="317" customFormat="1"/>
    <row r="174" s="317" customFormat="1"/>
    <row r="175" s="317" customFormat="1"/>
    <row r="176" s="317" customFormat="1"/>
    <row r="177" s="317" customFormat="1"/>
    <row r="178" s="317" customFormat="1"/>
    <row r="179" s="317" customFormat="1"/>
    <row r="180" s="317" customFormat="1"/>
    <row r="181" s="317" customFormat="1"/>
    <row r="182" s="317" customFormat="1"/>
    <row r="183" s="317" customFormat="1"/>
    <row r="184" s="317" customFormat="1"/>
    <row r="185" s="317" customFormat="1"/>
    <row r="186" s="317" customFormat="1"/>
    <row r="187" s="317" customFormat="1"/>
    <row r="188" s="317" customFormat="1"/>
    <row r="189" s="317" customFormat="1"/>
    <row r="190" s="317" customFormat="1"/>
    <row r="191" s="317" customFormat="1"/>
    <row r="192" s="317" customFormat="1"/>
    <row r="193" s="317" customFormat="1"/>
    <row r="194" s="317" customFormat="1"/>
    <row r="195" s="317" customFormat="1"/>
    <row r="196" s="317" customFormat="1"/>
    <row r="197" s="317" customFormat="1"/>
    <row r="198" s="317" customFormat="1"/>
    <row r="199" s="317" customFormat="1"/>
    <row r="200" s="317" customFormat="1"/>
    <row r="201" s="317" customFormat="1"/>
    <row r="202" s="317" customFormat="1"/>
    <row r="203" s="317" customFormat="1"/>
    <row r="204" s="317" customFormat="1"/>
    <row r="205" s="317" customFormat="1"/>
    <row r="206" s="317" customFormat="1"/>
    <row r="207" s="317" customFormat="1"/>
    <row r="208" s="317" customFormat="1"/>
    <row r="209" s="317" customFormat="1"/>
    <row r="210" s="317" customFormat="1"/>
    <row r="211" s="317" customFormat="1"/>
    <row r="212" s="317" customFormat="1"/>
    <row r="213" s="317" customFormat="1"/>
    <row r="214" s="317" customFormat="1"/>
    <row r="215" s="317" customFormat="1"/>
    <row r="216" s="317" customFormat="1"/>
    <row r="217" s="317" customFormat="1"/>
    <row r="218" s="317" customFormat="1"/>
    <row r="219" s="317" customFormat="1"/>
    <row r="220" s="317" customFormat="1"/>
    <row r="221" s="317" customFormat="1"/>
    <row r="222" s="317" customFormat="1"/>
    <row r="223" s="317" customFormat="1"/>
    <row r="224" s="317" customFormat="1"/>
    <row r="225" s="317" customFormat="1"/>
    <row r="226" s="317" customFormat="1"/>
    <row r="227" s="317" customFormat="1"/>
    <row r="228" s="317" customFormat="1"/>
    <row r="229" s="317" customFormat="1"/>
    <row r="230" s="317" customFormat="1"/>
    <row r="231" s="317" customFormat="1"/>
    <row r="232" s="317" customFormat="1"/>
    <row r="233" s="317" customFormat="1"/>
    <row r="234" s="317" customFormat="1"/>
    <row r="235" s="317" customFormat="1"/>
    <row r="236" s="317" customFormat="1"/>
    <row r="237" s="317" customFormat="1"/>
    <row r="238" s="317" customFormat="1"/>
    <row r="239" s="317" customFormat="1"/>
    <row r="240" s="317" customFormat="1"/>
    <row r="241" s="317" customFormat="1"/>
    <row r="242" s="317" customFormat="1"/>
    <row r="243" s="317" customFormat="1"/>
    <row r="244" s="317" customFormat="1"/>
    <row r="245" s="317" customFormat="1"/>
    <row r="246" s="317" customFormat="1"/>
    <row r="247" s="317" customFormat="1"/>
    <row r="248" s="317" customFormat="1"/>
    <row r="249" s="317" customFormat="1"/>
    <row r="250" s="317" customFormat="1"/>
    <row r="251" s="317" customFormat="1"/>
    <row r="252" s="317" customFormat="1"/>
    <row r="253" s="317" customFormat="1"/>
    <row r="254" s="317" customFormat="1"/>
    <row r="255" s="317" customFormat="1"/>
    <row r="256" s="317" customFormat="1"/>
    <row r="257" s="317" customFormat="1"/>
    <row r="258" s="317" customFormat="1"/>
    <row r="259" s="317" customFormat="1"/>
    <row r="260" s="317" customFormat="1"/>
    <row r="261" s="317" customFormat="1"/>
    <row r="262" s="317" customFormat="1"/>
    <row r="263" s="317" customFormat="1"/>
    <row r="264" s="317" customFormat="1"/>
    <row r="265" s="317" customFormat="1"/>
    <row r="266" s="317" customFormat="1"/>
    <row r="267" s="317" customFormat="1"/>
    <row r="268" s="317" customFormat="1"/>
    <row r="269" s="317" customFormat="1"/>
    <row r="270" s="317" customFormat="1"/>
    <row r="271" s="317" customFormat="1"/>
    <row r="272" s="317" customFormat="1"/>
    <row r="273" s="317" customFormat="1"/>
    <row r="274" s="317" customFormat="1"/>
    <row r="275" s="317" customFormat="1"/>
    <row r="276" s="317" customFormat="1"/>
    <row r="277" s="317" customFormat="1"/>
    <row r="278" s="317" customFormat="1"/>
    <row r="279" s="317" customFormat="1"/>
    <row r="280" s="317" customFormat="1"/>
    <row r="281" s="317" customFormat="1"/>
    <row r="282" s="317" customFormat="1"/>
    <row r="283" s="317" customFormat="1"/>
    <row r="284" s="317" customFormat="1"/>
    <row r="285" s="317" customFormat="1"/>
    <row r="286" s="317" customFormat="1"/>
    <row r="287" s="317" customFormat="1"/>
    <row r="288" s="317" customFormat="1"/>
    <row r="289" s="317" customFormat="1"/>
    <row r="290" s="317" customFormat="1"/>
    <row r="291" s="317" customFormat="1"/>
    <row r="292" s="317" customFormat="1"/>
    <row r="293" s="317" customFormat="1"/>
    <row r="294" s="317" customFormat="1"/>
    <row r="295" s="317" customFormat="1"/>
    <row r="296" s="317" customFormat="1"/>
    <row r="297" s="317" customFormat="1"/>
    <row r="298" s="317" customFormat="1"/>
    <row r="299" s="317" customFormat="1"/>
    <row r="300" s="317" customFormat="1"/>
    <row r="301" s="317" customFormat="1"/>
    <row r="302" s="317" customFormat="1"/>
    <row r="303" s="317" customFormat="1"/>
    <row r="304" s="317" customFormat="1"/>
    <row r="305" s="317" customFormat="1"/>
    <row r="306" s="317" customFormat="1"/>
    <row r="307" s="317" customFormat="1"/>
    <row r="308" s="317" customFormat="1"/>
    <row r="309" s="317" customFormat="1"/>
    <row r="310" s="317" customFormat="1"/>
    <row r="311" s="317" customFormat="1"/>
    <row r="312" s="317" customFormat="1"/>
    <row r="313" s="317" customFormat="1"/>
    <row r="314" s="317" customFormat="1"/>
    <row r="315" s="317" customFormat="1"/>
    <row r="316" s="317" customFormat="1"/>
    <row r="317" s="317" customFormat="1"/>
    <row r="318" s="317" customFormat="1"/>
    <row r="319" s="317" customFormat="1"/>
    <row r="320" s="317" customFormat="1"/>
    <row r="321" s="317" customFormat="1"/>
    <row r="322" s="317" customFormat="1"/>
    <row r="323" s="317" customFormat="1"/>
    <row r="324" s="317" customFormat="1"/>
    <row r="325" s="317" customFormat="1"/>
    <row r="326" s="317" customFormat="1"/>
    <row r="327" s="317" customFormat="1"/>
    <row r="328" s="317" customFormat="1"/>
    <row r="329" s="317" customFormat="1"/>
    <row r="330" s="317" customFormat="1"/>
    <row r="331" s="317" customFormat="1"/>
    <row r="332" s="317" customFormat="1"/>
    <row r="333" s="317" customFormat="1"/>
    <row r="334" s="317" customFormat="1"/>
    <row r="335" s="317" customFormat="1"/>
    <row r="336" s="317" customFormat="1"/>
    <row r="337" s="317" customFormat="1"/>
    <row r="338" s="317" customFormat="1"/>
    <row r="339" s="317" customFormat="1"/>
    <row r="340" s="317" customFormat="1"/>
    <row r="341" s="317" customFormat="1"/>
    <row r="342" s="317" customFormat="1"/>
  </sheetData>
  <sheetProtection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A342"/>
  <sheetViews>
    <sheetView zoomScale="80" zoomScaleNormal="80" workbookViewId="0">
      <selection activeCell="CP128" sqref="CP128"/>
    </sheetView>
  </sheetViews>
  <sheetFormatPr defaultColWidth="9.42578125" defaultRowHeight="13.15"/>
  <cols>
    <col min="1" max="1" width="49.42578125" style="136" bestFit="1" customWidth="1"/>
    <col min="2" max="2" width="8.5703125" style="136" bestFit="1" customWidth="1"/>
    <col min="3" max="21" width="15.5703125" style="136" customWidth="1"/>
    <col min="22" max="22" width="7.42578125" style="136" bestFit="1" customWidth="1"/>
    <col min="23" max="41" width="15.5703125" style="136" customWidth="1"/>
    <col min="42" max="42" width="7.42578125" style="136" bestFit="1" customWidth="1"/>
    <col min="43" max="61" width="15.5703125" style="136" customWidth="1"/>
    <col min="62" max="62" width="7.42578125" style="136" bestFit="1" customWidth="1"/>
    <col min="63" max="81" width="15.5703125" style="136" customWidth="1"/>
    <col min="82" max="82" width="7.42578125" style="136" bestFit="1" customWidth="1"/>
    <col min="83" max="95" width="15.5703125" style="136" customWidth="1"/>
    <col min="96" max="96" width="16.7109375" style="136" bestFit="1" customWidth="1"/>
    <col min="97" max="97" width="18.28515625" style="136" bestFit="1" customWidth="1"/>
    <col min="98" max="98" width="13.42578125" style="317" bestFit="1" customWidth="1"/>
    <col min="99" max="99" width="11.42578125" style="317" bestFit="1" customWidth="1"/>
    <col min="100" max="100" width="13.42578125" style="317" bestFit="1" customWidth="1"/>
    <col min="101" max="101" width="11.42578125" style="317" bestFit="1" customWidth="1"/>
    <col min="102" max="102" width="13.42578125" style="317" bestFit="1" customWidth="1"/>
    <col min="103" max="131" width="9.42578125" style="317"/>
    <col min="132" max="16384" width="9.42578125" style="136"/>
  </cols>
  <sheetData>
    <row r="1" spans="1:131" s="179" customFormat="1" ht="27" customHeight="1">
      <c r="A1" s="15" t="s">
        <v>1325</v>
      </c>
      <c r="G1" s="777"/>
      <c r="H1" s="777"/>
      <c r="I1" s="777"/>
      <c r="J1" s="710"/>
      <c r="K1" s="710"/>
      <c r="L1" s="180"/>
      <c r="M1" s="180"/>
      <c r="N1" s="180"/>
      <c r="O1" s="180"/>
      <c r="P1" s="180"/>
      <c r="Q1" s="180"/>
      <c r="R1" s="180"/>
      <c r="S1" s="180"/>
      <c r="T1" s="710"/>
      <c r="U1" s="180"/>
      <c r="V1" s="180"/>
      <c r="W1" s="180"/>
      <c r="X1" s="180"/>
      <c r="Y1" s="180"/>
      <c r="Z1" s="180"/>
      <c r="AA1" s="180"/>
      <c r="AB1" s="180"/>
      <c r="AC1" s="180"/>
      <c r="AD1" s="180"/>
      <c r="AE1" s="710"/>
      <c r="AF1" s="180"/>
      <c r="AG1" s="180"/>
      <c r="AH1" s="180"/>
      <c r="AI1" s="180"/>
      <c r="AJ1" s="180"/>
      <c r="AK1" s="180"/>
      <c r="AL1" s="180"/>
      <c r="AM1" s="180"/>
      <c r="AN1" s="710"/>
      <c r="AO1" s="180"/>
      <c r="AP1" s="180"/>
      <c r="AQ1" s="180"/>
      <c r="AR1" s="180"/>
      <c r="AS1" s="180"/>
      <c r="AT1" s="180"/>
      <c r="AU1" s="180"/>
      <c r="AV1" s="180"/>
      <c r="AW1" s="180"/>
      <c r="AX1" s="180"/>
      <c r="AY1" s="710"/>
      <c r="AZ1" s="180"/>
      <c r="BA1" s="180"/>
      <c r="BB1" s="180"/>
      <c r="BC1" s="180"/>
      <c r="BD1" s="180"/>
      <c r="BE1" s="180"/>
      <c r="BF1" s="180"/>
      <c r="BG1" s="180"/>
      <c r="BH1" s="710"/>
      <c r="BI1" s="180"/>
      <c r="BJ1" s="180"/>
      <c r="BK1" s="180"/>
      <c r="BL1" s="180"/>
      <c r="BM1" s="180"/>
      <c r="BN1" s="180"/>
      <c r="BO1" s="180"/>
      <c r="BP1" s="180"/>
      <c r="BQ1" s="180"/>
      <c r="BR1" s="180"/>
      <c r="BS1" s="710"/>
      <c r="BT1" s="180"/>
      <c r="BU1" s="180"/>
      <c r="BV1" s="180"/>
      <c r="BW1" s="180"/>
      <c r="BX1" s="180"/>
      <c r="BY1" s="180"/>
      <c r="BZ1" s="180"/>
      <c r="CA1" s="180"/>
      <c r="CB1" s="71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row>
    <row r="2" spans="1:131" s="179" customFormat="1" ht="15.6">
      <c r="A2" s="139" t="s">
        <v>1303</v>
      </c>
      <c r="B2" s="397" t="str">
        <f>'Schedule 3A_Income Statement'!B2</f>
        <v>Tufts Associated Health Plans, Inc. (TAHMO)</v>
      </c>
      <c r="C2" s="398"/>
      <c r="D2" s="398"/>
      <c r="E2" s="398"/>
      <c r="F2" s="399"/>
      <c r="G2" s="425"/>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row>
    <row r="3" spans="1:131" s="179" customFormat="1" ht="15.6">
      <c r="A3" s="139" t="s">
        <v>1285</v>
      </c>
      <c r="B3" s="520" t="str">
        <f>'Schedule 3A_Income Statement'!B3</f>
        <v>01/01/2024 - 12/31/2024</v>
      </c>
      <c r="C3" s="521"/>
      <c r="D3" s="521"/>
      <c r="E3" s="521"/>
      <c r="F3" s="522"/>
      <c r="G3" s="42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c r="DV3" s="180"/>
      <c r="DW3" s="180"/>
      <c r="DX3" s="180"/>
      <c r="DY3" s="180"/>
      <c r="DZ3" s="180"/>
      <c r="EA3" s="180"/>
    </row>
    <row r="4" spans="1:131" s="179" customFormat="1" ht="15.6">
      <c r="A4" s="139" t="s">
        <v>1306</v>
      </c>
      <c r="B4" s="401">
        <f>'Schedule 3A_Income Statement'!B4</f>
        <v>45657</v>
      </c>
      <c r="C4" s="398"/>
      <c r="D4" s="398"/>
      <c r="E4" s="398"/>
      <c r="F4" s="399"/>
      <c r="G4" s="425"/>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row>
    <row r="5" spans="1:131" s="179" customFormat="1" ht="15.6">
      <c r="A5" s="139" t="s">
        <v>1307</v>
      </c>
      <c r="B5" s="397" t="str">
        <f>'Schedule 3A_Income Statement'!B5</f>
        <v>Roshni Parikh</v>
      </c>
      <c r="C5" s="398"/>
      <c r="D5" s="398"/>
      <c r="E5" s="398"/>
      <c r="F5" s="399"/>
      <c r="G5" s="425"/>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row>
    <row r="6" spans="1:131" s="179" customFormat="1" ht="15.6">
      <c r="A6" s="139" t="s">
        <v>1288</v>
      </c>
      <c r="B6" s="401">
        <f>'Schedule 3A_Income Statement'!B6</f>
        <v>45657</v>
      </c>
      <c r="C6" s="398"/>
      <c r="D6" s="398"/>
      <c r="E6" s="398"/>
      <c r="F6" s="399"/>
      <c r="G6" s="425"/>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row>
    <row r="7" spans="1:131" s="179" customFormat="1">
      <c r="A7" s="230" t="s">
        <v>1289</v>
      </c>
      <c r="B7" s="181"/>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row>
    <row r="8" spans="1:131" s="179" customFormat="1">
      <c r="A8" s="230"/>
      <c r="B8" s="181"/>
      <c r="G8" s="180"/>
      <c r="H8" s="180"/>
      <c r="I8" s="180"/>
      <c r="J8" s="180"/>
      <c r="K8" s="180"/>
      <c r="L8" s="180"/>
      <c r="M8" s="180"/>
      <c r="N8" s="180"/>
      <c r="O8" s="180"/>
      <c r="P8" s="180"/>
      <c r="Q8" s="180"/>
      <c r="R8" s="180"/>
      <c r="S8" s="180"/>
      <c r="T8" s="180"/>
      <c r="U8" s="180"/>
      <c r="V8" s="343"/>
      <c r="W8" s="180"/>
      <c r="X8" s="180"/>
      <c r="Y8" s="180"/>
      <c r="Z8" s="180"/>
      <c r="AA8" s="180"/>
      <c r="AB8" s="180"/>
      <c r="AC8" s="180"/>
      <c r="AD8" s="180"/>
      <c r="AE8" s="180"/>
      <c r="AF8" s="180"/>
      <c r="AG8" s="180"/>
      <c r="AH8" s="180"/>
      <c r="AI8" s="180"/>
      <c r="AJ8" s="180"/>
      <c r="AK8" s="180"/>
      <c r="AL8" s="180"/>
      <c r="AM8" s="180"/>
      <c r="AN8" s="180"/>
      <c r="AO8" s="180"/>
      <c r="AP8" s="343"/>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row>
    <row r="9" spans="1:131" s="179" customFormat="1">
      <c r="A9" s="230"/>
      <c r="B9" s="181"/>
      <c r="G9" s="180"/>
      <c r="H9" s="180"/>
      <c r="I9" s="180"/>
      <c r="J9" s="180"/>
      <c r="K9" s="180"/>
      <c r="L9" s="180"/>
      <c r="M9" s="180"/>
      <c r="N9" s="180"/>
      <c r="O9" s="180"/>
      <c r="P9" s="180"/>
      <c r="Q9" s="180"/>
      <c r="R9" s="180"/>
      <c r="S9" s="180"/>
      <c r="T9" s="180"/>
      <c r="U9" s="180"/>
      <c r="V9" s="343"/>
      <c r="W9" s="180"/>
      <c r="X9" s="180"/>
      <c r="Y9" s="180"/>
      <c r="Z9" s="180"/>
      <c r="AA9" s="180"/>
      <c r="AB9" s="180"/>
      <c r="AC9" s="180"/>
      <c r="AD9" s="180"/>
      <c r="AE9" s="180"/>
      <c r="AF9" s="180"/>
      <c r="AG9" s="180"/>
      <c r="AH9" s="180"/>
      <c r="AI9" s="180"/>
      <c r="AJ9" s="180"/>
      <c r="AK9" s="180"/>
      <c r="AL9" s="180"/>
      <c r="AM9" s="180"/>
      <c r="AN9" s="180"/>
      <c r="AO9" s="180"/>
      <c r="AP9" s="343"/>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row>
    <row r="10" spans="1:131" s="179" customFormat="1" ht="15.75" customHeight="1">
      <c r="A10" s="404"/>
      <c r="B10" s="769" t="s">
        <v>1326</v>
      </c>
      <c r="C10" s="405" t="s">
        <v>404</v>
      </c>
      <c r="D10" s="406"/>
      <c r="E10" s="406"/>
      <c r="F10" s="406"/>
      <c r="G10" s="406"/>
      <c r="H10" s="406"/>
      <c r="I10" s="406"/>
      <c r="J10" s="406"/>
      <c r="K10" s="406"/>
      <c r="L10" s="406"/>
      <c r="M10" s="406"/>
      <c r="N10" s="406"/>
      <c r="O10" s="406"/>
      <c r="P10" s="406"/>
      <c r="Q10" s="406"/>
      <c r="R10" s="406"/>
      <c r="S10" s="406"/>
      <c r="T10" s="406"/>
      <c r="U10" s="407"/>
      <c r="V10" s="769" t="s">
        <v>1326</v>
      </c>
      <c r="W10" s="405" t="s">
        <v>409</v>
      </c>
      <c r="X10" s="406"/>
      <c r="Y10" s="406"/>
      <c r="Z10" s="406"/>
      <c r="AA10" s="406"/>
      <c r="AB10" s="406"/>
      <c r="AC10" s="406"/>
      <c r="AD10" s="406"/>
      <c r="AE10" s="406"/>
      <c r="AF10" s="406"/>
      <c r="AG10" s="406"/>
      <c r="AH10" s="406"/>
      <c r="AI10" s="406"/>
      <c r="AJ10" s="406"/>
      <c r="AK10" s="406"/>
      <c r="AL10" s="406"/>
      <c r="AM10" s="406"/>
      <c r="AN10" s="406"/>
      <c r="AO10" s="407"/>
      <c r="AP10" s="769" t="s">
        <v>1326</v>
      </c>
      <c r="AQ10" s="405" t="s">
        <v>411</v>
      </c>
      <c r="AR10" s="406"/>
      <c r="AS10" s="406"/>
      <c r="AT10" s="406"/>
      <c r="AU10" s="406"/>
      <c r="AV10" s="406"/>
      <c r="AW10" s="406"/>
      <c r="AX10" s="406"/>
      <c r="AY10" s="406"/>
      <c r="AZ10" s="406"/>
      <c r="BA10" s="406"/>
      <c r="BB10" s="406"/>
      <c r="BC10" s="406"/>
      <c r="BD10" s="406"/>
      <c r="BE10" s="406"/>
      <c r="BF10" s="406"/>
      <c r="BG10" s="406"/>
      <c r="BH10" s="406"/>
      <c r="BI10" s="406"/>
      <c r="BJ10" s="769" t="s">
        <v>1326</v>
      </c>
      <c r="BK10" s="406" t="s">
        <v>1327</v>
      </c>
      <c r="BL10" s="406"/>
      <c r="BM10" s="406"/>
      <c r="BN10" s="406"/>
      <c r="BO10" s="406"/>
      <c r="BP10" s="406"/>
      <c r="BQ10" s="406"/>
      <c r="BR10" s="406"/>
      <c r="BS10" s="406"/>
      <c r="BT10" s="406"/>
      <c r="BU10" s="406"/>
      <c r="BV10" s="406"/>
      <c r="BW10" s="406"/>
      <c r="BX10" s="406"/>
      <c r="BY10" s="406"/>
      <c r="BZ10" s="406"/>
      <c r="CA10" s="406"/>
      <c r="CB10" s="406"/>
      <c r="CC10" s="406"/>
      <c r="CD10" s="769" t="s">
        <v>1326</v>
      </c>
      <c r="CE10" s="646"/>
      <c r="CF10" s="647"/>
      <c r="CG10" s="647"/>
      <c r="CH10" s="648"/>
      <c r="CI10" s="774" t="s">
        <v>1328</v>
      </c>
      <c r="CJ10" s="646"/>
      <c r="CK10" s="647"/>
      <c r="CL10" s="647"/>
      <c r="CM10" s="648"/>
      <c r="CN10" s="774" t="s">
        <v>1328</v>
      </c>
      <c r="CO10" s="646"/>
      <c r="CP10" s="647"/>
      <c r="CQ10" s="647"/>
      <c r="CR10" s="648"/>
      <c r="CS10" s="774" t="s">
        <v>1328</v>
      </c>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row>
    <row r="11" spans="1:131" s="179" customFormat="1" ht="32.1" customHeight="1">
      <c r="A11" s="138" t="s">
        <v>1329</v>
      </c>
      <c r="B11" s="769"/>
      <c r="C11" s="405" t="s">
        <v>1330</v>
      </c>
      <c r="D11" s="406"/>
      <c r="E11" s="406"/>
      <c r="F11" s="406"/>
      <c r="G11" s="406"/>
      <c r="H11" s="406"/>
      <c r="I11" s="406"/>
      <c r="J11" s="406"/>
      <c r="K11" s="408"/>
      <c r="L11" s="409" t="s">
        <v>1331</v>
      </c>
      <c r="M11" s="406"/>
      <c r="N11" s="406"/>
      <c r="O11" s="406"/>
      <c r="P11" s="406"/>
      <c r="Q11" s="406"/>
      <c r="R11" s="406"/>
      <c r="S11" s="406"/>
      <c r="T11" s="406"/>
      <c r="U11" s="770" t="s">
        <v>1332</v>
      </c>
      <c r="V11" s="769"/>
      <c r="W11" s="406" t="s">
        <v>1330</v>
      </c>
      <c r="X11" s="406"/>
      <c r="Y11" s="406"/>
      <c r="Z11" s="406"/>
      <c r="AA11" s="406"/>
      <c r="AB11" s="406"/>
      <c r="AC11" s="406"/>
      <c r="AD11" s="406"/>
      <c r="AE11" s="408"/>
      <c r="AF11" s="409" t="s">
        <v>1331</v>
      </c>
      <c r="AG11" s="406"/>
      <c r="AH11" s="406"/>
      <c r="AI11" s="406"/>
      <c r="AJ11" s="406"/>
      <c r="AK11" s="406"/>
      <c r="AL11" s="406"/>
      <c r="AM11" s="406"/>
      <c r="AN11" s="406"/>
      <c r="AO11" s="770" t="s">
        <v>1332</v>
      </c>
      <c r="AP11" s="769"/>
      <c r="AQ11" s="405" t="s">
        <v>1330</v>
      </c>
      <c r="AR11" s="406"/>
      <c r="AS11" s="406"/>
      <c r="AT11" s="406"/>
      <c r="AU11" s="406"/>
      <c r="AV11" s="406"/>
      <c r="AW11" s="406"/>
      <c r="AX11" s="406"/>
      <c r="AY11" s="408"/>
      <c r="AZ11" s="409" t="s">
        <v>1331</v>
      </c>
      <c r="BA11" s="406"/>
      <c r="BB11" s="406"/>
      <c r="BC11" s="406"/>
      <c r="BD11" s="406"/>
      <c r="BE11" s="406"/>
      <c r="BF11" s="406"/>
      <c r="BG11" s="406"/>
      <c r="BH11" s="406"/>
      <c r="BI11" s="778" t="s">
        <v>1332</v>
      </c>
      <c r="BJ11" s="769"/>
      <c r="BK11" s="406" t="s">
        <v>1330</v>
      </c>
      <c r="BL11" s="406"/>
      <c r="BM11" s="406"/>
      <c r="BN11" s="406"/>
      <c r="BO11" s="406"/>
      <c r="BP11" s="406"/>
      <c r="BQ11" s="406"/>
      <c r="BR11" s="406"/>
      <c r="BS11" s="408"/>
      <c r="BT11" s="409" t="s">
        <v>1331</v>
      </c>
      <c r="BU11" s="406"/>
      <c r="BV11" s="406"/>
      <c r="BW11" s="406"/>
      <c r="BX11" s="406"/>
      <c r="BY11" s="406"/>
      <c r="BZ11" s="406"/>
      <c r="CA11" s="406"/>
      <c r="CB11" s="406"/>
      <c r="CC11" s="778" t="s">
        <v>1332</v>
      </c>
      <c r="CD11" s="769"/>
      <c r="CE11" s="645" t="s">
        <v>1330</v>
      </c>
      <c r="CF11" s="645"/>
      <c r="CG11" s="645"/>
      <c r="CH11" s="645"/>
      <c r="CI11" s="775"/>
      <c r="CJ11" s="645" t="s">
        <v>1331</v>
      </c>
      <c r="CK11" s="645"/>
      <c r="CL11" s="645"/>
      <c r="CM11" s="645"/>
      <c r="CN11" s="775"/>
      <c r="CO11" s="645" t="s">
        <v>1333</v>
      </c>
      <c r="CP11" s="645"/>
      <c r="CQ11" s="645"/>
      <c r="CR11" s="645"/>
      <c r="CS11" s="775"/>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row>
    <row r="12" spans="1:131" ht="12.75" customHeight="1">
      <c r="A12" s="103" t="s">
        <v>1334</v>
      </c>
      <c r="B12" s="769"/>
      <c r="C12" s="174" t="s">
        <v>1291</v>
      </c>
      <c r="D12" s="175"/>
      <c r="E12" s="174" t="s">
        <v>1298</v>
      </c>
      <c r="F12" s="175"/>
      <c r="G12" s="174" t="s">
        <v>1299</v>
      </c>
      <c r="H12" s="175"/>
      <c r="I12" s="174" t="s">
        <v>1300</v>
      </c>
      <c r="J12" s="175"/>
      <c r="K12" s="79"/>
      <c r="L12" s="176" t="s">
        <v>1291</v>
      </c>
      <c r="M12" s="175"/>
      <c r="N12" s="174" t="s">
        <v>1298</v>
      </c>
      <c r="O12" s="175"/>
      <c r="P12" s="174" t="s">
        <v>1299</v>
      </c>
      <c r="Q12" s="175"/>
      <c r="R12" s="174" t="s">
        <v>1300</v>
      </c>
      <c r="S12" s="175"/>
      <c r="T12" s="411"/>
      <c r="U12" s="771"/>
      <c r="V12" s="769"/>
      <c r="W12" s="177" t="s">
        <v>1291</v>
      </c>
      <c r="X12" s="175"/>
      <c r="Y12" s="174" t="s">
        <v>1298</v>
      </c>
      <c r="Z12" s="175"/>
      <c r="AA12" s="174" t="s">
        <v>1299</v>
      </c>
      <c r="AB12" s="175"/>
      <c r="AC12" s="174" t="s">
        <v>1300</v>
      </c>
      <c r="AD12" s="175"/>
      <c r="AE12" s="79"/>
      <c r="AF12" s="176" t="s">
        <v>1291</v>
      </c>
      <c r="AG12" s="175"/>
      <c r="AH12" s="174" t="s">
        <v>1298</v>
      </c>
      <c r="AI12" s="175"/>
      <c r="AJ12" s="174" t="s">
        <v>1299</v>
      </c>
      <c r="AK12" s="175"/>
      <c r="AL12" s="174" t="s">
        <v>1300</v>
      </c>
      <c r="AM12" s="175"/>
      <c r="AN12" s="411"/>
      <c r="AO12" s="771"/>
      <c r="AP12" s="769"/>
      <c r="AQ12" s="174" t="s">
        <v>1291</v>
      </c>
      <c r="AR12" s="175"/>
      <c r="AS12" s="174" t="s">
        <v>1298</v>
      </c>
      <c r="AT12" s="175"/>
      <c r="AU12" s="174" t="s">
        <v>1299</v>
      </c>
      <c r="AV12" s="175"/>
      <c r="AW12" s="174" t="s">
        <v>1300</v>
      </c>
      <c r="AX12" s="175"/>
      <c r="AY12" s="79"/>
      <c r="AZ12" s="176" t="s">
        <v>1291</v>
      </c>
      <c r="BA12" s="175"/>
      <c r="BB12" s="174" t="s">
        <v>1298</v>
      </c>
      <c r="BC12" s="175"/>
      <c r="BD12" s="174" t="s">
        <v>1299</v>
      </c>
      <c r="BE12" s="175"/>
      <c r="BF12" s="174" t="s">
        <v>1300</v>
      </c>
      <c r="BG12" s="175"/>
      <c r="BH12" s="411"/>
      <c r="BI12" s="779"/>
      <c r="BJ12" s="769"/>
      <c r="BK12" s="177" t="s">
        <v>1291</v>
      </c>
      <c r="BL12" s="175"/>
      <c r="BM12" s="174" t="s">
        <v>1298</v>
      </c>
      <c r="BN12" s="175"/>
      <c r="BO12" s="174" t="s">
        <v>1299</v>
      </c>
      <c r="BP12" s="175"/>
      <c r="BQ12" s="174" t="s">
        <v>1300</v>
      </c>
      <c r="BR12" s="175"/>
      <c r="BS12" s="79"/>
      <c r="BT12" s="176" t="s">
        <v>1291</v>
      </c>
      <c r="BU12" s="175"/>
      <c r="BV12" s="174" t="s">
        <v>1298</v>
      </c>
      <c r="BW12" s="175"/>
      <c r="BX12" s="174" t="s">
        <v>1299</v>
      </c>
      <c r="BY12" s="175"/>
      <c r="BZ12" s="174" t="s">
        <v>1300</v>
      </c>
      <c r="CA12" s="175"/>
      <c r="CB12" s="411"/>
      <c r="CC12" s="779"/>
      <c r="CD12" s="769"/>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131" s="247" customFormat="1" ht="46.5" customHeight="1">
      <c r="A13" s="410"/>
      <c r="B13" s="769"/>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2"/>
      <c r="V13" s="769"/>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2"/>
      <c r="AP13" s="769"/>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80"/>
      <c r="BJ13" s="769"/>
      <c r="BK13" s="615"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80"/>
      <c r="CD13" s="769"/>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c r="CT13" s="374"/>
      <c r="CU13" s="374"/>
      <c r="CV13" s="374"/>
      <c r="CW13" s="374"/>
      <c r="CX13" s="374"/>
      <c r="CY13" s="374"/>
      <c r="CZ13" s="374"/>
      <c r="DA13" s="374"/>
      <c r="DB13" s="374"/>
      <c r="DC13" s="374"/>
      <c r="DD13" s="374"/>
      <c r="DE13" s="374"/>
      <c r="DF13" s="374"/>
      <c r="DG13" s="374"/>
      <c r="DH13" s="374"/>
      <c r="DI13" s="374"/>
      <c r="DJ13" s="374"/>
      <c r="DK13" s="374"/>
      <c r="DL13" s="374"/>
      <c r="DM13" s="374"/>
      <c r="DN13" s="374"/>
      <c r="DO13" s="374"/>
      <c r="DP13" s="374"/>
      <c r="DQ13" s="374"/>
      <c r="DR13" s="374"/>
      <c r="DS13" s="374"/>
      <c r="DT13" s="374"/>
      <c r="DU13" s="374"/>
      <c r="DV13" s="374"/>
      <c r="DW13" s="374"/>
      <c r="DX13" s="374"/>
      <c r="DY13" s="374"/>
      <c r="DZ13" s="374"/>
      <c r="EA13" s="374"/>
    </row>
    <row r="14" spans="1:131" ht="15.75" customHeight="1">
      <c r="A14" s="16" t="s">
        <v>1293</v>
      </c>
      <c r="B14" s="140"/>
      <c r="C14" s="637">
        <f>INDEX('Schedule 1_Enrollment'!$D$12:$K$35,MATCH(C12,'Schedule 1_Enrollment'!$B$10:$B$31,0)+1,MATCH(C10,'Schedule 1_Enrollment'!$D$10:$K$10,0)+IF(C13="Dual Eligible",1,0))</f>
        <v>55</v>
      </c>
      <c r="D14" s="637">
        <f>INDEX('Schedule 1_Enrollment'!$D$12:$K$35,MATCH(C12,'Schedule 1_Enrollment'!$B$10:$B$31,0)+1,MATCH(C10,'Schedule 1_Enrollment'!$D$10:$K$10,0)+IF(D13="Dual Eligible",1,0))</f>
        <v>430</v>
      </c>
      <c r="E14" s="637">
        <f>INDEX('Schedule 1_Enrollment'!$D$12:$K$35,MATCH(E12,'Schedule 1_Enrollment'!$B$10:$B$31,0)+1,MATCH(C10,'Schedule 1_Enrollment'!$D$10:$K$10,0)+IF(E13="Dual Eligible",1,0))</f>
        <v>81</v>
      </c>
      <c r="F14" s="637">
        <f>INDEX('Schedule 1_Enrollment'!$D$12:$K$35,MATCH(E12,'Schedule 1_Enrollment'!$B$10:$B$31,0)+1,MATCH(C10,'Schedule 1_Enrollment'!$D$10:$K$10,0)+IF(F13="Dual Eligible",1,0))</f>
        <v>592</v>
      </c>
      <c r="G14" s="637">
        <f>INDEX('Schedule 1_Enrollment'!$D$12:$K$35,MATCH(G12,'Schedule 1_Enrollment'!$B$10:$B$31,0)+1,MATCH(C10,'Schedule 1_Enrollment'!$D$10:$K$10,0)+IF(G13="Dual Eligible",1,0))</f>
        <v>98</v>
      </c>
      <c r="H14" s="637">
        <f>INDEX('Schedule 1_Enrollment'!$D$12:$K$35,MATCH(G12,'Schedule 1_Enrollment'!$B$10:$B$31,0)+1,MATCH(C10,'Schedule 1_Enrollment'!$D$10:$K$10,0)+IF(H13="Dual Eligible",1,0))</f>
        <v>606</v>
      </c>
      <c r="I14" s="637">
        <f>INDEX('Schedule 1_Enrollment'!$D$12:$K$35,MATCH(I12,'Schedule 1_Enrollment'!$B$10:$B$31,0)+1,MATCH(C10,'Schedule 1_Enrollment'!$D$10:$K$10,0)+IF(I13="Dual Eligible",1,0))</f>
        <v>90</v>
      </c>
      <c r="J14" s="637">
        <f>INDEX('Schedule 1_Enrollment'!$D$12:$K$35,MATCH(I12,'Schedule 1_Enrollment'!$B$10:$B$31,0)+1,MATCH(C10,'Schedule 1_Enrollment'!$D$10:$K$10,0)+IF(J13="Dual Eligible",1,0))</f>
        <v>588</v>
      </c>
      <c r="K14" s="640">
        <f>SUM(C14:J14)</f>
        <v>2540</v>
      </c>
      <c r="L14" s="639">
        <f>INDEX('Schedule 1_Enrollment'!$D$12:$K$35,MATCH(L12,'Schedule 1_Enrollment'!$B$10:$B$31,0)+1,MATCH(C10,'Schedule 1_Enrollment'!$D$10:$K$10,0)+IF(L13="Dual Eligible",1,0))</f>
        <v>55</v>
      </c>
      <c r="M14" s="637">
        <f>INDEX('Schedule 1_Enrollment'!$D$12:$K$35,MATCH(L12,'Schedule 1_Enrollment'!$B$10:$B$31,0)+1,MATCH(C10,'Schedule 1_Enrollment'!$D$10:$K$10,0)+IF(M13="Dual Eligible",1,0))</f>
        <v>430</v>
      </c>
      <c r="N14" s="637">
        <f>INDEX('Schedule 1_Enrollment'!$D$12:$K$35,MATCH(N12,'Schedule 1_Enrollment'!$B$10:$B$31,0)+1,MATCH(C10,'Schedule 1_Enrollment'!$D$10:$K$10,0)+IF(N13="Dual Eligible",1,0))</f>
        <v>81</v>
      </c>
      <c r="O14" s="637">
        <f>INDEX('Schedule 1_Enrollment'!$D$12:$K$35,MATCH(N12,'Schedule 1_Enrollment'!$B$10:$B$31,0)+1,MATCH(C10,'Schedule 1_Enrollment'!$D$10:$K$10,0)+IF(O13="Dual Eligible",1,0))</f>
        <v>592</v>
      </c>
      <c r="P14" s="637">
        <f>INDEX('Schedule 1_Enrollment'!$D$12:$K$35,MATCH(P12,'Schedule 1_Enrollment'!$B$10:$B$31,0)+1,MATCH(C10,'Schedule 1_Enrollment'!$D$10:$K$10,0)+IF(P13="Dual Eligible",1,0))</f>
        <v>98</v>
      </c>
      <c r="Q14" s="637">
        <f>INDEX('Schedule 1_Enrollment'!$D$12:$K$35,MATCH(P12,'Schedule 1_Enrollment'!$B$10:$B$31,0)+1,MATCH(C10,'Schedule 1_Enrollment'!$D$10:$K$10,0)+IF(Q13="Dual Eligible",1,0))</f>
        <v>606</v>
      </c>
      <c r="R14" s="637">
        <f>INDEX('Schedule 1_Enrollment'!$D$12:$K$35,MATCH(R12,'Schedule 1_Enrollment'!$B$10:$B$31,0)+1,MATCH(C10,'Schedule 1_Enrollment'!$D$10:$K$10,0)+IF(R13="Dual Eligible",1,0))</f>
        <v>90</v>
      </c>
      <c r="S14" s="637">
        <f>INDEX('Schedule 1_Enrollment'!$D$12:$K$35,MATCH(R12,'Schedule 1_Enrollment'!$B$10:$B$31,0)+1,MATCH(C10,'Schedule 1_Enrollment'!$D$10:$K$10,0)+IF(S13="Dual Eligible",1,0))</f>
        <v>588</v>
      </c>
      <c r="T14" s="640">
        <f>SUM(L14:S14)</f>
        <v>2540</v>
      </c>
      <c r="U14" s="637">
        <f>T14</f>
        <v>2540</v>
      </c>
      <c r="V14" s="140"/>
      <c r="W14" s="637">
        <f>INDEX('Schedule 1_Enrollment'!$D$12:$K$35,MATCH(W12,'Schedule 1_Enrollment'!$B$10:$B$31,0)+1,MATCH(W10,'Schedule 1_Enrollment'!$D$10:$K$10,0)+IF(W13="Dual Eligible",1,0))</f>
        <v>0</v>
      </c>
      <c r="X14" s="637">
        <f>INDEX('Schedule 1_Enrollment'!$D$12:$K$35,MATCH(W12,'Schedule 1_Enrollment'!$B$10:$B$31,0)+1,MATCH(W10,'Schedule 1_Enrollment'!$D$10:$K$10,0)+IF(X13="Dual Eligible",1,0))</f>
        <v>124</v>
      </c>
      <c r="Y14" s="637">
        <f>INDEX('Schedule 1_Enrollment'!$D$12:$K$35,MATCH(Y12,'Schedule 1_Enrollment'!$B$10:$B$31,0)+1,MATCH(W10,'Schedule 1_Enrollment'!$D$10:$K$10,0)+IF(Y13="Dual Eligible",1,0))</f>
        <v>2</v>
      </c>
      <c r="Z14" s="637">
        <f>INDEX('Schedule 1_Enrollment'!$D$12:$K$35,MATCH(Y12,'Schedule 1_Enrollment'!$B$10:$B$31,0)+1,MATCH(W10,'Schedule 1_Enrollment'!$D$10:$K$10,0)+IF(Z13="Dual Eligible",1,0))</f>
        <v>92</v>
      </c>
      <c r="AA14" s="637">
        <f>INDEX('Schedule 1_Enrollment'!$D$12:$K$35,MATCH(AA12,'Schedule 1_Enrollment'!$B$10:$B$31,0)+1,MATCH(W10,'Schedule 1_Enrollment'!$D$10:$K$10,0)+IF(AA13="Dual Eligible",1,0))</f>
        <v>8</v>
      </c>
      <c r="AB14" s="637">
        <f>INDEX('Schedule 1_Enrollment'!$D$12:$K$35,MATCH(AA12,'Schedule 1_Enrollment'!$B$10:$B$31,0)+1,MATCH(W10,'Schedule 1_Enrollment'!$D$10:$K$10,0)+IF(AB13="Dual Eligible",1,0))</f>
        <v>91</v>
      </c>
      <c r="AC14" s="637">
        <f>INDEX('Schedule 1_Enrollment'!$D$12:$K$35,MATCH(AC12,'Schedule 1_Enrollment'!$B$10:$B$31,0)+1,MATCH(W10,'Schedule 1_Enrollment'!$D$10:$K$10,0)+IF(AC13="Dual Eligible",1,0))</f>
        <v>9</v>
      </c>
      <c r="AD14" s="637">
        <f>INDEX('Schedule 1_Enrollment'!$D$12:$K$35,MATCH(AC12,'Schedule 1_Enrollment'!$B$10:$B$31,0)+1,MATCH(W10,'Schedule 1_Enrollment'!$D$10:$K$10,0)+IF(AD13="Dual Eligible",1,0))</f>
        <v>94</v>
      </c>
      <c r="AE14" s="640">
        <f>SUM(W14:AD14)</f>
        <v>420</v>
      </c>
      <c r="AF14" s="639">
        <f>INDEX('Schedule 1_Enrollment'!$D$12:$K$35,MATCH(AF12,'Schedule 1_Enrollment'!$B$10:$B$31,0)+1,MATCH(W10,'Schedule 1_Enrollment'!$D$10:$K$10,0)+IF(AF13="Dual Eligible",1,0))</f>
        <v>0</v>
      </c>
      <c r="AG14" s="637">
        <f>INDEX('Schedule 1_Enrollment'!$D$12:$K$35,MATCH(AF12,'Schedule 1_Enrollment'!$B$10:$B$31,0)+1,MATCH(W10,'Schedule 1_Enrollment'!$D$10:$K$10,0)+IF(AG13="Dual Eligible",1,0))</f>
        <v>124</v>
      </c>
      <c r="AH14" s="637">
        <f>INDEX('Schedule 1_Enrollment'!$D$12:$K$35,MATCH(AH12,'Schedule 1_Enrollment'!$B$10:$B$31,0)+1,MATCH(W10,'Schedule 1_Enrollment'!$D$10:$K$10,0)+IF(AH13="Dual Eligible",1,0))</f>
        <v>2</v>
      </c>
      <c r="AI14" s="637">
        <f>INDEX('Schedule 1_Enrollment'!$D$12:$K$35,MATCH(AH12,'Schedule 1_Enrollment'!$B$10:$B$31,0)+1,MATCH(W10,'Schedule 1_Enrollment'!$D$10:$K$10,0)+IF(AI13="Dual Eligible",1,0))</f>
        <v>92</v>
      </c>
      <c r="AJ14" s="637">
        <f>INDEX('Schedule 1_Enrollment'!$D$12:$K$35,MATCH(AJ12,'Schedule 1_Enrollment'!$B$10:$B$31,0)+1,MATCH(W10,'Schedule 1_Enrollment'!$D$10:$K$10,0)+IF(AJ13="Dual Eligible",1,0))</f>
        <v>8</v>
      </c>
      <c r="AK14" s="637">
        <f>INDEX('Schedule 1_Enrollment'!$D$12:$K$35,MATCH(AJ12,'Schedule 1_Enrollment'!$B$10:$B$31,0)+1,MATCH(W10,'Schedule 1_Enrollment'!$D$10:$K$10,0)+IF(AK13="Dual Eligible",1,0))</f>
        <v>91</v>
      </c>
      <c r="AL14" s="637">
        <f>INDEX('Schedule 1_Enrollment'!$D$12:$K$35,MATCH(AL12,'Schedule 1_Enrollment'!$B$10:$B$31,0)+1,MATCH(W10,'Schedule 1_Enrollment'!$D$10:$K$10,0)+IF(AL13="Dual Eligible",1,0))</f>
        <v>9</v>
      </c>
      <c r="AM14" s="637">
        <f>INDEX('Schedule 1_Enrollment'!$D$12:$K$35,MATCH(AL12,'Schedule 1_Enrollment'!$B$10:$B$31,0)+1,MATCH(W10,'Schedule 1_Enrollment'!$D$10:$K$10,0)+IF(AM13="Dual Eligible",1,0))</f>
        <v>94</v>
      </c>
      <c r="AN14" s="640">
        <f>SUM(AF14:AM14)</f>
        <v>420</v>
      </c>
      <c r="AO14" s="637">
        <f>AN14</f>
        <v>420</v>
      </c>
      <c r="AP14" s="140"/>
      <c r="AQ14" s="637">
        <f>INDEX('Schedule 1_Enrollment'!$D$12:$K$35,MATCH(AQ12,'Schedule 1_Enrollment'!$B$10:$B$31,0)+1,MATCH(AQ10,'Schedule 1_Enrollment'!$D$10:$K$10,0)+IF(AQ13="Dual Eligible",1,0))</f>
        <v>298</v>
      </c>
      <c r="AR14" s="637">
        <f>INDEX('Schedule 1_Enrollment'!$D$12:$K$35,MATCH(AQ12,'Schedule 1_Enrollment'!$B$10:$B$31,0)+1,MATCH(AQ10,'Schedule 1_Enrollment'!$D$10:$K$10,0)+IF(AR13="Dual Eligible",1,0))</f>
        <v>1083</v>
      </c>
      <c r="AS14" s="637">
        <f>INDEX('Schedule 1_Enrollment'!$D$12:$K$35,MATCH(AS12,'Schedule 1_Enrollment'!$B$10:$B$31,0)+1,MATCH(AQ10,'Schedule 1_Enrollment'!$D$10:$K$10,0)+IF(AS13="Dual Eligible",1,0))</f>
        <v>301</v>
      </c>
      <c r="AT14" s="637">
        <f>INDEX('Schedule 1_Enrollment'!$D$12:$K$35,MATCH(AS12,'Schedule 1_Enrollment'!$B$10:$B$31,0)+1,MATCH(AQ10,'Schedule 1_Enrollment'!$D$10:$K$10,0)+IF(AT13="Dual Eligible",1,0))</f>
        <v>1059</v>
      </c>
      <c r="AU14" s="637">
        <f>INDEX('Schedule 1_Enrollment'!$D$12:$K$35,MATCH(AU12,'Schedule 1_Enrollment'!$B$10:$B$31,0)+1,MATCH(AQ10,'Schedule 1_Enrollment'!$D$10:$K$10,0)+IF(AU13="Dual Eligible",1,0))</f>
        <v>330</v>
      </c>
      <c r="AV14" s="637">
        <f>INDEX('Schedule 1_Enrollment'!$D$12:$K$35,MATCH(AU12,'Schedule 1_Enrollment'!$B$10:$B$31,0)+1,MATCH(AQ10,'Schedule 1_Enrollment'!$D$10:$K$10,0)+IF(AV13="Dual Eligible",1,0))</f>
        <v>1209</v>
      </c>
      <c r="AW14" s="637">
        <f>INDEX('Schedule 1_Enrollment'!$D$12:$K$35,MATCH(AW12,'Schedule 1_Enrollment'!$B$10:$B$31,0)+1,MATCH(AQ10,'Schedule 1_Enrollment'!$D$10:$K$10,0)+IF(AW13="Dual Eligible",1,0))</f>
        <v>370</v>
      </c>
      <c r="AX14" s="637">
        <f>INDEX('Schedule 1_Enrollment'!$D$12:$K$35,MATCH(AW12,'Schedule 1_Enrollment'!$B$10:$B$31,0)+1,MATCH(AQ10,'Schedule 1_Enrollment'!$D$10:$K$10,0)+IF(AX13="Dual Eligible",1,0))</f>
        <v>1387</v>
      </c>
      <c r="AY14" s="640">
        <f>SUM(AQ14:AX14)</f>
        <v>6037</v>
      </c>
      <c r="AZ14" s="639">
        <f>INDEX('Schedule 1_Enrollment'!$D$12:$K$35,MATCH(AZ12,'Schedule 1_Enrollment'!$B$10:$B$31,0)+1,MATCH(AQ10,'Schedule 1_Enrollment'!$D$10:$K$10,0)+IF(AZ13="Dual Eligible",1,0))</f>
        <v>298</v>
      </c>
      <c r="BA14" s="637">
        <f>INDEX('Schedule 1_Enrollment'!$D$12:$K$35,MATCH(AZ12,'Schedule 1_Enrollment'!$B$10:$B$31,0)+1,MATCH(AQ10,'Schedule 1_Enrollment'!$D$10:$K$10,0)+IF(BA13="Dual Eligible",1,0))</f>
        <v>1083</v>
      </c>
      <c r="BB14" s="637">
        <f>INDEX('Schedule 1_Enrollment'!$D$12:$K$35,MATCH(BB12,'Schedule 1_Enrollment'!$B$10:$B$31,0)+1,MATCH(AQ10,'Schedule 1_Enrollment'!$D$10:$K$10,0)+IF(BB13="Dual Eligible",1,0))</f>
        <v>301</v>
      </c>
      <c r="BC14" s="637">
        <f>INDEX('Schedule 1_Enrollment'!$D$12:$K$35,MATCH(BB12,'Schedule 1_Enrollment'!$B$10:$B$31,0)+1,MATCH(AQ10,'Schedule 1_Enrollment'!$D$10:$K$10,0)+IF(BC13="Dual Eligible",1,0))</f>
        <v>1059</v>
      </c>
      <c r="BD14" s="637">
        <f>INDEX('Schedule 1_Enrollment'!$D$12:$K$35,MATCH(BD12,'Schedule 1_Enrollment'!$B$10:$B$31,0)+1,MATCH(AQ10,'Schedule 1_Enrollment'!$D$10:$K$10,0)+IF(BD13="Dual Eligible",1,0))</f>
        <v>330</v>
      </c>
      <c r="BE14" s="637">
        <f>INDEX('Schedule 1_Enrollment'!$D$12:$K$35,MATCH(BD12,'Schedule 1_Enrollment'!$B$10:$B$31,0)+1,MATCH(AQ10,'Schedule 1_Enrollment'!$D$10:$K$10,0)+IF(BE13="Dual Eligible",1,0))</f>
        <v>1209</v>
      </c>
      <c r="BF14" s="637">
        <f>INDEX('Schedule 1_Enrollment'!$D$12:$K$35,MATCH(BF12,'Schedule 1_Enrollment'!$B$10:$B$31,0)+1,MATCH(AQ10,'Schedule 1_Enrollment'!$D$10:$K$10,0)+IF(BF13="Dual Eligible",1,0))</f>
        <v>370</v>
      </c>
      <c r="BG14" s="637">
        <f>INDEX('Schedule 1_Enrollment'!$D$12:$K$35,MATCH(BF12,'Schedule 1_Enrollment'!$B$10:$B$31,0)+1,MATCH(AQ10,'Schedule 1_Enrollment'!$D$10:$K$10,0)+IF(BG13="Dual Eligible",1,0))</f>
        <v>1387</v>
      </c>
      <c r="BH14" s="640">
        <f>SUM(AZ14:BG14)</f>
        <v>6037</v>
      </c>
      <c r="BI14" s="637">
        <f>BH14</f>
        <v>6037</v>
      </c>
      <c r="BJ14" s="140"/>
      <c r="BK14" s="637">
        <f>INDEX('Schedule 1_Enrollment'!$D$12:$K$35,MATCH(BK12,'Schedule 1_Enrollment'!$B$10:$B$31,0)+1,MATCH(IF(BK10="Institutional (All: Tier 1, Tier 2 and Tier 3)","Institutional (All Tiers)",BK10),'Schedule 1_Enrollment'!$D$10:$K$10,0)+IF(BK13="Dual Eligible",1,0))</f>
        <v>3</v>
      </c>
      <c r="BL14" s="637">
        <f>INDEX('Schedule 1_Enrollment'!$D$12:$K$35,MATCH(BK12,'Schedule 1_Enrollment'!$B$10:$B$31,0)+1,MATCH(IF(BK10="Institutional (All: Tier 1, Tier 2 and Tier 3)","Institutional (All Tiers)",BK10),'Schedule 1_Enrollment'!$D$10:$K$10,0)+IF(BL13="Dual Eligible",1,0))</f>
        <v>52</v>
      </c>
      <c r="BM14" s="637">
        <f>INDEX('Schedule 1_Enrollment'!$D$12:$K$35,MATCH(BM12,'Schedule 1_Enrollment'!$B$10:$B$31,0)+1,MATCH(IF(BK10="Institutional (All: Tier 1, Tier 2 and Tier 3)","Institutional (All Tiers)",BK10),'Schedule 1_Enrollment'!$D$10:$K$10,0)+IF(BM13="Dual Eligible",1,0))</f>
        <v>3</v>
      </c>
      <c r="BN14" s="637">
        <f>INDEX('Schedule 1_Enrollment'!$D$12:$K$35,MATCH(BM12,'Schedule 1_Enrollment'!$B$10:$B$31,0)+1,MATCH(IF(BK10="Institutional (All: Tier 1, Tier 2 and Tier 3)","Institutional (All Tiers)",BK10),'Schedule 1_Enrollment'!$D$10:$K$10,0)+IF(BN13="Dual Eligible",1,0))</f>
        <v>43</v>
      </c>
      <c r="BO14" s="637">
        <f>INDEX('Schedule 1_Enrollment'!$D$12:$K$35,MATCH(BO12,'Schedule 1_Enrollment'!$B$10:$B$31,0)+1,MATCH(IF(BK10="Institutional (All: Tier 1, Tier 2 and Tier 3)","Institutional (All Tiers)",BK10),'Schedule 1_Enrollment'!$D$10:$K$10,0)+IF(BO13="Dual Eligible",1,0))</f>
        <v>2</v>
      </c>
      <c r="BP14" s="637">
        <f>INDEX('Schedule 1_Enrollment'!$D$12:$K$35,MATCH(BO12,'Schedule 1_Enrollment'!$B$10:$B$31,0)+1,MATCH(IF(BK10="Institutional (All: Tier 1, Tier 2 and Tier 3)","Institutional (All Tiers)",BK10),'Schedule 1_Enrollment'!$D$10:$K$10,0)+IF(BP13="Dual Eligible",1,0))</f>
        <v>49</v>
      </c>
      <c r="BQ14" s="637">
        <f>INDEX('Schedule 1_Enrollment'!$D$12:$K$35,MATCH(BQ12,'Schedule 1_Enrollment'!$B$10:$B$31,0)+1,MATCH(IF(BK10="Institutional (All: Tier 1, Tier 2 and Tier 3)","Institutional (All Tiers)",BK10),'Schedule 1_Enrollment'!$D$10:$K$10,0)+IF(BQ13="Dual Eligible",1,0))</f>
        <v>0</v>
      </c>
      <c r="BR14" s="637">
        <f>INDEX('Schedule 1_Enrollment'!$D$12:$K$35,MATCH(BQ12,'Schedule 1_Enrollment'!$B$10:$B$31,0)+1,MATCH(IF(BK10="Institutional (All: Tier 1, Tier 2 and Tier 3)","Institutional (All Tiers)",BK10),'Schedule 1_Enrollment'!$D$10:$K$10,0)+IF(BR13="Dual Eligible",1,0))</f>
        <v>43</v>
      </c>
      <c r="BS14" s="640">
        <f>SUM(BK14:BR14)</f>
        <v>195</v>
      </c>
      <c r="BT14" s="639">
        <f>INDEX('Schedule 1_Enrollment'!$D$12:$K$35,MATCH(BT12,'Schedule 1_Enrollment'!$B$10:$B$31,0)+1,MATCH(IF(BK10="Institutional (All: Tier 1, Tier 2 and Tier 3)","Institutional (All Tiers)",BK10),'Schedule 1_Enrollment'!$D$10:$K$10,0)+IF(BT13="Dual Eligible",1,0))</f>
        <v>3</v>
      </c>
      <c r="BU14" s="637">
        <f>INDEX('Schedule 1_Enrollment'!$D$12:$K$35,MATCH(BT12,'Schedule 1_Enrollment'!$B$10:$B$31,0)+1,MATCH(IF(BK10="Institutional (All: Tier 1, Tier 2 and Tier 3)","Institutional (All Tiers)",BK10),'Schedule 1_Enrollment'!$D$10:$K$10,0)+IF(BU13="Dual Eligible",1,0))</f>
        <v>52</v>
      </c>
      <c r="BV14" s="637">
        <f>INDEX('Schedule 1_Enrollment'!$D$12:$K$35,MATCH(BV12,'Schedule 1_Enrollment'!$B$10:$B$31,0)+1,MATCH(IF(BK10="Institutional (All: Tier 1, Tier 2 and Tier 3)","Institutional (All Tiers)",BK10),'Schedule 1_Enrollment'!$D$10:$K$10,0)+IF(BV13="Dual Eligible",1,0))</f>
        <v>3</v>
      </c>
      <c r="BW14" s="637">
        <f>INDEX('Schedule 1_Enrollment'!$D$12:$K$35,MATCH(BV12,'Schedule 1_Enrollment'!$B$10:$B$31,0)+1,MATCH(IF(BK10="Institutional (All: Tier 1, Tier 2 and Tier 3)","Institutional (All Tiers)",BK10),'Schedule 1_Enrollment'!$D$10:$K$10,0)+IF(BW13="Dual Eligible",1,0))</f>
        <v>43</v>
      </c>
      <c r="BX14" s="637">
        <f>INDEX('Schedule 1_Enrollment'!$D$12:$K$35,MATCH(BX12,'Schedule 1_Enrollment'!$B$10:$B$31,0)+1,MATCH(IF(BK10="Institutional (All: Tier 1, Tier 2 and Tier 3)","Institutional (All Tiers)",BK10),'Schedule 1_Enrollment'!$D$10:$K$10,0)+IF(BX13="Dual Eligible",1,0))</f>
        <v>2</v>
      </c>
      <c r="BY14" s="637">
        <f>INDEX('Schedule 1_Enrollment'!$D$12:$K$35,MATCH(BX12,'Schedule 1_Enrollment'!$B$10:$B$31,0)+1,MATCH(IF(BK10="Institutional (All: Tier 1, Tier 2 and Tier 3)","Institutional (All Tiers)",BK10),'Schedule 1_Enrollment'!$D$10:$K$10,0)+IF(BY13="Dual Eligible",1,0))</f>
        <v>49</v>
      </c>
      <c r="BZ14" s="637">
        <f>INDEX('Schedule 1_Enrollment'!$D$12:$K$35,MATCH(BZ12,'Schedule 1_Enrollment'!$B$10:$B$31,0)+1,MATCH(IF(BK10="Institutional (All: Tier 1, Tier 2 and Tier 3)","Institutional (All Tiers)",BK10),'Schedule 1_Enrollment'!$D$10:$K$10,0)+IF(BZ13="Dual Eligible",1,0))</f>
        <v>0</v>
      </c>
      <c r="CA14" s="637">
        <f>INDEX('Schedule 1_Enrollment'!$D$12:$K$35,MATCH(BZ12,'Schedule 1_Enrollment'!$B$10:$B$31,0)+1,MATCH(IF(BK10="Institutional (All: Tier 1, Tier 2 and Tier 3)","Institutional (All Tiers)",BK10),'Schedule 1_Enrollment'!$D$10:$K$10,0)+IF(CA13="Dual Eligible",1,0))</f>
        <v>43</v>
      </c>
      <c r="CB14" s="640">
        <f>SUM(BT14:CA14)</f>
        <v>195</v>
      </c>
      <c r="CC14" s="637">
        <f>CB14</f>
        <v>195</v>
      </c>
      <c r="CD14" s="140"/>
      <c r="CE14" s="637">
        <f>+C14+D14+W14+X14+AQ14+AR14+BK14+BL14</f>
        <v>2045</v>
      </c>
      <c r="CF14" s="637">
        <f>+E14+F14+Y14+Z14+AS14+AT14+BM14+BN14</f>
        <v>2173</v>
      </c>
      <c r="CG14" s="637">
        <f>+G14+H14+AA14+AB14+AU14+AV14+BO14+BP14</f>
        <v>2393</v>
      </c>
      <c r="CH14" s="637">
        <f>+I14+J14+AC14+AD14+AW14+AX14+BQ14+BR14</f>
        <v>2581</v>
      </c>
      <c r="CI14" s="638">
        <f>SUM(K14,AE14,AY14,BS14)</f>
        <v>9192</v>
      </c>
      <c r="CJ14" s="637">
        <f>L14+M14+AF14+AG14+AZ14+BA14+BT14+BU14</f>
        <v>2045</v>
      </c>
      <c r="CK14" s="637">
        <f>N14+O14+AH14+AI14+BB14+BC14+BV14+BW14</f>
        <v>2173</v>
      </c>
      <c r="CL14" s="637">
        <f>P14+Q14+AJ14+AK14+BD14+BE14+BX14+BY14</f>
        <v>2393</v>
      </c>
      <c r="CM14" s="637">
        <f>+R14+S14+AL14+AM14+BF14+BG14+BZ14+CA14</f>
        <v>2581</v>
      </c>
      <c r="CN14" s="638">
        <f>SUM(T14,AN14,BH14,CB14)</f>
        <v>9192</v>
      </c>
      <c r="CO14" s="637">
        <f>+C14+D14+W14+X14+AQ14+AR14+BK14+BL14</f>
        <v>2045</v>
      </c>
      <c r="CP14" s="637">
        <f>+E14+F14+Y14+Z14+AS14+AT14+BM14+BN14</f>
        <v>2173</v>
      </c>
      <c r="CQ14" s="637">
        <f>+G14+H14+AA14+AB14+AU14+AV14+BO14+BP14</f>
        <v>2393</v>
      </c>
      <c r="CR14" s="637">
        <f>+I14+J14+AC14+AD14+AW14+AX14+BQ14+BR14</f>
        <v>2581</v>
      </c>
      <c r="CS14" s="638">
        <f t="shared" ref="CS14" si="0">SUM(CC14,BI14,AO14,U14)</f>
        <v>9192</v>
      </c>
    </row>
    <row r="15" spans="1:131"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6"/>
      <c r="V15" s="193"/>
      <c r="W15" s="104"/>
      <c r="X15" s="104"/>
      <c r="Y15" s="104"/>
      <c r="Z15" s="104"/>
      <c r="AA15" s="104"/>
      <c r="AB15" s="104"/>
      <c r="AC15" s="104"/>
      <c r="AD15" s="104"/>
      <c r="AE15" s="375"/>
      <c r="AF15" s="376"/>
      <c r="AG15" s="104"/>
      <c r="AH15" s="104"/>
      <c r="AI15" s="104"/>
      <c r="AJ15" s="104"/>
      <c r="AK15" s="104"/>
      <c r="AL15" s="104"/>
      <c r="AM15" s="104"/>
      <c r="AN15" s="104"/>
      <c r="AO15" s="376"/>
      <c r="AP15" s="193"/>
      <c r="AQ15" s="104"/>
      <c r="AR15" s="104"/>
      <c r="AS15" s="104"/>
      <c r="AT15" s="104"/>
      <c r="AU15" s="104"/>
      <c r="AV15" s="104"/>
      <c r="AW15" s="104"/>
      <c r="AX15" s="104"/>
      <c r="AY15" s="375"/>
      <c r="AZ15" s="376"/>
      <c r="BA15" s="104"/>
      <c r="BB15" s="104"/>
      <c r="BC15" s="104"/>
      <c r="BD15" s="104"/>
      <c r="BE15" s="104"/>
      <c r="BF15" s="104"/>
      <c r="BG15" s="104"/>
      <c r="BH15" s="104"/>
      <c r="BI15" s="376"/>
      <c r="BJ15" s="193"/>
      <c r="BK15" s="104"/>
      <c r="BL15" s="104"/>
      <c r="BM15" s="104"/>
      <c r="BN15" s="104"/>
      <c r="BO15" s="104"/>
      <c r="BP15" s="104"/>
      <c r="BQ15" s="104"/>
      <c r="BR15" s="104"/>
      <c r="BS15" s="375"/>
      <c r="BT15" s="376"/>
      <c r="BU15" s="104"/>
      <c r="BV15" s="104"/>
      <c r="BW15" s="104"/>
      <c r="BX15" s="104"/>
      <c r="BY15" s="104"/>
      <c r="BZ15" s="104"/>
      <c r="CA15" s="104"/>
      <c r="CB15" s="104"/>
      <c r="CC15" s="376"/>
      <c r="CD15" s="193"/>
      <c r="CE15" s="199"/>
      <c r="CF15" s="199"/>
      <c r="CG15" s="199"/>
      <c r="CH15" s="199"/>
      <c r="CI15" s="193"/>
      <c r="CJ15" s="199"/>
      <c r="CK15" s="199"/>
      <c r="CL15" s="199"/>
      <c r="CM15" s="199"/>
      <c r="CN15" s="193"/>
      <c r="CO15" s="199"/>
      <c r="CP15" s="199"/>
      <c r="CQ15" s="199"/>
      <c r="CR15" s="199"/>
      <c r="CS15" s="193"/>
    </row>
    <row r="16" spans="1:131" ht="15.75" customHeight="1">
      <c r="A16" s="135" t="s">
        <v>171</v>
      </c>
      <c r="B16" s="300">
        <v>1</v>
      </c>
      <c r="C16" s="233">
        <v>107753.05</v>
      </c>
      <c r="D16" s="233">
        <v>393001.43000000098</v>
      </c>
      <c r="E16" s="233">
        <v>125628.15</v>
      </c>
      <c r="F16" s="233">
        <v>391627.820000001</v>
      </c>
      <c r="G16" s="233">
        <v>157437.91</v>
      </c>
      <c r="H16" s="233">
        <v>400409.85000000201</v>
      </c>
      <c r="I16" s="233">
        <v>160090.99</v>
      </c>
      <c r="J16" s="233">
        <v>410029.590000002</v>
      </c>
      <c r="K16" s="412">
        <f t="shared" ref="K16:K23" si="1">SUM(C16:J16)</f>
        <v>2145978.7900000061</v>
      </c>
      <c r="L16" s="413">
        <v>0</v>
      </c>
      <c r="M16" s="233">
        <v>0</v>
      </c>
      <c r="N16" s="233">
        <v>0</v>
      </c>
      <c r="O16" s="233">
        <v>0</v>
      </c>
      <c r="P16" s="233">
        <v>0</v>
      </c>
      <c r="Q16" s="233">
        <v>0</v>
      </c>
      <c r="R16" s="233">
        <v>0</v>
      </c>
      <c r="S16" s="233">
        <v>0</v>
      </c>
      <c r="T16" s="414">
        <f t="shared" ref="T16:T23" si="2">SUM(L16:S16)</f>
        <v>0</v>
      </c>
      <c r="U16" s="415">
        <f t="shared" ref="U16:U23" si="3">SUM(K16,T16)</f>
        <v>2145978.7900000061</v>
      </c>
      <c r="V16" s="300">
        <v>1</v>
      </c>
      <c r="W16" s="233">
        <v>22973.040000000001</v>
      </c>
      <c r="X16" s="233">
        <v>309334.93</v>
      </c>
      <c r="Y16" s="233">
        <v>16913.28</v>
      </c>
      <c r="Z16" s="233">
        <v>303526.65000000002</v>
      </c>
      <c r="AA16" s="233">
        <v>13883.4</v>
      </c>
      <c r="AB16" s="233">
        <v>307483.95</v>
      </c>
      <c r="AC16" s="233">
        <v>28482.78</v>
      </c>
      <c r="AD16" s="233">
        <v>333286.80000000098</v>
      </c>
      <c r="AE16" s="412">
        <f t="shared" ref="AE16:AE23" si="4">SUM(W16:AD16)</f>
        <v>1335884.830000001</v>
      </c>
      <c r="AF16" s="413">
        <v>0</v>
      </c>
      <c r="AG16" s="233">
        <v>0</v>
      </c>
      <c r="AH16" s="233">
        <v>0</v>
      </c>
      <c r="AI16" s="233">
        <v>0</v>
      </c>
      <c r="AJ16" s="233">
        <v>0</v>
      </c>
      <c r="AK16" s="233">
        <v>0</v>
      </c>
      <c r="AL16" s="233">
        <v>0</v>
      </c>
      <c r="AM16" s="233">
        <v>0</v>
      </c>
      <c r="AN16" s="414">
        <f t="shared" ref="AN16:AN23" si="5">SUM(AF16:AM16)</f>
        <v>0</v>
      </c>
      <c r="AO16" s="415">
        <f t="shared" ref="AO16:AO23" si="6">SUM(AE16,AN16)</f>
        <v>1335884.830000001</v>
      </c>
      <c r="AP16" s="300">
        <v>1</v>
      </c>
      <c r="AQ16" s="233">
        <v>2836131.77999999</v>
      </c>
      <c r="AR16" s="233">
        <v>9005904.50999978</v>
      </c>
      <c r="AS16" s="233">
        <v>3022967.8099999996</v>
      </c>
      <c r="AT16" s="233">
        <v>9220674.6299997792</v>
      </c>
      <c r="AU16" s="233">
        <v>3149637.59</v>
      </c>
      <c r="AV16" s="233">
        <v>9706710.9699996095</v>
      </c>
      <c r="AW16" s="233">
        <v>3346412.66</v>
      </c>
      <c r="AX16" s="233">
        <v>9956461.7599996012</v>
      </c>
      <c r="AY16" s="412">
        <f t="shared" ref="AY16:AY23" si="7">SUM(AQ16:AX16)</f>
        <v>50244901.709998757</v>
      </c>
      <c r="AZ16" s="413">
        <v>0</v>
      </c>
      <c r="BA16" s="233">
        <v>0</v>
      </c>
      <c r="BB16" s="233">
        <v>0</v>
      </c>
      <c r="BC16" s="233">
        <v>0</v>
      </c>
      <c r="BD16" s="233">
        <v>0</v>
      </c>
      <c r="BE16" s="233">
        <v>0</v>
      </c>
      <c r="BF16" s="233">
        <v>0</v>
      </c>
      <c r="BG16" s="233">
        <v>0</v>
      </c>
      <c r="BH16" s="414">
        <f t="shared" ref="BH16:BH23" si="8">SUM(AZ16:BG16)</f>
        <v>0</v>
      </c>
      <c r="BI16" s="415">
        <f t="shared" ref="BI16:BI23" si="9">SUM(AY16,BH16)</f>
        <v>50244901.709998757</v>
      </c>
      <c r="BJ16" s="300">
        <v>1</v>
      </c>
      <c r="BK16" s="233">
        <v>99375.540000000008</v>
      </c>
      <c r="BL16" s="233">
        <v>1181674.18</v>
      </c>
      <c r="BM16" s="233">
        <v>84421.43</v>
      </c>
      <c r="BN16" s="233">
        <v>1189067.49</v>
      </c>
      <c r="BO16" s="233">
        <v>88315.040000000008</v>
      </c>
      <c r="BP16" s="233">
        <v>1169229.1599999999</v>
      </c>
      <c r="BQ16" s="233">
        <v>118082.73</v>
      </c>
      <c r="BR16" s="233">
        <v>1229369.99</v>
      </c>
      <c r="BS16" s="412">
        <f t="shared" ref="BS16:BS23" si="10">SUM(BK16:BR16)</f>
        <v>5159535.5599999996</v>
      </c>
      <c r="BT16" s="413">
        <v>0</v>
      </c>
      <c r="BU16" s="233">
        <v>0</v>
      </c>
      <c r="BV16" s="233">
        <v>0</v>
      </c>
      <c r="BW16" s="233">
        <v>0</v>
      </c>
      <c r="BX16" s="233">
        <v>0</v>
      </c>
      <c r="BY16" s="233">
        <v>0</v>
      </c>
      <c r="BZ16" s="233">
        <v>0</v>
      </c>
      <c r="CA16" s="233">
        <v>0</v>
      </c>
      <c r="CB16" s="414">
        <f t="shared" ref="CB16:CB23" si="11">SUM(BT16:CA16)</f>
        <v>0</v>
      </c>
      <c r="CC16" s="415">
        <f t="shared" ref="CC16:CC23" si="12">SUM(BS16,CB16)</f>
        <v>5159535.5599999996</v>
      </c>
      <c r="CD16" s="300">
        <v>1</v>
      </c>
      <c r="CE16" s="414">
        <f>+C16+D16+W16+X16+AQ16+AR16+BK16+BL16</f>
        <v>13956148.45999977</v>
      </c>
      <c r="CF16" s="414">
        <f>+E16+F16+Y16+Z16+AS16+AT16+BM16+BN16</f>
        <v>14354827.25999978</v>
      </c>
      <c r="CG16" s="414">
        <f>+G16+H16+AA16+AB16+AU16+AV16+BO16+BP16</f>
        <v>14993107.86999961</v>
      </c>
      <c r="CH16" s="414">
        <f>+I16+J16+AC16+AD16+AW16+AX16+BQ16+BR16</f>
        <v>15582217.299999604</v>
      </c>
      <c r="CI16" s="416">
        <f>SUM(K16,AE16,AY16,BS16)</f>
        <v>58886300.889998764</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13956148.45999977</v>
      </c>
      <c r="CP16" s="414">
        <f>+E16+F16+N16+O16+Y16+Z16+AH16+AI16+AS16+AT16+BB16+BC16+BM16+BN16+BV16+BW16</f>
        <v>14354827.25999978</v>
      </c>
      <c r="CQ16" s="414">
        <f>+G16+H16+P16+Q16+AA16+AB16+AJ16+AK16+AU16+AV16+BD16+BE16+BO16+BP16+BX16+BY16</f>
        <v>14993107.86999961</v>
      </c>
      <c r="CR16" s="414">
        <f>+I16+J16+R16+S16+AC16+AD16+AL16+AM16+AW16+AX16+BF16+BG16+BQ16+BR16+BZ16+CA16</f>
        <v>15582217.299999604</v>
      </c>
      <c r="CS16" s="416">
        <f t="shared" ref="CS16:CS23" si="13">SUM(CC16,BI16,AO16,U16)</f>
        <v>58886300.889998764</v>
      </c>
      <c r="CT16" s="319"/>
      <c r="CU16" s="319"/>
      <c r="CV16" s="319"/>
      <c r="CW16" s="319"/>
      <c r="CX16" s="319"/>
    </row>
    <row r="17" spans="1:131" ht="15.75" customHeight="1">
      <c r="A17" s="88" t="s">
        <v>1337</v>
      </c>
      <c r="B17" s="300"/>
      <c r="C17" s="233"/>
      <c r="D17" s="233"/>
      <c r="E17" s="233"/>
      <c r="F17" s="233"/>
      <c r="G17" s="233"/>
      <c r="H17" s="233"/>
      <c r="I17" s="233"/>
      <c r="J17" s="233"/>
      <c r="K17" s="412">
        <f t="shared" si="1"/>
        <v>0</v>
      </c>
      <c r="L17" s="417">
        <v>0</v>
      </c>
      <c r="M17" s="231">
        <v>1044673.4536</v>
      </c>
      <c r="N17" s="231">
        <v>0</v>
      </c>
      <c r="O17" s="231">
        <v>890527.35239999904</v>
      </c>
      <c r="P17" s="231">
        <v>0</v>
      </c>
      <c r="Q17" s="231">
        <v>955831.24000000197</v>
      </c>
      <c r="R17" s="231">
        <v>0</v>
      </c>
      <c r="S17" s="231">
        <v>955200.44340000197</v>
      </c>
      <c r="T17" s="414">
        <f t="shared" si="2"/>
        <v>3846232.4894000031</v>
      </c>
      <c r="U17" s="415">
        <f t="shared" si="3"/>
        <v>3846232.4894000031</v>
      </c>
      <c r="V17" s="300"/>
      <c r="W17" s="233">
        <v>0</v>
      </c>
      <c r="X17" s="233">
        <v>0</v>
      </c>
      <c r="Y17" s="233">
        <v>0</v>
      </c>
      <c r="Z17" s="233">
        <v>0</v>
      </c>
      <c r="AA17" s="233">
        <v>0</v>
      </c>
      <c r="AB17" s="233">
        <v>0</v>
      </c>
      <c r="AC17" s="233">
        <v>0</v>
      </c>
      <c r="AD17" s="233">
        <v>0</v>
      </c>
      <c r="AE17" s="412">
        <f t="shared" si="4"/>
        <v>0</v>
      </c>
      <c r="AF17" s="417">
        <v>0</v>
      </c>
      <c r="AG17" s="231">
        <v>449904.08399999997</v>
      </c>
      <c r="AH17" s="231">
        <v>0</v>
      </c>
      <c r="AI17" s="231">
        <v>398785.28480000002</v>
      </c>
      <c r="AJ17" s="231">
        <v>0</v>
      </c>
      <c r="AK17" s="231">
        <v>441291.64799999999</v>
      </c>
      <c r="AL17" s="231">
        <v>0</v>
      </c>
      <c r="AM17" s="231">
        <v>473856.94020000001</v>
      </c>
      <c r="AN17" s="414">
        <f t="shared" si="5"/>
        <v>1763837.9570000002</v>
      </c>
      <c r="AO17" s="415">
        <f t="shared" si="6"/>
        <v>1763837.9570000002</v>
      </c>
      <c r="AP17" s="300"/>
      <c r="AQ17" s="233">
        <v>0</v>
      </c>
      <c r="AR17" s="233">
        <v>0</v>
      </c>
      <c r="AS17" s="233">
        <v>0</v>
      </c>
      <c r="AT17" s="233">
        <v>0</v>
      </c>
      <c r="AU17" s="233">
        <v>0</v>
      </c>
      <c r="AV17" s="233">
        <v>0</v>
      </c>
      <c r="AW17" s="233">
        <v>0</v>
      </c>
      <c r="AX17" s="233">
        <v>0</v>
      </c>
      <c r="AY17" s="412">
        <f t="shared" si="7"/>
        <v>0</v>
      </c>
      <c r="AZ17" s="417">
        <v>0</v>
      </c>
      <c r="BA17" s="231">
        <v>9773913.9091999792</v>
      </c>
      <c r="BB17" s="231">
        <v>0</v>
      </c>
      <c r="BC17" s="231">
        <v>7488605.40820002</v>
      </c>
      <c r="BD17" s="231">
        <v>0</v>
      </c>
      <c r="BE17" s="231">
        <v>8469970.8520000391</v>
      </c>
      <c r="BF17" s="231">
        <v>0</v>
      </c>
      <c r="BG17" s="231">
        <v>8369838.0878000502</v>
      </c>
      <c r="BH17" s="414">
        <f t="shared" si="8"/>
        <v>34102328.257200092</v>
      </c>
      <c r="BI17" s="415">
        <f t="shared" si="9"/>
        <v>34102328.257200092</v>
      </c>
      <c r="BJ17" s="300"/>
      <c r="BK17" s="233">
        <v>0</v>
      </c>
      <c r="BL17" s="233">
        <v>0</v>
      </c>
      <c r="BM17" s="233">
        <v>0</v>
      </c>
      <c r="BN17" s="233">
        <v>0</v>
      </c>
      <c r="BO17" s="233">
        <v>0</v>
      </c>
      <c r="BP17" s="233">
        <v>0</v>
      </c>
      <c r="BQ17" s="233">
        <v>0</v>
      </c>
      <c r="BR17" s="233">
        <v>0</v>
      </c>
      <c r="BS17" s="412">
        <f t="shared" si="10"/>
        <v>0</v>
      </c>
      <c r="BT17" s="417">
        <v>0</v>
      </c>
      <c r="BU17" s="231">
        <v>373042.10580000002</v>
      </c>
      <c r="BV17" s="231">
        <v>0</v>
      </c>
      <c r="BW17" s="231">
        <v>350824.41800000001</v>
      </c>
      <c r="BX17" s="231">
        <v>0</v>
      </c>
      <c r="BY17" s="231">
        <v>346683.9278</v>
      </c>
      <c r="BZ17" s="231">
        <v>0</v>
      </c>
      <c r="CA17" s="231">
        <v>428620.76740000001</v>
      </c>
      <c r="CB17" s="414">
        <f t="shared" si="11"/>
        <v>1499171.219</v>
      </c>
      <c r="CC17" s="415">
        <f t="shared" si="12"/>
        <v>1499171.219</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11641533.552599978</v>
      </c>
      <c r="CK17" s="414">
        <f t="shared" ref="CK17:CK23" si="20">N17+O17+AH17+AI17+BB17+BC17+BV17+BW17</f>
        <v>9128742.4634000193</v>
      </c>
      <c r="CL17" s="414">
        <f t="shared" ref="CL17:CL23" si="21">P17+Q17+AJ17+AK17+BD17+BE17+BX17+BY17</f>
        <v>10213777.667800041</v>
      </c>
      <c r="CM17" s="414">
        <f t="shared" ref="CM17:CM23" si="22">+R17+S17+AL17+AM17+BF17+BG17+BZ17+CA17</f>
        <v>10227516.238800053</v>
      </c>
      <c r="CN17" s="416">
        <f t="shared" ref="CN17:CN23" si="23">SUM(T17,AN17,BH17,CB17)</f>
        <v>41211569.922600091</v>
      </c>
      <c r="CO17" s="414">
        <f t="shared" ref="CO17:CO23" si="24">+C17+D17+L17+M17+W17+X17+AF17+AG17+AQ17+AR17+AZ17+BA17+BK17+BL17+BT17+BU17</f>
        <v>11641533.552599978</v>
      </c>
      <c r="CP17" s="414">
        <f t="shared" ref="CP17:CP23" si="25">+E17+F17+N17+O17+Y17+Z17+AH17+AI17+AS17+AT17+BB17+BC17+BM17+BN17+BV17+BW17</f>
        <v>9128742.4634000193</v>
      </c>
      <c r="CQ17" s="414">
        <f t="shared" ref="CQ17:CQ23" si="26">+G17+H17+P17+Q17+AA17+AB17+AJ17+AK17+AU17+AV17+BD17+BE17+BO17+BP17+BX17+BY17</f>
        <v>10213777.667800041</v>
      </c>
      <c r="CR17" s="414">
        <f t="shared" ref="CR17:CR23" si="27">+I17+J17+R17+S17+AC17+AD17+AL17+AM17+AW17+AX17+BF17+BG17+BQ17+BR17+BZ17+CA17</f>
        <v>10227516.238800053</v>
      </c>
      <c r="CS17" s="416">
        <f t="shared" si="13"/>
        <v>41211569.922600091</v>
      </c>
      <c r="CT17" s="319"/>
      <c r="CV17" s="319"/>
      <c r="CX17" s="319"/>
    </row>
    <row r="18" spans="1:131" ht="15.75" customHeight="1">
      <c r="A18" s="88" t="s">
        <v>1338</v>
      </c>
      <c r="B18" s="300"/>
      <c r="C18" s="231"/>
      <c r="D18" s="231"/>
      <c r="E18" s="231"/>
      <c r="F18" s="231"/>
      <c r="G18" s="231"/>
      <c r="H18" s="231"/>
      <c r="I18" s="231"/>
      <c r="J18" s="231"/>
      <c r="K18" s="412">
        <f t="shared" si="1"/>
        <v>0</v>
      </c>
      <c r="L18" s="417">
        <v>0</v>
      </c>
      <c r="M18" s="231">
        <v>27777.4532</v>
      </c>
      <c r="N18" s="231">
        <v>0</v>
      </c>
      <c r="O18" s="231">
        <v>24959.492600000001</v>
      </c>
      <c r="P18" s="231">
        <v>0</v>
      </c>
      <c r="Q18" s="231">
        <v>27906.8524</v>
      </c>
      <c r="R18" s="231">
        <v>0</v>
      </c>
      <c r="S18" s="231">
        <v>26305.630399999998</v>
      </c>
      <c r="T18" s="414">
        <f t="shared" si="2"/>
        <v>106949.4286</v>
      </c>
      <c r="U18" s="415">
        <f t="shared" si="3"/>
        <v>106949.4286</v>
      </c>
      <c r="V18" s="300"/>
      <c r="W18" s="231">
        <v>0</v>
      </c>
      <c r="X18" s="231">
        <v>0</v>
      </c>
      <c r="Y18" s="231">
        <v>0</v>
      </c>
      <c r="Z18" s="231">
        <v>0</v>
      </c>
      <c r="AA18" s="231">
        <v>0</v>
      </c>
      <c r="AB18" s="231">
        <v>0</v>
      </c>
      <c r="AC18" s="231">
        <v>0</v>
      </c>
      <c r="AD18" s="231">
        <v>0</v>
      </c>
      <c r="AE18" s="412">
        <f t="shared" si="4"/>
        <v>0</v>
      </c>
      <c r="AF18" s="417">
        <v>0</v>
      </c>
      <c r="AG18" s="231">
        <v>17469.4506</v>
      </c>
      <c r="AH18" s="231">
        <v>0</v>
      </c>
      <c r="AI18" s="231">
        <v>13695.470600000001</v>
      </c>
      <c r="AJ18" s="231">
        <v>0</v>
      </c>
      <c r="AK18" s="231">
        <v>15315.3812</v>
      </c>
      <c r="AL18" s="231">
        <v>0</v>
      </c>
      <c r="AM18" s="231">
        <v>15208.139800000001</v>
      </c>
      <c r="AN18" s="414">
        <f t="shared" si="5"/>
        <v>61688.442200000005</v>
      </c>
      <c r="AO18" s="415">
        <f t="shared" si="6"/>
        <v>61688.442200000005</v>
      </c>
      <c r="AP18" s="300"/>
      <c r="AQ18" s="231">
        <v>0</v>
      </c>
      <c r="AR18" s="231">
        <v>0</v>
      </c>
      <c r="AS18" s="231">
        <v>0</v>
      </c>
      <c r="AT18" s="231">
        <v>0</v>
      </c>
      <c r="AU18" s="231">
        <v>0</v>
      </c>
      <c r="AV18" s="231">
        <v>0</v>
      </c>
      <c r="AW18" s="231">
        <v>0</v>
      </c>
      <c r="AX18" s="231">
        <v>0</v>
      </c>
      <c r="AY18" s="412">
        <f t="shared" si="7"/>
        <v>0</v>
      </c>
      <c r="AZ18" s="417">
        <v>0</v>
      </c>
      <c r="BA18" s="231">
        <v>293692.24080000003</v>
      </c>
      <c r="BB18" s="231">
        <v>0</v>
      </c>
      <c r="BC18" s="231">
        <v>222129.720399999</v>
      </c>
      <c r="BD18" s="231">
        <v>0</v>
      </c>
      <c r="BE18" s="231">
        <v>247618.17779999902</v>
      </c>
      <c r="BF18" s="231">
        <v>0</v>
      </c>
      <c r="BG18" s="231">
        <v>239501.758999999</v>
      </c>
      <c r="BH18" s="414">
        <f t="shared" si="8"/>
        <v>1002941.8979999971</v>
      </c>
      <c r="BI18" s="415">
        <f t="shared" si="9"/>
        <v>1002941.8979999971</v>
      </c>
      <c r="BJ18" s="300"/>
      <c r="BK18" s="231">
        <v>0</v>
      </c>
      <c r="BL18" s="231">
        <v>0</v>
      </c>
      <c r="BM18" s="231">
        <v>0</v>
      </c>
      <c r="BN18" s="231">
        <v>0</v>
      </c>
      <c r="BO18" s="231">
        <v>0</v>
      </c>
      <c r="BP18" s="231">
        <v>0</v>
      </c>
      <c r="BQ18" s="231">
        <v>0</v>
      </c>
      <c r="BR18" s="231">
        <v>0</v>
      </c>
      <c r="BS18" s="412">
        <f t="shared" si="10"/>
        <v>0</v>
      </c>
      <c r="BT18" s="417">
        <v>0</v>
      </c>
      <c r="BU18" s="231">
        <v>13946.203599999999</v>
      </c>
      <c r="BV18" s="231">
        <v>0</v>
      </c>
      <c r="BW18" s="231">
        <v>12469.6376</v>
      </c>
      <c r="BX18" s="231">
        <v>0</v>
      </c>
      <c r="BY18" s="231">
        <v>12494.8922</v>
      </c>
      <c r="BZ18" s="231">
        <v>0</v>
      </c>
      <c r="CA18" s="231">
        <v>11754.9236</v>
      </c>
      <c r="CB18" s="414">
        <f t="shared" si="11"/>
        <v>50665.656999999999</v>
      </c>
      <c r="CC18" s="415">
        <f t="shared" si="12"/>
        <v>50665.656999999999</v>
      </c>
      <c r="CD18" s="300"/>
      <c r="CE18" s="414">
        <f t="shared" si="14"/>
        <v>0</v>
      </c>
      <c r="CF18" s="414">
        <f t="shared" si="15"/>
        <v>0</v>
      </c>
      <c r="CG18" s="414">
        <f t="shared" si="16"/>
        <v>0</v>
      </c>
      <c r="CH18" s="414">
        <f t="shared" si="17"/>
        <v>0</v>
      </c>
      <c r="CI18" s="416">
        <f t="shared" si="18"/>
        <v>0</v>
      </c>
      <c r="CJ18" s="414">
        <f t="shared" si="19"/>
        <v>352885.34820000001</v>
      </c>
      <c r="CK18" s="414">
        <f t="shared" si="20"/>
        <v>273254.32119999902</v>
      </c>
      <c r="CL18" s="414">
        <f t="shared" si="21"/>
        <v>303335.303599999</v>
      </c>
      <c r="CM18" s="414">
        <f t="shared" si="22"/>
        <v>292770.45279999898</v>
      </c>
      <c r="CN18" s="416">
        <f t="shared" si="23"/>
        <v>1222245.4257999971</v>
      </c>
      <c r="CO18" s="414">
        <f t="shared" si="24"/>
        <v>352885.34820000001</v>
      </c>
      <c r="CP18" s="414">
        <f t="shared" si="25"/>
        <v>273254.32119999902</v>
      </c>
      <c r="CQ18" s="414">
        <f t="shared" si="26"/>
        <v>303335.303599999</v>
      </c>
      <c r="CR18" s="414">
        <f t="shared" si="27"/>
        <v>292770.45279999898</v>
      </c>
      <c r="CS18" s="416">
        <f t="shared" si="13"/>
        <v>1222245.4257999971</v>
      </c>
      <c r="CV18" s="319"/>
      <c r="CX18" s="319"/>
    </row>
    <row r="19" spans="1:131" ht="15.75" customHeight="1">
      <c r="A19" s="88" t="s">
        <v>1339</v>
      </c>
      <c r="B19" s="300"/>
      <c r="C19" s="231"/>
      <c r="D19" s="231"/>
      <c r="E19" s="231"/>
      <c r="F19" s="231"/>
      <c r="G19" s="231"/>
      <c r="H19" s="231"/>
      <c r="I19" s="231"/>
      <c r="J19" s="231"/>
      <c r="K19" s="412">
        <f t="shared" si="1"/>
        <v>0</v>
      </c>
      <c r="L19" s="417">
        <v>0</v>
      </c>
      <c r="M19" s="231">
        <v>112531</v>
      </c>
      <c r="N19" s="231">
        <v>0</v>
      </c>
      <c r="O19" s="231">
        <v>181317</v>
      </c>
      <c r="P19" s="231">
        <v>0</v>
      </c>
      <c r="Q19" s="231">
        <v>293885</v>
      </c>
      <c r="R19" s="231">
        <v>0</v>
      </c>
      <c r="S19" s="231">
        <v>291881</v>
      </c>
      <c r="T19" s="414">
        <f t="shared" si="2"/>
        <v>879614</v>
      </c>
      <c r="U19" s="415">
        <f t="shared" si="3"/>
        <v>879614</v>
      </c>
      <c r="V19" s="300"/>
      <c r="W19" s="231">
        <v>0</v>
      </c>
      <c r="X19" s="231">
        <v>0</v>
      </c>
      <c r="Y19" s="231">
        <v>0</v>
      </c>
      <c r="Z19" s="231">
        <v>0</v>
      </c>
      <c r="AA19" s="231">
        <v>0</v>
      </c>
      <c r="AB19" s="231">
        <v>0</v>
      </c>
      <c r="AC19" s="231">
        <v>0</v>
      </c>
      <c r="AD19" s="231">
        <v>0</v>
      </c>
      <c r="AE19" s="412">
        <f t="shared" si="4"/>
        <v>0</v>
      </c>
      <c r="AF19" s="417">
        <v>0</v>
      </c>
      <c r="AG19" s="231">
        <v>69877</v>
      </c>
      <c r="AH19" s="231">
        <v>0</v>
      </c>
      <c r="AI19" s="231">
        <v>80755</v>
      </c>
      <c r="AJ19" s="231">
        <v>0</v>
      </c>
      <c r="AK19" s="231">
        <v>76212</v>
      </c>
      <c r="AL19" s="231">
        <v>0</v>
      </c>
      <c r="AM19" s="231">
        <v>88091</v>
      </c>
      <c r="AN19" s="414">
        <f t="shared" si="5"/>
        <v>314935</v>
      </c>
      <c r="AO19" s="415">
        <f t="shared" si="6"/>
        <v>314935</v>
      </c>
      <c r="AP19" s="300"/>
      <c r="AQ19" s="231">
        <v>0</v>
      </c>
      <c r="AR19" s="231">
        <v>0</v>
      </c>
      <c r="AS19" s="231">
        <v>0</v>
      </c>
      <c r="AT19" s="231">
        <v>0</v>
      </c>
      <c r="AU19" s="231">
        <v>0</v>
      </c>
      <c r="AV19" s="231">
        <v>0</v>
      </c>
      <c r="AW19" s="231">
        <v>0</v>
      </c>
      <c r="AX19" s="231">
        <v>0</v>
      </c>
      <c r="AY19" s="412">
        <f t="shared" si="7"/>
        <v>0</v>
      </c>
      <c r="AZ19" s="417">
        <v>0</v>
      </c>
      <c r="BA19" s="231">
        <v>2297076</v>
      </c>
      <c r="BB19" s="231">
        <v>0</v>
      </c>
      <c r="BC19" s="231">
        <v>2236826</v>
      </c>
      <c r="BD19" s="231">
        <v>0</v>
      </c>
      <c r="BE19" s="231">
        <v>2212996</v>
      </c>
      <c r="BF19" s="231">
        <v>0</v>
      </c>
      <c r="BG19" s="231">
        <v>1858263</v>
      </c>
      <c r="BH19" s="414">
        <f t="shared" si="8"/>
        <v>8605161</v>
      </c>
      <c r="BI19" s="415">
        <f t="shared" si="9"/>
        <v>8605161</v>
      </c>
      <c r="BJ19" s="300"/>
      <c r="BK19" s="231">
        <v>0</v>
      </c>
      <c r="BL19" s="231">
        <v>0</v>
      </c>
      <c r="BM19" s="231">
        <v>0</v>
      </c>
      <c r="BN19" s="231">
        <v>0</v>
      </c>
      <c r="BO19" s="231">
        <v>0</v>
      </c>
      <c r="BP19" s="231">
        <v>0</v>
      </c>
      <c r="BQ19" s="231">
        <v>0</v>
      </c>
      <c r="BR19" s="231">
        <v>0</v>
      </c>
      <c r="BS19" s="412">
        <f t="shared" si="10"/>
        <v>0</v>
      </c>
      <c r="BT19" s="417">
        <v>0</v>
      </c>
      <c r="BU19" s="231">
        <v>525612</v>
      </c>
      <c r="BV19" s="231">
        <v>0</v>
      </c>
      <c r="BW19" s="231">
        <v>338627</v>
      </c>
      <c r="BX19" s="231">
        <v>0</v>
      </c>
      <c r="BY19" s="231">
        <v>193697</v>
      </c>
      <c r="BZ19" s="231">
        <v>0</v>
      </c>
      <c r="CA19" s="231">
        <v>109082</v>
      </c>
      <c r="CB19" s="414">
        <f t="shared" si="11"/>
        <v>1167018</v>
      </c>
      <c r="CC19" s="415">
        <f t="shared" si="12"/>
        <v>1167018</v>
      </c>
      <c r="CD19" s="300"/>
      <c r="CE19" s="414">
        <f t="shared" si="14"/>
        <v>0</v>
      </c>
      <c r="CF19" s="414">
        <f t="shared" si="15"/>
        <v>0</v>
      </c>
      <c r="CG19" s="414">
        <f t="shared" si="16"/>
        <v>0</v>
      </c>
      <c r="CH19" s="414">
        <f t="shared" si="17"/>
        <v>0</v>
      </c>
      <c r="CI19" s="416">
        <f t="shared" si="18"/>
        <v>0</v>
      </c>
      <c r="CJ19" s="414">
        <f t="shared" si="19"/>
        <v>3005096</v>
      </c>
      <c r="CK19" s="414">
        <f t="shared" si="20"/>
        <v>2837525</v>
      </c>
      <c r="CL19" s="414">
        <f t="shared" si="21"/>
        <v>2776790</v>
      </c>
      <c r="CM19" s="414">
        <f t="shared" si="22"/>
        <v>2347317</v>
      </c>
      <c r="CN19" s="416">
        <f t="shared" si="23"/>
        <v>10966728</v>
      </c>
      <c r="CO19" s="414">
        <f t="shared" si="24"/>
        <v>3005096</v>
      </c>
      <c r="CP19" s="414">
        <f t="shared" si="25"/>
        <v>2837525</v>
      </c>
      <c r="CQ19" s="414">
        <f t="shared" si="26"/>
        <v>2776790</v>
      </c>
      <c r="CR19" s="414">
        <f t="shared" si="27"/>
        <v>2347317</v>
      </c>
      <c r="CS19" s="416">
        <f t="shared" si="13"/>
        <v>10966728</v>
      </c>
    </row>
    <row r="20" spans="1:131" ht="15.75" customHeight="1">
      <c r="A20" s="135" t="s">
        <v>173</v>
      </c>
      <c r="B20" s="300">
        <v>2</v>
      </c>
      <c r="C20" s="232">
        <f t="shared" ref="C20:J20" si="28">SUM(C17:C19)</f>
        <v>0</v>
      </c>
      <c r="D20" s="232">
        <f t="shared" si="28"/>
        <v>0</v>
      </c>
      <c r="E20" s="232">
        <f t="shared" si="28"/>
        <v>0</v>
      </c>
      <c r="F20" s="232">
        <f t="shared" si="28"/>
        <v>0</v>
      </c>
      <c r="G20" s="232">
        <f t="shared" si="28"/>
        <v>0</v>
      </c>
      <c r="H20" s="232">
        <f t="shared" si="28"/>
        <v>0</v>
      </c>
      <c r="I20" s="232">
        <f t="shared" si="28"/>
        <v>0</v>
      </c>
      <c r="J20" s="232">
        <f t="shared" si="28"/>
        <v>0</v>
      </c>
      <c r="K20" s="412">
        <f t="shared" si="1"/>
        <v>0</v>
      </c>
      <c r="L20" s="418">
        <f t="shared" ref="L20:S20" si="29">SUM(L17:L19)</f>
        <v>0</v>
      </c>
      <c r="M20" s="232">
        <f t="shared" si="29"/>
        <v>1184981.9068</v>
      </c>
      <c r="N20" s="232">
        <f t="shared" si="29"/>
        <v>0</v>
      </c>
      <c r="O20" s="232">
        <f t="shared" si="29"/>
        <v>1096803.844999999</v>
      </c>
      <c r="P20" s="232">
        <f t="shared" si="29"/>
        <v>0</v>
      </c>
      <c r="Q20" s="232">
        <f t="shared" si="29"/>
        <v>1277623.0924000018</v>
      </c>
      <c r="R20" s="232">
        <f t="shared" si="29"/>
        <v>0</v>
      </c>
      <c r="S20" s="232">
        <f t="shared" si="29"/>
        <v>1273387.073800002</v>
      </c>
      <c r="T20" s="414">
        <f t="shared" si="2"/>
        <v>4832795.9180000024</v>
      </c>
      <c r="U20" s="415">
        <f t="shared" si="3"/>
        <v>4832795.9180000024</v>
      </c>
      <c r="V20" s="300">
        <v>2</v>
      </c>
      <c r="W20" s="232">
        <f t="shared" ref="W20:AD20" si="30">SUM(W17:W19)</f>
        <v>0</v>
      </c>
      <c r="X20" s="232">
        <f t="shared" si="30"/>
        <v>0</v>
      </c>
      <c r="Y20" s="232">
        <f t="shared" si="30"/>
        <v>0</v>
      </c>
      <c r="Z20" s="232">
        <f t="shared" si="30"/>
        <v>0</v>
      </c>
      <c r="AA20" s="232">
        <f t="shared" si="30"/>
        <v>0</v>
      </c>
      <c r="AB20" s="232">
        <f t="shared" si="30"/>
        <v>0</v>
      </c>
      <c r="AC20" s="232">
        <f t="shared" si="30"/>
        <v>0</v>
      </c>
      <c r="AD20" s="232">
        <f t="shared" si="30"/>
        <v>0</v>
      </c>
      <c r="AE20" s="412">
        <f t="shared" si="4"/>
        <v>0</v>
      </c>
      <c r="AF20" s="418">
        <f t="shared" ref="AF20:AM20" si="31">SUM(AF17:AF19)</f>
        <v>0</v>
      </c>
      <c r="AG20" s="232">
        <f t="shared" si="31"/>
        <v>537250.5345999999</v>
      </c>
      <c r="AH20" s="232">
        <f t="shared" si="31"/>
        <v>0</v>
      </c>
      <c r="AI20" s="232">
        <f t="shared" si="31"/>
        <v>493235.75540000002</v>
      </c>
      <c r="AJ20" s="232">
        <f t="shared" si="31"/>
        <v>0</v>
      </c>
      <c r="AK20" s="232">
        <f t="shared" si="31"/>
        <v>532819.02919999999</v>
      </c>
      <c r="AL20" s="232">
        <f t="shared" si="31"/>
        <v>0</v>
      </c>
      <c r="AM20" s="232">
        <f t="shared" si="31"/>
        <v>577156.08000000007</v>
      </c>
      <c r="AN20" s="414">
        <f t="shared" si="5"/>
        <v>2140461.3991999999</v>
      </c>
      <c r="AO20" s="415">
        <f t="shared" si="6"/>
        <v>2140461.3991999999</v>
      </c>
      <c r="AP20" s="300">
        <v>2</v>
      </c>
      <c r="AQ20" s="232">
        <f t="shared" ref="AQ20:AX20" si="32">SUM(AQ17:AQ19)</f>
        <v>0</v>
      </c>
      <c r="AR20" s="232">
        <f t="shared" si="32"/>
        <v>0</v>
      </c>
      <c r="AS20" s="232">
        <f t="shared" si="32"/>
        <v>0</v>
      </c>
      <c r="AT20" s="232">
        <f t="shared" si="32"/>
        <v>0</v>
      </c>
      <c r="AU20" s="232">
        <f t="shared" si="32"/>
        <v>0</v>
      </c>
      <c r="AV20" s="232">
        <f t="shared" si="32"/>
        <v>0</v>
      </c>
      <c r="AW20" s="232">
        <f t="shared" si="32"/>
        <v>0</v>
      </c>
      <c r="AX20" s="232">
        <f t="shared" si="32"/>
        <v>0</v>
      </c>
      <c r="AY20" s="412">
        <f t="shared" si="7"/>
        <v>0</v>
      </c>
      <c r="AZ20" s="418">
        <f t="shared" ref="AZ20:BG20" si="33">SUM(AZ17:AZ19)</f>
        <v>0</v>
      </c>
      <c r="BA20" s="232">
        <f t="shared" si="33"/>
        <v>12364682.14999998</v>
      </c>
      <c r="BB20" s="232">
        <f t="shared" si="33"/>
        <v>0</v>
      </c>
      <c r="BC20" s="232">
        <f t="shared" si="33"/>
        <v>9947561.12860002</v>
      </c>
      <c r="BD20" s="232">
        <f t="shared" si="33"/>
        <v>0</v>
      </c>
      <c r="BE20" s="232">
        <f t="shared" si="33"/>
        <v>10930585.029800039</v>
      </c>
      <c r="BF20" s="232">
        <f t="shared" si="33"/>
        <v>0</v>
      </c>
      <c r="BG20" s="232">
        <f t="shared" si="33"/>
        <v>10467602.84680005</v>
      </c>
      <c r="BH20" s="414">
        <f t="shared" si="8"/>
        <v>43710431.155200087</v>
      </c>
      <c r="BI20" s="415">
        <f t="shared" si="9"/>
        <v>43710431.155200087</v>
      </c>
      <c r="BJ20" s="300">
        <v>2</v>
      </c>
      <c r="BK20" s="232">
        <f t="shared" ref="BK20:BR20" si="34">SUM(BK17:BK19)</f>
        <v>0</v>
      </c>
      <c r="BL20" s="232">
        <f t="shared" si="34"/>
        <v>0</v>
      </c>
      <c r="BM20" s="232">
        <f t="shared" si="34"/>
        <v>0</v>
      </c>
      <c r="BN20" s="232">
        <f t="shared" si="34"/>
        <v>0</v>
      </c>
      <c r="BO20" s="232">
        <f t="shared" si="34"/>
        <v>0</v>
      </c>
      <c r="BP20" s="232">
        <f t="shared" si="34"/>
        <v>0</v>
      </c>
      <c r="BQ20" s="232">
        <f t="shared" si="34"/>
        <v>0</v>
      </c>
      <c r="BR20" s="232">
        <f t="shared" si="34"/>
        <v>0</v>
      </c>
      <c r="BS20" s="412">
        <f t="shared" si="10"/>
        <v>0</v>
      </c>
      <c r="BT20" s="418">
        <f t="shared" ref="BT20:CA20" si="35">SUM(BT17:BT19)</f>
        <v>0</v>
      </c>
      <c r="BU20" s="232">
        <f t="shared" si="35"/>
        <v>912600.30940000003</v>
      </c>
      <c r="BV20" s="232">
        <f t="shared" si="35"/>
        <v>0</v>
      </c>
      <c r="BW20" s="232">
        <f t="shared" si="35"/>
        <v>701921.05560000008</v>
      </c>
      <c r="BX20" s="232">
        <f t="shared" si="35"/>
        <v>0</v>
      </c>
      <c r="BY20" s="232">
        <f t="shared" si="35"/>
        <v>552875.82000000007</v>
      </c>
      <c r="BZ20" s="232">
        <f t="shared" si="35"/>
        <v>0</v>
      </c>
      <c r="CA20" s="232">
        <f t="shared" si="35"/>
        <v>549457.69099999999</v>
      </c>
      <c r="CB20" s="414">
        <f t="shared" si="11"/>
        <v>2716854.8760000006</v>
      </c>
      <c r="CC20" s="415">
        <f t="shared" si="12"/>
        <v>2716854.8760000006</v>
      </c>
      <c r="CD20" s="300">
        <v>2</v>
      </c>
      <c r="CE20" s="414">
        <f t="shared" si="14"/>
        <v>0</v>
      </c>
      <c r="CF20" s="414">
        <f t="shared" si="15"/>
        <v>0</v>
      </c>
      <c r="CG20" s="414">
        <f t="shared" si="16"/>
        <v>0</v>
      </c>
      <c r="CH20" s="414">
        <f t="shared" si="17"/>
        <v>0</v>
      </c>
      <c r="CI20" s="416">
        <f t="shared" si="18"/>
        <v>0</v>
      </c>
      <c r="CJ20" s="414">
        <f t="shared" si="19"/>
        <v>14999514.900799979</v>
      </c>
      <c r="CK20" s="414">
        <f t="shared" si="20"/>
        <v>12239521.784600019</v>
      </c>
      <c r="CL20" s="414">
        <f t="shared" si="21"/>
        <v>13293902.971400041</v>
      </c>
      <c r="CM20" s="414">
        <f t="shared" si="22"/>
        <v>12867603.691600051</v>
      </c>
      <c r="CN20" s="416">
        <f t="shared" si="23"/>
        <v>53400543.348400094</v>
      </c>
      <c r="CO20" s="414">
        <f t="shared" si="24"/>
        <v>14999514.900799979</v>
      </c>
      <c r="CP20" s="414">
        <f t="shared" si="25"/>
        <v>12239521.784600019</v>
      </c>
      <c r="CQ20" s="414">
        <f t="shared" si="26"/>
        <v>13293902.971400041</v>
      </c>
      <c r="CR20" s="414">
        <f t="shared" si="27"/>
        <v>12867603.691600051</v>
      </c>
      <c r="CS20" s="416">
        <f t="shared" si="13"/>
        <v>53400543.348400094</v>
      </c>
      <c r="CT20" s="319"/>
      <c r="CU20" s="319"/>
      <c r="CV20" s="319"/>
      <c r="CW20" s="319"/>
      <c r="CX20" s="319"/>
    </row>
    <row r="21" spans="1:131" ht="15.75" customHeight="1">
      <c r="A21" s="88" t="s">
        <v>175</v>
      </c>
      <c r="B21" s="300">
        <v>3</v>
      </c>
      <c r="C21" s="231"/>
      <c r="D21" s="231"/>
      <c r="E21" s="231"/>
      <c r="F21" s="231"/>
      <c r="G21" s="231"/>
      <c r="H21" s="231"/>
      <c r="I21" s="231"/>
      <c r="J21" s="231"/>
      <c r="K21" s="412">
        <f t="shared" si="1"/>
        <v>0</v>
      </c>
      <c r="L21" s="417"/>
      <c r="M21" s="231"/>
      <c r="N21" s="231"/>
      <c r="O21" s="231"/>
      <c r="P21" s="231"/>
      <c r="Q21" s="231"/>
      <c r="R21" s="231"/>
      <c r="S21" s="231"/>
      <c r="T21" s="414">
        <f t="shared" si="2"/>
        <v>0</v>
      </c>
      <c r="U21" s="415">
        <f t="shared" si="3"/>
        <v>0</v>
      </c>
      <c r="V21" s="300">
        <v>3</v>
      </c>
      <c r="W21" s="231"/>
      <c r="X21" s="231"/>
      <c r="Y21" s="231"/>
      <c r="Z21" s="231"/>
      <c r="AA21" s="231"/>
      <c r="AB21" s="231"/>
      <c r="AC21" s="231"/>
      <c r="AD21" s="231"/>
      <c r="AE21" s="412">
        <f t="shared" si="4"/>
        <v>0</v>
      </c>
      <c r="AF21" s="417"/>
      <c r="AG21" s="231"/>
      <c r="AH21" s="231"/>
      <c r="AI21" s="231"/>
      <c r="AJ21" s="231"/>
      <c r="AK21" s="231"/>
      <c r="AL21" s="231"/>
      <c r="AM21" s="231"/>
      <c r="AN21" s="414">
        <f t="shared" si="5"/>
        <v>0</v>
      </c>
      <c r="AO21" s="415">
        <f t="shared" si="6"/>
        <v>0</v>
      </c>
      <c r="AP21" s="300">
        <v>3</v>
      </c>
      <c r="AQ21" s="231"/>
      <c r="AR21" s="231"/>
      <c r="AS21" s="231"/>
      <c r="AT21" s="231"/>
      <c r="AU21" s="231"/>
      <c r="AV21" s="231"/>
      <c r="AW21" s="231"/>
      <c r="AX21" s="231"/>
      <c r="AY21" s="412">
        <f t="shared" si="7"/>
        <v>0</v>
      </c>
      <c r="AZ21" s="417"/>
      <c r="BA21" s="231"/>
      <c r="BB21" s="231"/>
      <c r="BC21" s="231"/>
      <c r="BD21" s="231"/>
      <c r="BE21" s="231"/>
      <c r="BF21" s="231"/>
      <c r="BG21" s="231"/>
      <c r="BH21" s="414">
        <f t="shared" si="8"/>
        <v>0</v>
      </c>
      <c r="BI21" s="415">
        <f t="shared" si="9"/>
        <v>0</v>
      </c>
      <c r="BJ21" s="300">
        <v>3</v>
      </c>
      <c r="BK21" s="231"/>
      <c r="BL21" s="231"/>
      <c r="BM21" s="231"/>
      <c r="BN21" s="231"/>
      <c r="BO21" s="231"/>
      <c r="BP21" s="231"/>
      <c r="BQ21" s="231"/>
      <c r="BR21" s="231"/>
      <c r="BS21" s="412">
        <f t="shared" si="10"/>
        <v>0</v>
      </c>
      <c r="BT21" s="417"/>
      <c r="BU21" s="231"/>
      <c r="BV21" s="231"/>
      <c r="BW21" s="231"/>
      <c r="BX21" s="231"/>
      <c r="BY21" s="231"/>
      <c r="BZ21" s="231"/>
      <c r="CA21" s="231"/>
      <c r="CB21" s="414">
        <f t="shared" si="11"/>
        <v>0</v>
      </c>
      <c r="CC21" s="415">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13"/>
        <v>0</v>
      </c>
      <c r="CT21" s="319"/>
      <c r="CV21" s="319"/>
      <c r="CX21" s="319"/>
    </row>
    <row r="22" spans="1:131" ht="15.75" customHeight="1">
      <c r="A22" s="88" t="s">
        <v>177</v>
      </c>
      <c r="B22" s="300">
        <v>4</v>
      </c>
      <c r="C22" s="231">
        <v>0</v>
      </c>
      <c r="D22" s="231">
        <v>0</v>
      </c>
      <c r="E22" s="231">
        <v>0</v>
      </c>
      <c r="F22" s="231">
        <v>0</v>
      </c>
      <c r="G22" s="231">
        <v>0</v>
      </c>
      <c r="H22" s="231">
        <v>0</v>
      </c>
      <c r="I22" s="231">
        <v>0</v>
      </c>
      <c r="J22" s="231">
        <v>0</v>
      </c>
      <c r="K22" s="412">
        <f t="shared" si="1"/>
        <v>0</v>
      </c>
      <c r="L22" s="417">
        <v>0</v>
      </c>
      <c r="M22" s="231">
        <v>16757.737860524172</v>
      </c>
      <c r="N22" s="231">
        <v>0</v>
      </c>
      <c r="O22" s="231">
        <v>16990.593474656576</v>
      </c>
      <c r="P22" s="231">
        <v>0</v>
      </c>
      <c r="Q22" s="231">
        <v>18200.825649825085</v>
      </c>
      <c r="R22" s="231">
        <v>0</v>
      </c>
      <c r="S22" s="231">
        <v>17435.498472341227</v>
      </c>
      <c r="T22" s="414">
        <f t="shared" si="2"/>
        <v>69384.655457347049</v>
      </c>
      <c r="U22" s="415">
        <f t="shared" si="3"/>
        <v>69384.655457347049</v>
      </c>
      <c r="V22" s="300">
        <v>4</v>
      </c>
      <c r="W22" s="231">
        <v>0</v>
      </c>
      <c r="X22" s="231">
        <v>0</v>
      </c>
      <c r="Y22" s="231">
        <v>0</v>
      </c>
      <c r="Z22" s="231">
        <v>0</v>
      </c>
      <c r="AA22" s="231">
        <v>0</v>
      </c>
      <c r="AB22" s="231">
        <v>0</v>
      </c>
      <c r="AC22" s="231">
        <v>0</v>
      </c>
      <c r="AD22" s="231">
        <v>0</v>
      </c>
      <c r="AE22" s="412">
        <f t="shared" si="4"/>
        <v>0</v>
      </c>
      <c r="AF22" s="417">
        <v>0</v>
      </c>
      <c r="AG22" s="231">
        <v>10282.964900776698</v>
      </c>
      <c r="AH22" s="231">
        <v>0</v>
      </c>
      <c r="AI22" s="231">
        <v>9041.9271645542885</v>
      </c>
      <c r="AJ22" s="231">
        <v>0</v>
      </c>
      <c r="AK22" s="231">
        <v>9874.5537219743128</v>
      </c>
      <c r="AL22" s="231">
        <v>0</v>
      </c>
      <c r="AM22" s="231">
        <v>10065.424631699483</v>
      </c>
      <c r="AN22" s="414">
        <f t="shared" si="5"/>
        <v>39264.870419004787</v>
      </c>
      <c r="AO22" s="415">
        <f t="shared" si="6"/>
        <v>39264.870419004787</v>
      </c>
      <c r="AP22" s="300">
        <v>4</v>
      </c>
      <c r="AQ22" s="231">
        <v>0</v>
      </c>
      <c r="AR22" s="231">
        <v>0</v>
      </c>
      <c r="AS22" s="231">
        <v>0</v>
      </c>
      <c r="AT22" s="231">
        <v>0</v>
      </c>
      <c r="AU22" s="231">
        <v>0</v>
      </c>
      <c r="AV22" s="231">
        <v>0</v>
      </c>
      <c r="AW22" s="231">
        <v>0</v>
      </c>
      <c r="AX22" s="231">
        <v>0</v>
      </c>
      <c r="AY22" s="412">
        <f t="shared" si="7"/>
        <v>0</v>
      </c>
      <c r="AZ22" s="417">
        <v>0</v>
      </c>
      <c r="BA22" s="231">
        <v>172131.1973068839</v>
      </c>
      <c r="BB22" s="231">
        <v>0</v>
      </c>
      <c r="BC22" s="231">
        <v>143683.97667342323</v>
      </c>
      <c r="BD22" s="231">
        <v>0</v>
      </c>
      <c r="BE22" s="231">
        <v>157233.87543436079</v>
      </c>
      <c r="BF22" s="231">
        <v>0</v>
      </c>
      <c r="BG22" s="231">
        <v>157941.65989951632</v>
      </c>
      <c r="BH22" s="414">
        <f t="shared" si="8"/>
        <v>630990.70931418426</v>
      </c>
      <c r="BI22" s="415">
        <f t="shared" si="9"/>
        <v>630990.70931418426</v>
      </c>
      <c r="BJ22" s="300">
        <v>4</v>
      </c>
      <c r="BK22" s="231">
        <v>0</v>
      </c>
      <c r="BL22" s="231">
        <v>0</v>
      </c>
      <c r="BM22" s="231">
        <v>0</v>
      </c>
      <c r="BN22" s="231">
        <v>0</v>
      </c>
      <c r="BO22" s="231">
        <v>0</v>
      </c>
      <c r="BP22" s="231">
        <v>0</v>
      </c>
      <c r="BQ22" s="231">
        <v>0</v>
      </c>
      <c r="BR22" s="231">
        <v>0</v>
      </c>
      <c r="BS22" s="412">
        <f t="shared" si="10"/>
        <v>0</v>
      </c>
      <c r="BT22" s="417">
        <v>0</v>
      </c>
      <c r="BU22" s="231">
        <v>8294.0790116944991</v>
      </c>
      <c r="BV22" s="231">
        <v>0</v>
      </c>
      <c r="BW22" s="231">
        <v>7569.7622682382917</v>
      </c>
      <c r="BX22" s="231">
        <v>0</v>
      </c>
      <c r="BY22" s="231">
        <v>7805.0272379845201</v>
      </c>
      <c r="BZ22" s="231">
        <v>0</v>
      </c>
      <c r="CA22" s="231">
        <v>7748.4988221235526</v>
      </c>
      <c r="CB22" s="414">
        <f t="shared" si="11"/>
        <v>31417.367340040866</v>
      </c>
      <c r="CC22" s="415">
        <f t="shared" si="12"/>
        <v>31417.367340040866</v>
      </c>
      <c r="CD22" s="300">
        <v>4</v>
      </c>
      <c r="CE22" s="414">
        <f t="shared" si="14"/>
        <v>0</v>
      </c>
      <c r="CF22" s="414">
        <f t="shared" si="15"/>
        <v>0</v>
      </c>
      <c r="CG22" s="414">
        <f t="shared" si="16"/>
        <v>0</v>
      </c>
      <c r="CH22" s="414">
        <f t="shared" si="17"/>
        <v>0</v>
      </c>
      <c r="CI22" s="416">
        <f t="shared" si="18"/>
        <v>0</v>
      </c>
      <c r="CJ22" s="414">
        <f t="shared" si="19"/>
        <v>207465.97907987927</v>
      </c>
      <c r="CK22" s="414">
        <f t="shared" si="20"/>
        <v>177286.25958087237</v>
      </c>
      <c r="CL22" s="414">
        <f t="shared" si="21"/>
        <v>193114.2820441447</v>
      </c>
      <c r="CM22" s="414">
        <f t="shared" si="22"/>
        <v>193191.08182568057</v>
      </c>
      <c r="CN22" s="416">
        <f t="shared" si="23"/>
        <v>771057.60253057699</v>
      </c>
      <c r="CO22" s="414">
        <f t="shared" si="24"/>
        <v>207465.97907987927</v>
      </c>
      <c r="CP22" s="414">
        <f t="shared" si="25"/>
        <v>177286.25958087237</v>
      </c>
      <c r="CQ22" s="414">
        <f t="shared" si="26"/>
        <v>193114.2820441447</v>
      </c>
      <c r="CR22" s="414">
        <f t="shared" si="27"/>
        <v>193191.08182568057</v>
      </c>
      <c r="CS22" s="416">
        <f t="shared" si="13"/>
        <v>771057.60253057699</v>
      </c>
      <c r="CT22" s="319"/>
      <c r="CV22" s="319"/>
      <c r="CX22" s="319"/>
    </row>
    <row r="23" spans="1:131" ht="15.75" customHeight="1">
      <c r="A23" s="135" t="s">
        <v>179</v>
      </c>
      <c r="B23" s="300">
        <v>5</v>
      </c>
      <c r="C23" s="137">
        <f t="shared" ref="C23:J23" si="36">C16+C20+C21+C22</f>
        <v>107753.05</v>
      </c>
      <c r="D23" s="137">
        <f t="shared" si="36"/>
        <v>393001.43000000098</v>
      </c>
      <c r="E23" s="137">
        <f t="shared" si="36"/>
        <v>125628.15</v>
      </c>
      <c r="F23" s="137">
        <f t="shared" si="36"/>
        <v>391627.820000001</v>
      </c>
      <c r="G23" s="137">
        <f t="shared" si="36"/>
        <v>157437.91</v>
      </c>
      <c r="H23" s="137">
        <f t="shared" si="36"/>
        <v>400409.85000000201</v>
      </c>
      <c r="I23" s="137">
        <f t="shared" si="36"/>
        <v>160090.99</v>
      </c>
      <c r="J23" s="137">
        <f t="shared" si="36"/>
        <v>410029.590000002</v>
      </c>
      <c r="K23" s="412">
        <f t="shared" si="1"/>
        <v>2145978.7900000061</v>
      </c>
      <c r="L23" s="217">
        <f t="shared" ref="L23:S23" si="37">L16+L20+L21+L22</f>
        <v>0</v>
      </c>
      <c r="M23" s="137">
        <f t="shared" si="37"/>
        <v>1201739.6446605241</v>
      </c>
      <c r="N23" s="137">
        <f t="shared" si="37"/>
        <v>0</v>
      </c>
      <c r="O23" s="137">
        <f t="shared" si="37"/>
        <v>1113794.4384746556</v>
      </c>
      <c r="P23" s="137">
        <f t="shared" si="37"/>
        <v>0</v>
      </c>
      <c r="Q23" s="137">
        <f t="shared" si="37"/>
        <v>1295823.918049827</v>
      </c>
      <c r="R23" s="137">
        <f t="shared" si="37"/>
        <v>0</v>
      </c>
      <c r="S23" s="137">
        <f t="shared" si="37"/>
        <v>1290822.5722723433</v>
      </c>
      <c r="T23" s="414">
        <f t="shared" si="2"/>
        <v>4902180.57345735</v>
      </c>
      <c r="U23" s="217">
        <f t="shared" si="3"/>
        <v>7048159.3634573556</v>
      </c>
      <c r="V23" s="300">
        <v>5</v>
      </c>
      <c r="W23" s="137">
        <f t="shared" ref="W23:AD23" si="38">W16+W20+W21+W22</f>
        <v>22973.040000000001</v>
      </c>
      <c r="X23" s="137">
        <f t="shared" si="38"/>
        <v>309334.93</v>
      </c>
      <c r="Y23" s="137">
        <f t="shared" si="38"/>
        <v>16913.28</v>
      </c>
      <c r="Z23" s="137">
        <f t="shared" si="38"/>
        <v>303526.65000000002</v>
      </c>
      <c r="AA23" s="137">
        <f t="shared" si="38"/>
        <v>13883.4</v>
      </c>
      <c r="AB23" s="137">
        <f t="shared" si="38"/>
        <v>307483.95</v>
      </c>
      <c r="AC23" s="137">
        <f t="shared" si="38"/>
        <v>28482.78</v>
      </c>
      <c r="AD23" s="137">
        <f t="shared" si="38"/>
        <v>333286.80000000098</v>
      </c>
      <c r="AE23" s="412">
        <f t="shared" si="4"/>
        <v>1335884.830000001</v>
      </c>
      <c r="AF23" s="217">
        <f t="shared" ref="AF23:AM23" si="39">AF16+AF20+AF21+AF22</f>
        <v>0</v>
      </c>
      <c r="AG23" s="137">
        <f t="shared" si="39"/>
        <v>547533.49950077664</v>
      </c>
      <c r="AH23" s="137">
        <f t="shared" si="39"/>
        <v>0</v>
      </c>
      <c r="AI23" s="137">
        <f t="shared" si="39"/>
        <v>502277.68256455433</v>
      </c>
      <c r="AJ23" s="137">
        <f t="shared" si="39"/>
        <v>0</v>
      </c>
      <c r="AK23" s="137">
        <f t="shared" si="39"/>
        <v>542693.58292197436</v>
      </c>
      <c r="AL23" s="137">
        <f t="shared" si="39"/>
        <v>0</v>
      </c>
      <c r="AM23" s="137">
        <f t="shared" si="39"/>
        <v>587221.50463169953</v>
      </c>
      <c r="AN23" s="414">
        <f t="shared" si="5"/>
        <v>2179726.2696190048</v>
      </c>
      <c r="AO23" s="217">
        <f t="shared" si="6"/>
        <v>3515611.0996190058</v>
      </c>
      <c r="AP23" s="300">
        <v>5</v>
      </c>
      <c r="AQ23" s="137">
        <f t="shared" ref="AQ23:AX23" si="40">AQ16+AQ20+AQ21+AQ22</f>
        <v>2836131.77999999</v>
      </c>
      <c r="AR23" s="137">
        <f t="shared" si="40"/>
        <v>9005904.50999978</v>
      </c>
      <c r="AS23" s="137">
        <f t="shared" si="40"/>
        <v>3022967.8099999996</v>
      </c>
      <c r="AT23" s="137">
        <f t="shared" si="40"/>
        <v>9220674.6299997792</v>
      </c>
      <c r="AU23" s="137">
        <f t="shared" si="40"/>
        <v>3149637.59</v>
      </c>
      <c r="AV23" s="137">
        <f t="shared" si="40"/>
        <v>9706710.9699996095</v>
      </c>
      <c r="AW23" s="137">
        <f t="shared" si="40"/>
        <v>3346412.66</v>
      </c>
      <c r="AX23" s="137">
        <f t="shared" si="40"/>
        <v>9956461.7599996012</v>
      </c>
      <c r="AY23" s="412">
        <f t="shared" si="7"/>
        <v>50244901.709998757</v>
      </c>
      <c r="AZ23" s="217">
        <f t="shared" ref="AZ23:BG23" si="41">AZ16+AZ20+AZ21+AZ22</f>
        <v>0</v>
      </c>
      <c r="BA23" s="137">
        <f t="shared" si="41"/>
        <v>12536813.347306864</v>
      </c>
      <c r="BB23" s="137">
        <f t="shared" si="41"/>
        <v>0</v>
      </c>
      <c r="BC23" s="137">
        <f t="shared" si="41"/>
        <v>10091245.105273442</v>
      </c>
      <c r="BD23" s="137">
        <f t="shared" si="41"/>
        <v>0</v>
      </c>
      <c r="BE23" s="137">
        <f t="shared" si="41"/>
        <v>11087818.9052344</v>
      </c>
      <c r="BF23" s="137">
        <f t="shared" si="41"/>
        <v>0</v>
      </c>
      <c r="BG23" s="137">
        <f t="shared" si="41"/>
        <v>10625544.506699566</v>
      </c>
      <c r="BH23" s="414">
        <f t="shared" si="8"/>
        <v>44341421.864514276</v>
      </c>
      <c r="BI23" s="217">
        <f t="shared" si="9"/>
        <v>94586323.574513033</v>
      </c>
      <c r="BJ23" s="300">
        <v>5</v>
      </c>
      <c r="BK23" s="137">
        <f t="shared" ref="BK23:BR23" si="42">BK16+BK20+BK21+BK22</f>
        <v>99375.540000000008</v>
      </c>
      <c r="BL23" s="137">
        <f t="shared" si="42"/>
        <v>1181674.18</v>
      </c>
      <c r="BM23" s="137">
        <f t="shared" si="42"/>
        <v>84421.43</v>
      </c>
      <c r="BN23" s="137">
        <f t="shared" si="42"/>
        <v>1189067.49</v>
      </c>
      <c r="BO23" s="137">
        <f t="shared" si="42"/>
        <v>88315.040000000008</v>
      </c>
      <c r="BP23" s="137">
        <f t="shared" si="42"/>
        <v>1169229.1599999999</v>
      </c>
      <c r="BQ23" s="137">
        <f t="shared" si="42"/>
        <v>118082.73</v>
      </c>
      <c r="BR23" s="137">
        <f t="shared" si="42"/>
        <v>1229369.99</v>
      </c>
      <c r="BS23" s="412">
        <f t="shared" si="10"/>
        <v>5159535.5599999996</v>
      </c>
      <c r="BT23" s="217">
        <f t="shared" ref="BT23:CA23" si="43">BT16+BT20+BT21+BT22</f>
        <v>0</v>
      </c>
      <c r="BU23" s="137">
        <f t="shared" si="43"/>
        <v>920894.38841169456</v>
      </c>
      <c r="BV23" s="137">
        <f t="shared" si="43"/>
        <v>0</v>
      </c>
      <c r="BW23" s="137">
        <f t="shared" si="43"/>
        <v>709490.81786823831</v>
      </c>
      <c r="BX23" s="137">
        <f t="shared" si="43"/>
        <v>0</v>
      </c>
      <c r="BY23" s="137">
        <f t="shared" si="43"/>
        <v>560680.84723798453</v>
      </c>
      <c r="BZ23" s="137">
        <f t="shared" si="43"/>
        <v>0</v>
      </c>
      <c r="CA23" s="137">
        <f t="shared" si="43"/>
        <v>557206.1898221235</v>
      </c>
      <c r="CB23" s="414">
        <f t="shared" si="11"/>
        <v>2748272.243340041</v>
      </c>
      <c r="CC23" s="217">
        <f t="shared" si="12"/>
        <v>7907807.8033400401</v>
      </c>
      <c r="CD23" s="300">
        <v>5</v>
      </c>
      <c r="CE23" s="414">
        <f t="shared" si="14"/>
        <v>13956148.45999977</v>
      </c>
      <c r="CF23" s="414">
        <f t="shared" si="15"/>
        <v>14354827.25999978</v>
      </c>
      <c r="CG23" s="414">
        <f t="shared" si="16"/>
        <v>14993107.86999961</v>
      </c>
      <c r="CH23" s="414">
        <f t="shared" si="17"/>
        <v>15582217.299999604</v>
      </c>
      <c r="CI23" s="416">
        <f t="shared" si="18"/>
        <v>58886300.889998764</v>
      </c>
      <c r="CJ23" s="414">
        <f t="shared" si="19"/>
        <v>15206980.87987986</v>
      </c>
      <c r="CK23" s="414">
        <f t="shared" si="20"/>
        <v>12416808.044180891</v>
      </c>
      <c r="CL23" s="414">
        <f t="shared" si="21"/>
        <v>13487017.253444185</v>
      </c>
      <c r="CM23" s="414">
        <f t="shared" si="22"/>
        <v>13060794.773425734</v>
      </c>
      <c r="CN23" s="416">
        <f t="shared" si="23"/>
        <v>54171600.95093067</v>
      </c>
      <c r="CO23" s="414">
        <f t="shared" si="24"/>
        <v>29163129.339879628</v>
      </c>
      <c r="CP23" s="414">
        <f t="shared" si="25"/>
        <v>26771635.304180667</v>
      </c>
      <c r="CQ23" s="414">
        <f t="shared" si="26"/>
        <v>28480125.123443797</v>
      </c>
      <c r="CR23" s="414">
        <f t="shared" si="27"/>
        <v>28643012.073425334</v>
      </c>
      <c r="CS23" s="416">
        <f t="shared" si="13"/>
        <v>113057901.84092942</v>
      </c>
      <c r="CT23" s="319"/>
      <c r="CV23" s="319"/>
      <c r="CX23" s="319"/>
    </row>
    <row r="24" spans="1:131" ht="15.75" customHeight="1">
      <c r="A24" s="135" t="s">
        <v>1340</v>
      </c>
      <c r="B24" s="193"/>
      <c r="C24" s="178"/>
      <c r="D24" s="178"/>
      <c r="E24" s="178"/>
      <c r="F24" s="178"/>
      <c r="G24" s="178"/>
      <c r="H24" s="178"/>
      <c r="I24" s="178"/>
      <c r="J24" s="178"/>
      <c r="K24" s="381"/>
      <c r="L24" s="382"/>
      <c r="M24" s="178"/>
      <c r="N24" s="178"/>
      <c r="O24" s="178"/>
      <c r="P24" s="178"/>
      <c r="Q24" s="178"/>
      <c r="R24" s="178"/>
      <c r="S24" s="178"/>
      <c r="T24" s="178"/>
      <c r="U24" s="382"/>
      <c r="V24" s="193"/>
      <c r="W24" s="178"/>
      <c r="X24" s="178"/>
      <c r="Y24" s="178"/>
      <c r="Z24" s="178"/>
      <c r="AA24" s="178"/>
      <c r="AB24" s="178"/>
      <c r="AC24" s="178"/>
      <c r="AD24" s="178"/>
      <c r="AE24" s="381"/>
      <c r="AF24" s="382"/>
      <c r="AG24" s="178"/>
      <c r="AH24" s="178"/>
      <c r="AI24" s="178"/>
      <c r="AJ24" s="178"/>
      <c r="AK24" s="178"/>
      <c r="AL24" s="178"/>
      <c r="AM24" s="178"/>
      <c r="AN24" s="178"/>
      <c r="AO24" s="382"/>
      <c r="AP24" s="193"/>
      <c r="AQ24" s="178"/>
      <c r="AR24" s="178"/>
      <c r="AS24" s="178"/>
      <c r="AT24" s="178"/>
      <c r="AU24" s="178"/>
      <c r="AV24" s="178"/>
      <c r="AW24" s="178"/>
      <c r="AX24" s="178"/>
      <c r="AY24" s="381"/>
      <c r="AZ24" s="382"/>
      <c r="BA24" s="178"/>
      <c r="BB24" s="178"/>
      <c r="BC24" s="178"/>
      <c r="BD24" s="178"/>
      <c r="BE24" s="178"/>
      <c r="BF24" s="178"/>
      <c r="BG24" s="178"/>
      <c r="BH24" s="178"/>
      <c r="BI24" s="382"/>
      <c r="BJ24" s="193"/>
      <c r="BK24" s="178"/>
      <c r="BL24" s="178"/>
      <c r="BM24" s="178"/>
      <c r="BN24" s="178"/>
      <c r="BO24" s="178"/>
      <c r="BP24" s="178"/>
      <c r="BQ24" s="178"/>
      <c r="BR24" s="178"/>
      <c r="BS24" s="381"/>
      <c r="BT24" s="382"/>
      <c r="BU24" s="178"/>
      <c r="BV24" s="178"/>
      <c r="BW24" s="178"/>
      <c r="BX24" s="178"/>
      <c r="BY24" s="178"/>
      <c r="BZ24" s="178"/>
      <c r="CA24" s="178"/>
      <c r="CB24" s="178"/>
      <c r="CC24" s="382"/>
      <c r="CD24" s="193"/>
      <c r="CE24" s="178"/>
      <c r="CF24" s="178"/>
      <c r="CG24" s="178"/>
      <c r="CH24" s="178"/>
      <c r="CI24" s="419"/>
      <c r="CJ24" s="178"/>
      <c r="CK24" s="178"/>
      <c r="CL24" s="178"/>
      <c r="CM24" s="178"/>
      <c r="CN24" s="419"/>
      <c r="CO24" s="178"/>
      <c r="CP24" s="178"/>
      <c r="CQ24" s="178"/>
      <c r="CR24" s="178"/>
      <c r="CS24" s="419"/>
    </row>
    <row r="25" spans="1:131" ht="15.75" customHeight="1">
      <c r="A25" s="88" t="s">
        <v>181</v>
      </c>
      <c r="B25" s="300">
        <v>6</v>
      </c>
      <c r="C25" s="231"/>
      <c r="D25" s="231"/>
      <c r="E25" s="231"/>
      <c r="F25" s="231"/>
      <c r="G25" s="231"/>
      <c r="H25" s="231"/>
      <c r="I25" s="231"/>
      <c r="J25" s="231"/>
      <c r="K25" s="412">
        <f t="shared" ref="K25:K30" si="44">SUM(C25:J25)</f>
        <v>0</v>
      </c>
      <c r="L25" s="417"/>
      <c r="M25" s="231"/>
      <c r="N25" s="231"/>
      <c r="O25" s="231"/>
      <c r="P25" s="231"/>
      <c r="Q25" s="231"/>
      <c r="R25" s="231"/>
      <c r="S25" s="231"/>
      <c r="T25" s="414">
        <f t="shared" ref="T25:T30" si="45">SUM(L25:S25)</f>
        <v>0</v>
      </c>
      <c r="U25" s="415">
        <f t="shared" ref="U25:U30" si="46">SUM(K25,T25)</f>
        <v>0</v>
      </c>
      <c r="V25" s="300">
        <v>6</v>
      </c>
      <c r="W25" s="231"/>
      <c r="X25" s="231"/>
      <c r="Y25" s="231"/>
      <c r="Z25" s="231"/>
      <c r="AA25" s="231"/>
      <c r="AB25" s="231"/>
      <c r="AC25" s="231"/>
      <c r="AD25" s="231"/>
      <c r="AE25" s="412">
        <f t="shared" ref="AE25:AE30" si="47">SUM(W25:AD25)</f>
        <v>0</v>
      </c>
      <c r="AF25" s="417"/>
      <c r="AG25" s="231"/>
      <c r="AH25" s="231"/>
      <c r="AI25" s="231"/>
      <c r="AJ25" s="231"/>
      <c r="AK25" s="231"/>
      <c r="AL25" s="231"/>
      <c r="AM25" s="231"/>
      <c r="AN25" s="414">
        <f t="shared" ref="AN25:AN30" si="48">SUM(AF25:AM25)</f>
        <v>0</v>
      </c>
      <c r="AO25" s="415">
        <f t="shared" ref="AO25:AO30" si="49">SUM(AE25,AN25)</f>
        <v>0</v>
      </c>
      <c r="AP25" s="300">
        <v>6</v>
      </c>
      <c r="AQ25" s="231"/>
      <c r="AR25" s="231"/>
      <c r="AS25" s="231"/>
      <c r="AT25" s="231"/>
      <c r="AU25" s="231"/>
      <c r="AV25" s="231"/>
      <c r="AW25" s="231"/>
      <c r="AX25" s="231"/>
      <c r="AY25" s="412">
        <f t="shared" ref="AY25:AY30" si="50">SUM(AQ25:AX25)</f>
        <v>0</v>
      </c>
      <c r="AZ25" s="417"/>
      <c r="BA25" s="231"/>
      <c r="BB25" s="231"/>
      <c r="BC25" s="231"/>
      <c r="BD25" s="231"/>
      <c r="BE25" s="231"/>
      <c r="BF25" s="231"/>
      <c r="BG25" s="231"/>
      <c r="BH25" s="414">
        <f t="shared" ref="BH25:BH30" si="51">SUM(AZ25:BG25)</f>
        <v>0</v>
      </c>
      <c r="BI25" s="415">
        <f t="shared" ref="BI25:BI30" si="52">SUM(AY25,BH25)</f>
        <v>0</v>
      </c>
      <c r="BJ25" s="300">
        <v>6</v>
      </c>
      <c r="BK25" s="231">
        <v>3030.4407440552677</v>
      </c>
      <c r="BL25" s="231">
        <v>88717.332255694288</v>
      </c>
      <c r="BM25" s="231">
        <v>2039.6937598482102</v>
      </c>
      <c r="BN25" s="231">
        <v>92223.968643943255</v>
      </c>
      <c r="BO25" s="231">
        <v>4760.6766410333003</v>
      </c>
      <c r="BP25" s="231">
        <v>94675.021547171593</v>
      </c>
      <c r="BQ25" s="231">
        <v>28709.151522054999</v>
      </c>
      <c r="BR25" s="231">
        <v>400554.93763336242</v>
      </c>
      <c r="BS25" s="412">
        <f t="shared" ref="BS25:BS30" si="53">SUM(BK25:BR25)</f>
        <v>714711.22274716338</v>
      </c>
      <c r="BT25" s="417"/>
      <c r="BU25" s="231"/>
      <c r="BV25" s="231"/>
      <c r="BW25" s="231"/>
      <c r="BX25" s="231"/>
      <c r="BY25" s="231"/>
      <c r="BZ25" s="231"/>
      <c r="CA25" s="231"/>
      <c r="CB25" s="414">
        <f t="shared" ref="CB25:CB30" si="54">SUM(BT25:CA25)</f>
        <v>0</v>
      </c>
      <c r="CC25" s="415">
        <f t="shared" ref="CC25:CC30" si="55">SUM(BS25,CB25)</f>
        <v>714711.22274716338</v>
      </c>
      <c r="CD25" s="300">
        <v>6</v>
      </c>
      <c r="CE25" s="414">
        <f t="shared" ref="CE25:CE30" si="56">+C25+D25+W25+X25+AQ25+AR25+BK25+BL25</f>
        <v>91747.772999749548</v>
      </c>
      <c r="CF25" s="414">
        <f t="shared" ref="CF25:CF30" si="57">+E25+F25+Y25+Z25+AS25+AT25+BM25+BN25</f>
        <v>94263.662403791459</v>
      </c>
      <c r="CG25" s="414">
        <f t="shared" ref="CG25:CG30" si="58">+G25+H25+AA25+AB25+AU25+AV25+BO25+BP25</f>
        <v>99435.6981882049</v>
      </c>
      <c r="CH25" s="414">
        <f t="shared" ref="CH25:CH30" si="59">+I25+J25+AC25+AD25+AW25+AX25+BQ25+BR25</f>
        <v>429264.0891554174</v>
      </c>
      <c r="CI25" s="416">
        <f t="shared" ref="CI25:CI30" si="60">SUM(K25,AE25,AY25,BS25)</f>
        <v>714711.22274716338</v>
      </c>
      <c r="CJ25" s="414">
        <f t="shared" ref="CJ25:CJ30" si="61">L25+M25+AF25+AG25+AZ25+BA25+BT25+BU25</f>
        <v>0</v>
      </c>
      <c r="CK25" s="414">
        <f t="shared" ref="CK25:CK30" si="62">N25+O25+AH25+AI25+BB25+BC25+BV25+BW25</f>
        <v>0</v>
      </c>
      <c r="CL25" s="414">
        <f t="shared" ref="CL25:CL30" si="63">P25+Q25+AJ25+AK25+BD25+BE25+BX25+BY25</f>
        <v>0</v>
      </c>
      <c r="CM25" s="414">
        <f t="shared" ref="CM25:CM30" si="64">+R25+S25+AL25+AM25+BF25+BG25+BZ25+CA25</f>
        <v>0</v>
      </c>
      <c r="CN25" s="416">
        <f t="shared" ref="CN25:CN30" si="65">SUM(T25,AN25,BH25,CB25)</f>
        <v>0</v>
      </c>
      <c r="CO25" s="414">
        <f t="shared" ref="CO25:CO30" si="66">+C25+D25+L25+M25+W25+X25+AF25+AG25+AQ25+AR25+AZ25+BA25+BK25+BL25+BT25+BU25</f>
        <v>91747.772999749548</v>
      </c>
      <c r="CP25" s="414">
        <f t="shared" ref="CP25:CP30" si="67">+E25+F25+N25+O25+Y25+Z25+AH25+AI25+AS25+AT25+BB25+BC25+BM25+BN25+BV25+BW25</f>
        <v>94263.662403791459</v>
      </c>
      <c r="CQ25" s="414">
        <f t="shared" ref="CQ25:CQ30" si="68">+G25+H25+P25+Q25+AA25+AB25+AJ25+AK25+AU25+AV25+BD25+BE25+BO25+BP25+BX25+BY25</f>
        <v>99435.6981882049</v>
      </c>
      <c r="CR25" s="414">
        <f t="shared" ref="CR25:CR30" si="69">+I25+J25+R25+S25+AC25+AD25+AL25+AM25+AW25+AX25+BF25+BG25+BQ25+BR25+BZ25+CA25</f>
        <v>429264.0891554174</v>
      </c>
      <c r="CS25" s="416">
        <f t="shared" ref="CS25:CS30" si="70">SUM(CC25,BI25,AO25,U25)</f>
        <v>714711.22274716338</v>
      </c>
      <c r="CT25" s="319"/>
      <c r="CU25" s="319"/>
      <c r="CV25" s="319"/>
      <c r="CW25" s="319"/>
      <c r="CX25" s="319"/>
    </row>
    <row r="26" spans="1:131" ht="15.75" customHeight="1">
      <c r="A26" s="88" t="s">
        <v>183</v>
      </c>
      <c r="B26" s="300">
        <v>7</v>
      </c>
      <c r="C26" s="231"/>
      <c r="D26" s="231"/>
      <c r="E26" s="231"/>
      <c r="F26" s="231"/>
      <c r="G26" s="231"/>
      <c r="H26" s="231"/>
      <c r="I26" s="231"/>
      <c r="J26" s="231"/>
      <c r="K26" s="412">
        <f t="shared" si="44"/>
        <v>0</v>
      </c>
      <c r="L26" s="417"/>
      <c r="M26" s="231"/>
      <c r="N26" s="231"/>
      <c r="O26" s="231"/>
      <c r="P26" s="231"/>
      <c r="Q26" s="231"/>
      <c r="R26" s="231"/>
      <c r="S26" s="231"/>
      <c r="T26" s="414">
        <f t="shared" si="45"/>
        <v>0</v>
      </c>
      <c r="U26" s="415">
        <f t="shared" si="46"/>
        <v>0</v>
      </c>
      <c r="V26" s="300">
        <v>7</v>
      </c>
      <c r="W26" s="231"/>
      <c r="X26" s="231"/>
      <c r="Y26" s="231"/>
      <c r="Z26" s="231"/>
      <c r="AA26" s="231"/>
      <c r="AB26" s="231"/>
      <c r="AC26" s="231"/>
      <c r="AD26" s="231"/>
      <c r="AE26" s="412">
        <f t="shared" si="47"/>
        <v>0</v>
      </c>
      <c r="AF26" s="417"/>
      <c r="AG26" s="231"/>
      <c r="AH26" s="231"/>
      <c r="AI26" s="231"/>
      <c r="AJ26" s="231"/>
      <c r="AK26" s="231"/>
      <c r="AL26" s="231"/>
      <c r="AM26" s="231"/>
      <c r="AN26" s="414">
        <f t="shared" si="48"/>
        <v>0</v>
      </c>
      <c r="AO26" s="415">
        <f t="shared" si="49"/>
        <v>0</v>
      </c>
      <c r="AP26" s="300">
        <v>7</v>
      </c>
      <c r="AQ26" s="231"/>
      <c r="AR26" s="231"/>
      <c r="AS26" s="231"/>
      <c r="AT26" s="231"/>
      <c r="AU26" s="231"/>
      <c r="AV26" s="231"/>
      <c r="AW26" s="231"/>
      <c r="AX26" s="231"/>
      <c r="AY26" s="412">
        <f t="shared" si="50"/>
        <v>0</v>
      </c>
      <c r="AZ26" s="417"/>
      <c r="BA26" s="231"/>
      <c r="BB26" s="231"/>
      <c r="BC26" s="231"/>
      <c r="BD26" s="231"/>
      <c r="BE26" s="231"/>
      <c r="BF26" s="231"/>
      <c r="BG26" s="231"/>
      <c r="BH26" s="414">
        <f t="shared" si="51"/>
        <v>0</v>
      </c>
      <c r="BI26" s="415">
        <f t="shared" si="52"/>
        <v>0</v>
      </c>
      <c r="BJ26" s="300">
        <v>7</v>
      </c>
      <c r="BK26" s="231"/>
      <c r="BL26" s="231"/>
      <c r="BM26" s="231"/>
      <c r="BN26" s="231"/>
      <c r="BO26" s="231"/>
      <c r="BP26" s="231"/>
      <c r="BQ26" s="231"/>
      <c r="BR26" s="231"/>
      <c r="BS26" s="412">
        <f t="shared" si="53"/>
        <v>0</v>
      </c>
      <c r="BT26" s="417"/>
      <c r="BU26" s="231"/>
      <c r="BV26" s="231"/>
      <c r="BW26" s="231"/>
      <c r="BX26" s="231"/>
      <c r="BY26" s="231"/>
      <c r="BZ26" s="231"/>
      <c r="CA26" s="231"/>
      <c r="CB26" s="414">
        <f t="shared" si="54"/>
        <v>0</v>
      </c>
      <c r="CC26" s="415">
        <f t="shared" si="55"/>
        <v>0</v>
      </c>
      <c r="CD26" s="300">
        <v>7</v>
      </c>
      <c r="CE26" s="414">
        <f t="shared" si="56"/>
        <v>0</v>
      </c>
      <c r="CF26" s="414">
        <f t="shared" si="57"/>
        <v>0</v>
      </c>
      <c r="CG26" s="414">
        <f t="shared" si="58"/>
        <v>0</v>
      </c>
      <c r="CH26" s="414">
        <f t="shared" si="59"/>
        <v>0</v>
      </c>
      <c r="CI26" s="416">
        <f t="shared" si="60"/>
        <v>0</v>
      </c>
      <c r="CJ26" s="414">
        <f t="shared" si="61"/>
        <v>0</v>
      </c>
      <c r="CK26" s="414">
        <f t="shared" si="62"/>
        <v>0</v>
      </c>
      <c r="CL26" s="414">
        <f t="shared" si="63"/>
        <v>0</v>
      </c>
      <c r="CM26" s="414">
        <f t="shared" si="64"/>
        <v>0</v>
      </c>
      <c r="CN26" s="416">
        <f t="shared" si="65"/>
        <v>0</v>
      </c>
      <c r="CO26" s="414">
        <f t="shared" si="66"/>
        <v>0</v>
      </c>
      <c r="CP26" s="414">
        <f t="shared" si="67"/>
        <v>0</v>
      </c>
      <c r="CQ26" s="414">
        <f t="shared" si="68"/>
        <v>0</v>
      </c>
      <c r="CR26" s="414">
        <f t="shared" si="69"/>
        <v>0</v>
      </c>
      <c r="CS26" s="416">
        <f t="shared" si="70"/>
        <v>0</v>
      </c>
      <c r="CT26" s="319"/>
      <c r="CV26" s="319"/>
      <c r="CX26" s="319"/>
    </row>
    <row r="27" spans="1:131" ht="15.75" customHeight="1">
      <c r="A27" s="88" t="s">
        <v>185</v>
      </c>
      <c r="B27" s="300">
        <v>8</v>
      </c>
      <c r="C27" s="231"/>
      <c r="D27" s="231"/>
      <c r="E27" s="231"/>
      <c r="F27" s="231"/>
      <c r="G27" s="231"/>
      <c r="H27" s="231"/>
      <c r="I27" s="231"/>
      <c r="J27" s="231"/>
      <c r="K27" s="412">
        <f t="shared" si="44"/>
        <v>0</v>
      </c>
      <c r="L27" s="417"/>
      <c r="M27" s="231"/>
      <c r="N27" s="231"/>
      <c r="O27" s="231"/>
      <c r="P27" s="231"/>
      <c r="Q27" s="231"/>
      <c r="R27" s="231"/>
      <c r="S27" s="231"/>
      <c r="T27" s="414">
        <f t="shared" si="45"/>
        <v>0</v>
      </c>
      <c r="U27" s="415">
        <f t="shared" si="46"/>
        <v>0</v>
      </c>
      <c r="V27" s="300">
        <v>8</v>
      </c>
      <c r="W27" s="231"/>
      <c r="X27" s="231"/>
      <c r="Y27" s="231"/>
      <c r="Z27" s="231"/>
      <c r="AA27" s="231"/>
      <c r="AB27" s="231"/>
      <c r="AC27" s="231"/>
      <c r="AD27" s="231"/>
      <c r="AE27" s="412">
        <f t="shared" si="47"/>
        <v>0</v>
      </c>
      <c r="AF27" s="417"/>
      <c r="AG27" s="231"/>
      <c r="AH27" s="231"/>
      <c r="AI27" s="231"/>
      <c r="AJ27" s="231"/>
      <c r="AK27" s="231"/>
      <c r="AL27" s="231"/>
      <c r="AM27" s="231"/>
      <c r="AN27" s="414">
        <f t="shared" si="48"/>
        <v>0</v>
      </c>
      <c r="AO27" s="415">
        <f t="shared" si="49"/>
        <v>0</v>
      </c>
      <c r="AP27" s="300">
        <v>8</v>
      </c>
      <c r="AQ27" s="231"/>
      <c r="AR27" s="231"/>
      <c r="AS27" s="231"/>
      <c r="AT27" s="231"/>
      <c r="AU27" s="231"/>
      <c r="AV27" s="231"/>
      <c r="AW27" s="231"/>
      <c r="AX27" s="231"/>
      <c r="AY27" s="412">
        <f t="shared" si="50"/>
        <v>0</v>
      </c>
      <c r="AZ27" s="417"/>
      <c r="BA27" s="231"/>
      <c r="BB27" s="231"/>
      <c r="BC27" s="231"/>
      <c r="BD27" s="231"/>
      <c r="BE27" s="231"/>
      <c r="BF27" s="231"/>
      <c r="BG27" s="231"/>
      <c r="BH27" s="414">
        <f t="shared" si="51"/>
        <v>0</v>
      </c>
      <c r="BI27" s="415">
        <f t="shared" si="52"/>
        <v>0</v>
      </c>
      <c r="BJ27" s="300">
        <v>8</v>
      </c>
      <c r="BK27" s="231"/>
      <c r="BL27" s="231"/>
      <c r="BM27" s="231"/>
      <c r="BN27" s="231"/>
      <c r="BO27" s="231"/>
      <c r="BP27" s="231"/>
      <c r="BQ27" s="231"/>
      <c r="BR27" s="231"/>
      <c r="BS27" s="412">
        <f t="shared" si="53"/>
        <v>0</v>
      </c>
      <c r="BT27" s="417"/>
      <c r="BU27" s="231"/>
      <c r="BV27" s="231"/>
      <c r="BW27" s="231"/>
      <c r="BX27" s="231"/>
      <c r="BY27" s="231"/>
      <c r="BZ27" s="231"/>
      <c r="CA27" s="231"/>
      <c r="CB27" s="414">
        <f t="shared" si="54"/>
        <v>0</v>
      </c>
      <c r="CC27" s="415">
        <f t="shared" si="55"/>
        <v>0</v>
      </c>
      <c r="CD27" s="300">
        <v>8</v>
      </c>
      <c r="CE27" s="414">
        <f t="shared" si="56"/>
        <v>0</v>
      </c>
      <c r="CF27" s="414">
        <f t="shared" si="57"/>
        <v>0</v>
      </c>
      <c r="CG27" s="414">
        <f t="shared" si="58"/>
        <v>0</v>
      </c>
      <c r="CH27" s="414">
        <f t="shared" si="59"/>
        <v>0</v>
      </c>
      <c r="CI27" s="416">
        <f t="shared" si="60"/>
        <v>0</v>
      </c>
      <c r="CJ27" s="414">
        <f t="shared" si="61"/>
        <v>0</v>
      </c>
      <c r="CK27" s="414">
        <f t="shared" si="62"/>
        <v>0</v>
      </c>
      <c r="CL27" s="414">
        <f t="shared" si="63"/>
        <v>0</v>
      </c>
      <c r="CM27" s="414">
        <f t="shared" si="64"/>
        <v>0</v>
      </c>
      <c r="CN27" s="416">
        <f t="shared" si="65"/>
        <v>0</v>
      </c>
      <c r="CO27" s="414">
        <f t="shared" si="66"/>
        <v>0</v>
      </c>
      <c r="CP27" s="414">
        <f t="shared" si="67"/>
        <v>0</v>
      </c>
      <c r="CQ27" s="414">
        <f t="shared" si="68"/>
        <v>0</v>
      </c>
      <c r="CR27" s="414">
        <f t="shared" si="69"/>
        <v>0</v>
      </c>
      <c r="CS27" s="416">
        <f t="shared" si="70"/>
        <v>0</v>
      </c>
      <c r="CT27" s="319"/>
      <c r="CV27" s="319"/>
      <c r="CX27" s="319"/>
    </row>
    <row r="28" spans="1:131" ht="15.75" customHeight="1">
      <c r="A28" s="88" t="s">
        <v>187</v>
      </c>
      <c r="B28" s="300">
        <v>9</v>
      </c>
      <c r="C28" s="231"/>
      <c r="D28" s="231"/>
      <c r="E28" s="231"/>
      <c r="F28" s="231"/>
      <c r="G28" s="231"/>
      <c r="H28" s="231"/>
      <c r="I28" s="231"/>
      <c r="J28" s="231"/>
      <c r="K28" s="412">
        <f t="shared" si="44"/>
        <v>0</v>
      </c>
      <c r="L28" s="417"/>
      <c r="M28" s="231"/>
      <c r="N28" s="231"/>
      <c r="O28" s="231"/>
      <c r="P28" s="231"/>
      <c r="Q28" s="231"/>
      <c r="R28" s="231"/>
      <c r="S28" s="231"/>
      <c r="T28" s="414">
        <f t="shared" si="45"/>
        <v>0</v>
      </c>
      <c r="U28" s="415">
        <f t="shared" si="46"/>
        <v>0</v>
      </c>
      <c r="V28" s="300">
        <v>9</v>
      </c>
      <c r="W28" s="231"/>
      <c r="X28" s="231"/>
      <c r="Y28" s="231"/>
      <c r="Z28" s="231"/>
      <c r="AA28" s="231"/>
      <c r="AB28" s="231"/>
      <c r="AC28" s="231"/>
      <c r="AD28" s="231"/>
      <c r="AE28" s="412">
        <f t="shared" si="47"/>
        <v>0</v>
      </c>
      <c r="AF28" s="417"/>
      <c r="AG28" s="231"/>
      <c r="AH28" s="231"/>
      <c r="AI28" s="231"/>
      <c r="AJ28" s="231"/>
      <c r="AK28" s="231"/>
      <c r="AL28" s="231"/>
      <c r="AM28" s="231"/>
      <c r="AN28" s="414">
        <f t="shared" si="48"/>
        <v>0</v>
      </c>
      <c r="AO28" s="415">
        <f t="shared" si="49"/>
        <v>0</v>
      </c>
      <c r="AP28" s="300">
        <v>9</v>
      </c>
      <c r="AQ28" s="231"/>
      <c r="AR28" s="231"/>
      <c r="AS28" s="231"/>
      <c r="AT28" s="231"/>
      <c r="AU28" s="231"/>
      <c r="AV28" s="231"/>
      <c r="AW28" s="231"/>
      <c r="AX28" s="231"/>
      <c r="AY28" s="412">
        <f t="shared" si="50"/>
        <v>0</v>
      </c>
      <c r="AZ28" s="417"/>
      <c r="BA28" s="231"/>
      <c r="BB28" s="231"/>
      <c r="BC28" s="231"/>
      <c r="BD28" s="231"/>
      <c r="BE28" s="231"/>
      <c r="BF28" s="231"/>
      <c r="BG28" s="231"/>
      <c r="BH28" s="414">
        <f t="shared" si="51"/>
        <v>0</v>
      </c>
      <c r="BI28" s="415">
        <f t="shared" si="52"/>
        <v>0</v>
      </c>
      <c r="BJ28" s="300">
        <v>9</v>
      </c>
      <c r="BK28" s="231"/>
      <c r="BL28" s="231"/>
      <c r="BM28" s="231"/>
      <c r="BN28" s="231"/>
      <c r="BO28" s="231"/>
      <c r="BP28" s="231"/>
      <c r="BQ28" s="231"/>
      <c r="BR28" s="231"/>
      <c r="BS28" s="412">
        <f t="shared" si="53"/>
        <v>0</v>
      </c>
      <c r="BT28" s="417"/>
      <c r="BU28" s="231"/>
      <c r="BV28" s="231"/>
      <c r="BW28" s="231"/>
      <c r="BX28" s="231"/>
      <c r="BY28" s="231"/>
      <c r="BZ28" s="231"/>
      <c r="CA28" s="231"/>
      <c r="CB28" s="414">
        <f t="shared" si="54"/>
        <v>0</v>
      </c>
      <c r="CC28" s="415">
        <f t="shared" si="55"/>
        <v>0</v>
      </c>
      <c r="CD28" s="300">
        <v>9</v>
      </c>
      <c r="CE28" s="414">
        <f t="shared" si="56"/>
        <v>0</v>
      </c>
      <c r="CF28" s="414">
        <f t="shared" si="57"/>
        <v>0</v>
      </c>
      <c r="CG28" s="414">
        <f t="shared" si="58"/>
        <v>0</v>
      </c>
      <c r="CH28" s="414">
        <f t="shared" si="59"/>
        <v>0</v>
      </c>
      <c r="CI28" s="416">
        <f t="shared" si="60"/>
        <v>0</v>
      </c>
      <c r="CJ28" s="414">
        <f t="shared" si="61"/>
        <v>0</v>
      </c>
      <c r="CK28" s="414">
        <f t="shared" si="62"/>
        <v>0</v>
      </c>
      <c r="CL28" s="414">
        <f t="shared" si="63"/>
        <v>0</v>
      </c>
      <c r="CM28" s="414">
        <f t="shared" si="64"/>
        <v>0</v>
      </c>
      <c r="CN28" s="416">
        <f t="shared" si="65"/>
        <v>0</v>
      </c>
      <c r="CO28" s="414">
        <f t="shared" si="66"/>
        <v>0</v>
      </c>
      <c r="CP28" s="414">
        <f t="shared" si="67"/>
        <v>0</v>
      </c>
      <c r="CQ28" s="414">
        <f t="shared" si="68"/>
        <v>0</v>
      </c>
      <c r="CR28" s="414">
        <f t="shared" si="69"/>
        <v>0</v>
      </c>
      <c r="CS28" s="416">
        <f t="shared" si="70"/>
        <v>0</v>
      </c>
      <c r="CT28" s="319"/>
      <c r="CV28" s="319"/>
      <c r="CX28" s="319"/>
    </row>
    <row r="29" spans="1:131" ht="15.75" customHeight="1">
      <c r="A29" s="88" t="s">
        <v>189</v>
      </c>
      <c r="B29" s="300">
        <v>10</v>
      </c>
      <c r="C29" s="231">
        <v>0</v>
      </c>
      <c r="D29" s="231">
        <v>0</v>
      </c>
      <c r="E29" s="231">
        <v>0</v>
      </c>
      <c r="F29" s="231">
        <v>0</v>
      </c>
      <c r="G29" s="231">
        <v>0</v>
      </c>
      <c r="H29" s="231">
        <v>0</v>
      </c>
      <c r="I29" s="231">
        <v>0</v>
      </c>
      <c r="J29" s="231">
        <v>0</v>
      </c>
      <c r="K29" s="412">
        <f t="shared" si="44"/>
        <v>0</v>
      </c>
      <c r="L29" s="417">
        <v>0</v>
      </c>
      <c r="M29" s="231">
        <v>1.3751540248019287E-5</v>
      </c>
      <c r="N29" s="231">
        <v>0</v>
      </c>
      <c r="O29" s="231">
        <v>1.21105996055296E-5</v>
      </c>
      <c r="P29" s="231">
        <v>0</v>
      </c>
      <c r="Q29" s="231">
        <v>1.2770859648859435E-5</v>
      </c>
      <c r="R29" s="231">
        <v>0</v>
      </c>
      <c r="S29" s="231">
        <v>1.2731711614129563E-5</v>
      </c>
      <c r="T29" s="414">
        <f t="shared" si="45"/>
        <v>5.1364711116537886E-5</v>
      </c>
      <c r="U29" s="415">
        <f t="shared" si="46"/>
        <v>5.1364711116537886E-5</v>
      </c>
      <c r="V29" s="300">
        <v>10</v>
      </c>
      <c r="W29" s="231">
        <v>0</v>
      </c>
      <c r="X29" s="231">
        <v>0</v>
      </c>
      <c r="Y29" s="231">
        <v>0</v>
      </c>
      <c r="Z29" s="231">
        <v>0</v>
      </c>
      <c r="AA29" s="231">
        <v>0</v>
      </c>
      <c r="AB29" s="231">
        <v>0</v>
      </c>
      <c r="AC29" s="231">
        <v>0</v>
      </c>
      <c r="AD29" s="231">
        <v>0</v>
      </c>
      <c r="AE29" s="412">
        <f t="shared" si="47"/>
        <v>0</v>
      </c>
      <c r="AF29" s="417">
        <v>0</v>
      </c>
      <c r="AG29" s="231">
        <v>5.7913033638041082E-6</v>
      </c>
      <c r="AH29" s="231">
        <v>0</v>
      </c>
      <c r="AI29" s="231">
        <v>5.3258729284457851E-6</v>
      </c>
      <c r="AJ29" s="231">
        <v>0</v>
      </c>
      <c r="AK29" s="231">
        <v>5.8365898499427571E-6</v>
      </c>
      <c r="AL29" s="231">
        <v>0</v>
      </c>
      <c r="AM29" s="231">
        <v>6.2916114841011702E-6</v>
      </c>
      <c r="AN29" s="414">
        <f t="shared" si="48"/>
        <v>2.324537762629382E-5</v>
      </c>
      <c r="AO29" s="415">
        <f t="shared" si="49"/>
        <v>2.324537762629382E-5</v>
      </c>
      <c r="AP29" s="300">
        <v>10</v>
      </c>
      <c r="AQ29" s="231">
        <v>0</v>
      </c>
      <c r="AR29" s="231">
        <v>0</v>
      </c>
      <c r="AS29" s="231">
        <v>0</v>
      </c>
      <c r="AT29" s="231">
        <v>0</v>
      </c>
      <c r="AU29" s="231">
        <v>0</v>
      </c>
      <c r="AV29" s="231">
        <v>0</v>
      </c>
      <c r="AW29" s="231">
        <v>0</v>
      </c>
      <c r="AX29" s="231">
        <v>0</v>
      </c>
      <c r="AY29" s="412">
        <f t="shared" si="50"/>
        <v>0</v>
      </c>
      <c r="AZ29" s="417">
        <v>0</v>
      </c>
      <c r="BA29" s="231">
        <v>1.2319512220600859E-4</v>
      </c>
      <c r="BB29" s="231">
        <v>0</v>
      </c>
      <c r="BC29" s="231">
        <v>9.8658460321879996E-5</v>
      </c>
      <c r="BD29" s="231">
        <v>0</v>
      </c>
      <c r="BE29" s="231">
        <v>1.1170048346632302E-4</v>
      </c>
      <c r="BF29" s="231">
        <v>0</v>
      </c>
      <c r="BG29" s="231">
        <v>1.1133387202779761E-4</v>
      </c>
      <c r="BH29" s="414">
        <f t="shared" si="51"/>
        <v>4.4488793802200923E-4</v>
      </c>
      <c r="BI29" s="415">
        <f t="shared" si="52"/>
        <v>4.4488793802200923E-4</v>
      </c>
      <c r="BJ29" s="300">
        <v>10</v>
      </c>
      <c r="BK29" s="231">
        <v>0</v>
      </c>
      <c r="BL29" s="231">
        <v>0</v>
      </c>
      <c r="BM29" s="231">
        <v>0</v>
      </c>
      <c r="BN29" s="231">
        <v>0</v>
      </c>
      <c r="BO29" s="231">
        <v>0</v>
      </c>
      <c r="BP29" s="231">
        <v>0</v>
      </c>
      <c r="BQ29" s="231">
        <v>0</v>
      </c>
      <c r="BR29" s="231">
        <v>0</v>
      </c>
      <c r="BS29" s="412">
        <f t="shared" si="53"/>
        <v>0</v>
      </c>
      <c r="BT29" s="417">
        <v>0</v>
      </c>
      <c r="BU29" s="231">
        <v>4.5969690624398066E-6</v>
      </c>
      <c r="BV29" s="231">
        <v>0</v>
      </c>
      <c r="BW29" s="231">
        <v>4.5758071513023303E-6</v>
      </c>
      <c r="BX29" s="231">
        <v>0</v>
      </c>
      <c r="BY29" s="231">
        <v>4.7937233669523909E-6</v>
      </c>
      <c r="BZ29" s="231">
        <v>0</v>
      </c>
      <c r="CA29" s="231">
        <v>5.926588271509977E-6</v>
      </c>
      <c r="CB29" s="414">
        <f t="shared" si="54"/>
        <v>1.9893087852204502E-5</v>
      </c>
      <c r="CC29" s="415">
        <f t="shared" si="55"/>
        <v>1.9893087852204502E-5</v>
      </c>
      <c r="CD29" s="300">
        <v>10</v>
      </c>
      <c r="CE29" s="414">
        <f t="shared" si="56"/>
        <v>0</v>
      </c>
      <c r="CF29" s="414">
        <f t="shared" si="57"/>
        <v>0</v>
      </c>
      <c r="CG29" s="414">
        <f t="shared" si="58"/>
        <v>0</v>
      </c>
      <c r="CH29" s="414">
        <f t="shared" si="59"/>
        <v>0</v>
      </c>
      <c r="CI29" s="416">
        <f t="shared" si="60"/>
        <v>0</v>
      </c>
      <c r="CJ29" s="414">
        <f t="shared" si="61"/>
        <v>1.473349348802718E-4</v>
      </c>
      <c r="CK29" s="414">
        <f t="shared" si="62"/>
        <v>1.2067074000715771E-4</v>
      </c>
      <c r="CL29" s="414">
        <f t="shared" si="63"/>
        <v>1.351016563320776E-4</v>
      </c>
      <c r="CM29" s="414">
        <f t="shared" si="64"/>
        <v>1.3628378339753831E-4</v>
      </c>
      <c r="CN29" s="416">
        <f t="shared" si="65"/>
        <v>5.3939111461704541E-4</v>
      </c>
      <c r="CO29" s="414">
        <f t="shared" si="66"/>
        <v>1.473349348802718E-4</v>
      </c>
      <c r="CP29" s="414">
        <f t="shared" si="67"/>
        <v>1.2067074000715771E-4</v>
      </c>
      <c r="CQ29" s="414">
        <f t="shared" si="68"/>
        <v>1.351016563320776E-4</v>
      </c>
      <c r="CR29" s="414">
        <f t="shared" si="69"/>
        <v>1.3628378339753831E-4</v>
      </c>
      <c r="CS29" s="416">
        <f t="shared" si="70"/>
        <v>5.3939111461704541E-4</v>
      </c>
      <c r="CT29" s="319"/>
      <c r="CV29" s="319"/>
      <c r="CX29" s="319"/>
    </row>
    <row r="30" spans="1:131" ht="15.75" customHeight="1">
      <c r="A30" s="135" t="s">
        <v>191</v>
      </c>
      <c r="B30" s="300">
        <v>11</v>
      </c>
      <c r="C30" s="137">
        <f t="shared" ref="C30:J30" si="71">SUM(C25:C29)</f>
        <v>0</v>
      </c>
      <c r="D30" s="137">
        <f t="shared" si="71"/>
        <v>0</v>
      </c>
      <c r="E30" s="137">
        <f t="shared" si="71"/>
        <v>0</v>
      </c>
      <c r="F30" s="137">
        <f t="shared" si="71"/>
        <v>0</v>
      </c>
      <c r="G30" s="137">
        <f t="shared" si="71"/>
        <v>0</v>
      </c>
      <c r="H30" s="137">
        <f t="shared" si="71"/>
        <v>0</v>
      </c>
      <c r="I30" s="137">
        <f t="shared" si="71"/>
        <v>0</v>
      </c>
      <c r="J30" s="137">
        <f t="shared" si="71"/>
        <v>0</v>
      </c>
      <c r="K30" s="412">
        <f t="shared" si="44"/>
        <v>0</v>
      </c>
      <c r="L30" s="217">
        <f t="shared" ref="L30:S30" si="72">SUM(L25:L29)</f>
        <v>0</v>
      </c>
      <c r="M30" s="137">
        <f t="shared" si="72"/>
        <v>1.3751540248019287E-5</v>
      </c>
      <c r="N30" s="137">
        <f t="shared" si="72"/>
        <v>0</v>
      </c>
      <c r="O30" s="137">
        <f t="shared" si="72"/>
        <v>1.21105996055296E-5</v>
      </c>
      <c r="P30" s="137">
        <f t="shared" si="72"/>
        <v>0</v>
      </c>
      <c r="Q30" s="137">
        <f t="shared" si="72"/>
        <v>1.2770859648859435E-5</v>
      </c>
      <c r="R30" s="137">
        <f t="shared" si="72"/>
        <v>0</v>
      </c>
      <c r="S30" s="137">
        <f t="shared" si="72"/>
        <v>1.2731711614129563E-5</v>
      </c>
      <c r="T30" s="414">
        <f t="shared" si="45"/>
        <v>5.1364711116537886E-5</v>
      </c>
      <c r="U30" s="415">
        <f t="shared" si="46"/>
        <v>5.1364711116537886E-5</v>
      </c>
      <c r="V30" s="300">
        <v>11</v>
      </c>
      <c r="W30" s="137">
        <f t="shared" ref="W30:AD30" si="73">SUM(W25:W29)</f>
        <v>0</v>
      </c>
      <c r="X30" s="137">
        <f t="shared" si="73"/>
        <v>0</v>
      </c>
      <c r="Y30" s="137">
        <f t="shared" si="73"/>
        <v>0</v>
      </c>
      <c r="Z30" s="137">
        <f t="shared" si="73"/>
        <v>0</v>
      </c>
      <c r="AA30" s="137">
        <f t="shared" si="73"/>
        <v>0</v>
      </c>
      <c r="AB30" s="137">
        <f t="shared" si="73"/>
        <v>0</v>
      </c>
      <c r="AC30" s="137">
        <f t="shared" si="73"/>
        <v>0</v>
      </c>
      <c r="AD30" s="137">
        <f t="shared" si="73"/>
        <v>0</v>
      </c>
      <c r="AE30" s="412">
        <f t="shared" si="47"/>
        <v>0</v>
      </c>
      <c r="AF30" s="217">
        <f t="shared" ref="AF30:AM30" si="74">SUM(AF25:AF29)</f>
        <v>0</v>
      </c>
      <c r="AG30" s="137">
        <f t="shared" si="74"/>
        <v>5.7913033638041082E-6</v>
      </c>
      <c r="AH30" s="137">
        <f t="shared" si="74"/>
        <v>0</v>
      </c>
      <c r="AI30" s="137">
        <f t="shared" si="74"/>
        <v>5.3258729284457851E-6</v>
      </c>
      <c r="AJ30" s="137">
        <f t="shared" si="74"/>
        <v>0</v>
      </c>
      <c r="AK30" s="137">
        <f t="shared" si="74"/>
        <v>5.8365898499427571E-6</v>
      </c>
      <c r="AL30" s="137">
        <f t="shared" si="74"/>
        <v>0</v>
      </c>
      <c r="AM30" s="137">
        <f t="shared" si="74"/>
        <v>6.2916114841011702E-6</v>
      </c>
      <c r="AN30" s="414">
        <f t="shared" si="48"/>
        <v>2.324537762629382E-5</v>
      </c>
      <c r="AO30" s="415">
        <f t="shared" si="49"/>
        <v>2.324537762629382E-5</v>
      </c>
      <c r="AP30" s="300">
        <v>11</v>
      </c>
      <c r="AQ30" s="137">
        <f t="shared" ref="AQ30:AX30" si="75">SUM(AQ25:AQ29)</f>
        <v>0</v>
      </c>
      <c r="AR30" s="137">
        <f t="shared" si="75"/>
        <v>0</v>
      </c>
      <c r="AS30" s="137">
        <f t="shared" si="75"/>
        <v>0</v>
      </c>
      <c r="AT30" s="137">
        <f t="shared" si="75"/>
        <v>0</v>
      </c>
      <c r="AU30" s="137">
        <f t="shared" si="75"/>
        <v>0</v>
      </c>
      <c r="AV30" s="137">
        <f t="shared" si="75"/>
        <v>0</v>
      </c>
      <c r="AW30" s="137">
        <f t="shared" si="75"/>
        <v>0</v>
      </c>
      <c r="AX30" s="137">
        <f t="shared" si="75"/>
        <v>0</v>
      </c>
      <c r="AY30" s="412">
        <f t="shared" si="50"/>
        <v>0</v>
      </c>
      <c r="AZ30" s="217">
        <f t="shared" ref="AZ30:BG30" si="76">SUM(AZ25:AZ29)</f>
        <v>0</v>
      </c>
      <c r="BA30" s="137">
        <f t="shared" si="76"/>
        <v>1.2319512220600859E-4</v>
      </c>
      <c r="BB30" s="137">
        <f t="shared" si="76"/>
        <v>0</v>
      </c>
      <c r="BC30" s="137">
        <f t="shared" si="76"/>
        <v>9.8658460321879996E-5</v>
      </c>
      <c r="BD30" s="137">
        <f t="shared" si="76"/>
        <v>0</v>
      </c>
      <c r="BE30" s="137">
        <f t="shared" si="76"/>
        <v>1.1170048346632302E-4</v>
      </c>
      <c r="BF30" s="137">
        <f t="shared" si="76"/>
        <v>0</v>
      </c>
      <c r="BG30" s="137">
        <f t="shared" si="76"/>
        <v>1.1133387202779761E-4</v>
      </c>
      <c r="BH30" s="414">
        <f t="shared" si="51"/>
        <v>4.4488793802200923E-4</v>
      </c>
      <c r="BI30" s="415">
        <f t="shared" si="52"/>
        <v>4.4488793802200923E-4</v>
      </c>
      <c r="BJ30" s="300">
        <v>11</v>
      </c>
      <c r="BK30" s="137">
        <f t="shared" ref="BK30:BR30" si="77">SUM(BK25:BK29)</f>
        <v>3030.4407440552677</v>
      </c>
      <c r="BL30" s="137">
        <f t="shared" si="77"/>
        <v>88717.332255694288</v>
      </c>
      <c r="BM30" s="137">
        <f t="shared" si="77"/>
        <v>2039.6937598482102</v>
      </c>
      <c r="BN30" s="137">
        <f t="shared" si="77"/>
        <v>92223.968643943255</v>
      </c>
      <c r="BO30" s="137">
        <f t="shared" si="77"/>
        <v>4760.6766410333003</v>
      </c>
      <c r="BP30" s="137">
        <f t="shared" si="77"/>
        <v>94675.021547171593</v>
      </c>
      <c r="BQ30" s="137">
        <f t="shared" si="77"/>
        <v>28709.151522054999</v>
      </c>
      <c r="BR30" s="137">
        <f t="shared" si="77"/>
        <v>400554.93763336242</v>
      </c>
      <c r="BS30" s="412">
        <f t="shared" si="53"/>
        <v>714711.22274716338</v>
      </c>
      <c r="BT30" s="217">
        <f t="shared" ref="BT30:CA30" si="78">SUM(BT25:BT29)</f>
        <v>0</v>
      </c>
      <c r="BU30" s="137">
        <f t="shared" si="78"/>
        <v>4.5969690624398066E-6</v>
      </c>
      <c r="BV30" s="137">
        <f t="shared" si="78"/>
        <v>0</v>
      </c>
      <c r="BW30" s="137">
        <f t="shared" si="78"/>
        <v>4.5758071513023303E-6</v>
      </c>
      <c r="BX30" s="137">
        <f t="shared" si="78"/>
        <v>0</v>
      </c>
      <c r="BY30" s="137">
        <f t="shared" si="78"/>
        <v>4.7937233669523909E-6</v>
      </c>
      <c r="BZ30" s="137">
        <f t="shared" si="78"/>
        <v>0</v>
      </c>
      <c r="CA30" s="137">
        <f t="shared" si="78"/>
        <v>5.926588271509977E-6</v>
      </c>
      <c r="CB30" s="414">
        <f t="shared" si="54"/>
        <v>1.9893087852204502E-5</v>
      </c>
      <c r="CC30" s="415">
        <f t="shared" si="55"/>
        <v>714711.22276705643</v>
      </c>
      <c r="CD30" s="300">
        <v>11</v>
      </c>
      <c r="CE30" s="414">
        <f t="shared" si="56"/>
        <v>91747.772999749548</v>
      </c>
      <c r="CF30" s="414">
        <f t="shared" si="57"/>
        <v>94263.662403791459</v>
      </c>
      <c r="CG30" s="414">
        <f t="shared" si="58"/>
        <v>99435.6981882049</v>
      </c>
      <c r="CH30" s="414">
        <f t="shared" si="59"/>
        <v>429264.0891554174</v>
      </c>
      <c r="CI30" s="416">
        <f t="shared" si="60"/>
        <v>714711.22274716338</v>
      </c>
      <c r="CJ30" s="414">
        <f t="shared" si="61"/>
        <v>1.473349348802718E-4</v>
      </c>
      <c r="CK30" s="414">
        <f t="shared" si="62"/>
        <v>1.2067074000715771E-4</v>
      </c>
      <c r="CL30" s="414">
        <f t="shared" si="63"/>
        <v>1.351016563320776E-4</v>
      </c>
      <c r="CM30" s="414">
        <f t="shared" si="64"/>
        <v>1.3628378339753831E-4</v>
      </c>
      <c r="CN30" s="416">
        <f t="shared" si="65"/>
        <v>5.3939111461704541E-4</v>
      </c>
      <c r="CO30" s="414">
        <f t="shared" si="66"/>
        <v>91747.773147084488</v>
      </c>
      <c r="CP30" s="414">
        <f t="shared" si="67"/>
        <v>94263.662524462197</v>
      </c>
      <c r="CQ30" s="414">
        <f t="shared" si="68"/>
        <v>99435.69832330654</v>
      </c>
      <c r="CR30" s="414">
        <f t="shared" si="69"/>
        <v>429264.08929170121</v>
      </c>
      <c r="CS30" s="416">
        <f t="shared" si="70"/>
        <v>714711.22328655445</v>
      </c>
    </row>
    <row r="31" spans="1:131"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row>
    <row r="32" spans="1:131" s="14" customFormat="1" ht="15.75" customHeight="1">
      <c r="A32" s="16" t="s">
        <v>193</v>
      </c>
      <c r="B32" s="300">
        <v>12</v>
      </c>
      <c r="C32" s="216">
        <f t="shared" ref="C32:U32" si="79">C23+C30</f>
        <v>107753.05</v>
      </c>
      <c r="D32" s="216">
        <f t="shared" si="79"/>
        <v>393001.43000000098</v>
      </c>
      <c r="E32" s="216">
        <f t="shared" si="79"/>
        <v>125628.15</v>
      </c>
      <c r="F32" s="216">
        <f t="shared" si="79"/>
        <v>391627.820000001</v>
      </c>
      <c r="G32" s="216">
        <f t="shared" si="79"/>
        <v>157437.91</v>
      </c>
      <c r="H32" s="216">
        <f t="shared" si="79"/>
        <v>400409.85000000201</v>
      </c>
      <c r="I32" s="216">
        <f t="shared" si="79"/>
        <v>160090.99</v>
      </c>
      <c r="J32" s="216">
        <f t="shared" si="79"/>
        <v>410029.590000002</v>
      </c>
      <c r="K32" s="221">
        <f t="shared" si="79"/>
        <v>2145978.7900000061</v>
      </c>
      <c r="L32" s="218">
        <f t="shared" si="79"/>
        <v>0</v>
      </c>
      <c r="M32" s="216">
        <f t="shared" si="79"/>
        <v>1201739.6446742755</v>
      </c>
      <c r="N32" s="216">
        <f t="shared" si="79"/>
        <v>0</v>
      </c>
      <c r="O32" s="216">
        <f t="shared" si="79"/>
        <v>1113794.4384867663</v>
      </c>
      <c r="P32" s="216">
        <f t="shared" si="79"/>
        <v>0</v>
      </c>
      <c r="Q32" s="216">
        <f t="shared" si="79"/>
        <v>1295823.9180625977</v>
      </c>
      <c r="R32" s="216">
        <f t="shared" si="79"/>
        <v>0</v>
      </c>
      <c r="S32" s="216">
        <f t="shared" si="79"/>
        <v>1290822.572285075</v>
      </c>
      <c r="T32" s="219">
        <f t="shared" si="79"/>
        <v>4902180.5735087143</v>
      </c>
      <c r="U32" s="218">
        <f t="shared" si="79"/>
        <v>7048159.36350872</v>
      </c>
      <c r="V32" s="300">
        <v>12</v>
      </c>
      <c r="W32" s="216">
        <f t="shared" ref="W32:AO32" si="80">W23+W30</f>
        <v>22973.040000000001</v>
      </c>
      <c r="X32" s="216">
        <f t="shared" si="80"/>
        <v>309334.93</v>
      </c>
      <c r="Y32" s="216">
        <f t="shared" si="80"/>
        <v>16913.28</v>
      </c>
      <c r="Z32" s="216">
        <f t="shared" si="80"/>
        <v>303526.65000000002</v>
      </c>
      <c r="AA32" s="216">
        <f t="shared" si="80"/>
        <v>13883.4</v>
      </c>
      <c r="AB32" s="216">
        <f t="shared" si="80"/>
        <v>307483.95</v>
      </c>
      <c r="AC32" s="216">
        <f t="shared" si="80"/>
        <v>28482.78</v>
      </c>
      <c r="AD32" s="216">
        <f t="shared" si="80"/>
        <v>333286.80000000098</v>
      </c>
      <c r="AE32" s="221">
        <f t="shared" si="80"/>
        <v>1335884.830000001</v>
      </c>
      <c r="AF32" s="218">
        <f t="shared" si="80"/>
        <v>0</v>
      </c>
      <c r="AG32" s="216">
        <f t="shared" si="80"/>
        <v>547533.49950656795</v>
      </c>
      <c r="AH32" s="216">
        <f t="shared" si="80"/>
        <v>0</v>
      </c>
      <c r="AI32" s="216">
        <f t="shared" si="80"/>
        <v>502277.68256988021</v>
      </c>
      <c r="AJ32" s="216">
        <f t="shared" si="80"/>
        <v>0</v>
      </c>
      <c r="AK32" s="216">
        <f t="shared" si="80"/>
        <v>542693.58292781096</v>
      </c>
      <c r="AL32" s="216">
        <f t="shared" si="80"/>
        <v>0</v>
      </c>
      <c r="AM32" s="216">
        <f t="shared" si="80"/>
        <v>587221.50463799119</v>
      </c>
      <c r="AN32" s="219">
        <f t="shared" si="80"/>
        <v>2179726.2696422501</v>
      </c>
      <c r="AO32" s="218">
        <f t="shared" si="80"/>
        <v>3515611.0996422512</v>
      </c>
      <c r="AP32" s="300">
        <v>12</v>
      </c>
      <c r="AQ32" s="216">
        <f t="shared" ref="AQ32:BI32" si="81">AQ23+AQ30</f>
        <v>2836131.77999999</v>
      </c>
      <c r="AR32" s="216">
        <f t="shared" si="81"/>
        <v>9005904.50999978</v>
      </c>
      <c r="AS32" s="216">
        <f t="shared" si="81"/>
        <v>3022967.8099999996</v>
      </c>
      <c r="AT32" s="216">
        <f t="shared" si="81"/>
        <v>9220674.6299997792</v>
      </c>
      <c r="AU32" s="216">
        <f t="shared" si="81"/>
        <v>3149637.59</v>
      </c>
      <c r="AV32" s="216">
        <f t="shared" si="81"/>
        <v>9706710.9699996095</v>
      </c>
      <c r="AW32" s="216">
        <f t="shared" si="81"/>
        <v>3346412.66</v>
      </c>
      <c r="AX32" s="216">
        <f t="shared" si="81"/>
        <v>9956461.7599996012</v>
      </c>
      <c r="AY32" s="221">
        <f t="shared" si="81"/>
        <v>50244901.709998757</v>
      </c>
      <c r="AZ32" s="218">
        <f t="shared" si="81"/>
        <v>0</v>
      </c>
      <c r="BA32" s="216">
        <f t="shared" si="81"/>
        <v>12536813.34743006</v>
      </c>
      <c r="BB32" s="216">
        <f t="shared" si="81"/>
        <v>0</v>
      </c>
      <c r="BC32" s="216">
        <f t="shared" si="81"/>
        <v>10091245.105372101</v>
      </c>
      <c r="BD32" s="216">
        <f t="shared" si="81"/>
        <v>0</v>
      </c>
      <c r="BE32" s="216">
        <f t="shared" si="81"/>
        <v>11087818.905346101</v>
      </c>
      <c r="BF32" s="216">
        <f t="shared" si="81"/>
        <v>0</v>
      </c>
      <c r="BG32" s="216">
        <f t="shared" si="81"/>
        <v>10625544.5068109</v>
      </c>
      <c r="BH32" s="219">
        <f t="shared" si="81"/>
        <v>44341421.864959165</v>
      </c>
      <c r="BI32" s="218">
        <f t="shared" si="81"/>
        <v>94586323.574957922</v>
      </c>
      <c r="BJ32" s="300">
        <v>12</v>
      </c>
      <c r="BK32" s="216">
        <f t="shared" ref="BK32:CC32" si="82">BK23+BK30</f>
        <v>102405.98074405527</v>
      </c>
      <c r="BL32" s="216">
        <f t="shared" si="82"/>
        <v>1270391.5122556943</v>
      </c>
      <c r="BM32" s="216">
        <f t="shared" si="82"/>
        <v>86461.123759848197</v>
      </c>
      <c r="BN32" s="216">
        <f t="shared" si="82"/>
        <v>1281291.4586439433</v>
      </c>
      <c r="BO32" s="216">
        <f t="shared" si="82"/>
        <v>93075.716641033301</v>
      </c>
      <c r="BP32" s="216">
        <f t="shared" si="82"/>
        <v>1263904.1815471714</v>
      </c>
      <c r="BQ32" s="216">
        <f t="shared" si="82"/>
        <v>146791.88152205499</v>
      </c>
      <c r="BR32" s="216">
        <f t="shared" si="82"/>
        <v>1629924.9276333624</v>
      </c>
      <c r="BS32" s="221">
        <f t="shared" si="82"/>
        <v>5874246.7827471625</v>
      </c>
      <c r="BT32" s="218">
        <f t="shared" si="82"/>
        <v>0</v>
      </c>
      <c r="BU32" s="216">
        <f t="shared" si="82"/>
        <v>920894.38841629156</v>
      </c>
      <c r="BV32" s="216">
        <f t="shared" si="82"/>
        <v>0</v>
      </c>
      <c r="BW32" s="216">
        <f t="shared" si="82"/>
        <v>709490.81787281414</v>
      </c>
      <c r="BX32" s="216">
        <f t="shared" si="82"/>
        <v>0</v>
      </c>
      <c r="BY32" s="216">
        <f t="shared" si="82"/>
        <v>560680.84724277828</v>
      </c>
      <c r="BZ32" s="216">
        <f t="shared" si="82"/>
        <v>0</v>
      </c>
      <c r="CA32" s="216">
        <f t="shared" si="82"/>
        <v>557206.18982805009</v>
      </c>
      <c r="CB32" s="219">
        <f t="shared" si="82"/>
        <v>2748272.2433599341</v>
      </c>
      <c r="CC32" s="218">
        <f t="shared" si="82"/>
        <v>8622519.026107097</v>
      </c>
      <c r="CD32" s="300">
        <v>12</v>
      </c>
      <c r="CE32" s="219">
        <f t="shared" ref="CE32:CH32" si="83">CE23+CE30</f>
        <v>14047896.23299952</v>
      </c>
      <c r="CF32" s="219">
        <f t="shared" si="83"/>
        <v>14449090.922403572</v>
      </c>
      <c r="CG32" s="219">
        <f t="shared" si="83"/>
        <v>15092543.568187814</v>
      </c>
      <c r="CH32" s="219">
        <f t="shared" si="83"/>
        <v>16011481.389155021</v>
      </c>
      <c r="CI32" s="216">
        <f>SUM(BS32,AY32,AE32,K32)</f>
        <v>59601012.112745926</v>
      </c>
      <c r="CJ32" s="219">
        <f t="shared" ref="CJ32:CM32" si="84">CJ23+CJ30</f>
        <v>15206980.880027195</v>
      </c>
      <c r="CK32" s="219">
        <f t="shared" si="84"/>
        <v>12416808.044301562</v>
      </c>
      <c r="CL32" s="219">
        <f t="shared" si="84"/>
        <v>13487017.253579287</v>
      </c>
      <c r="CM32" s="219">
        <f t="shared" si="84"/>
        <v>13060794.773562018</v>
      </c>
      <c r="CN32" s="216">
        <f>SUM(BX32,BD32,AJ32,P32)</f>
        <v>0</v>
      </c>
      <c r="CO32" s="219">
        <f t="shared" ref="CO32:CR32" si="85">CO23+CO30</f>
        <v>29254877.113026712</v>
      </c>
      <c r="CP32" s="219">
        <f t="shared" si="85"/>
        <v>26865898.966705129</v>
      </c>
      <c r="CQ32" s="219">
        <f t="shared" si="85"/>
        <v>28579560.821767103</v>
      </c>
      <c r="CR32" s="219">
        <f t="shared" si="85"/>
        <v>29072276.162717037</v>
      </c>
      <c r="CS32" s="216">
        <f>SUM(CC32,BI32,AO32,U32)</f>
        <v>113772613.06421599</v>
      </c>
      <c r="CT32" s="317"/>
      <c r="CU32" s="317"/>
      <c r="CV32" s="317"/>
      <c r="CW32" s="317"/>
      <c r="CX32" s="317"/>
      <c r="CY32" s="318"/>
      <c r="CZ32" s="318"/>
      <c r="DA32" s="318"/>
      <c r="DB32" s="318"/>
      <c r="DC32" s="318"/>
      <c r="DD32" s="318"/>
      <c r="DE32" s="318"/>
      <c r="DF32" s="318"/>
      <c r="DG32" s="318"/>
      <c r="DH32" s="318"/>
      <c r="DI32" s="318"/>
      <c r="DJ32" s="318"/>
      <c r="DK32" s="318"/>
      <c r="DL32" s="318"/>
      <c r="DM32" s="318"/>
      <c r="DN32" s="318"/>
      <c r="DO32" s="318"/>
      <c r="DP32" s="318"/>
      <c r="DQ32" s="318"/>
      <c r="DR32" s="318"/>
      <c r="DS32" s="318"/>
      <c r="DT32" s="318"/>
      <c r="DU32" s="318"/>
      <c r="DV32" s="318"/>
      <c r="DW32" s="318"/>
      <c r="DX32" s="318"/>
      <c r="DY32" s="318"/>
      <c r="DZ32" s="318"/>
      <c r="EA32" s="318"/>
    </row>
    <row r="33" spans="1:102" ht="15.75" customHeight="1">
      <c r="B33" s="193"/>
      <c r="C33" s="178"/>
      <c r="D33" s="178"/>
      <c r="E33" s="178"/>
      <c r="F33" s="178"/>
      <c r="G33" s="178"/>
      <c r="H33" s="178"/>
      <c r="I33" s="178"/>
      <c r="J33" s="178"/>
      <c r="K33" s="381"/>
      <c r="L33" s="382"/>
      <c r="M33" s="178"/>
      <c r="N33" s="178"/>
      <c r="O33" s="178"/>
      <c r="P33" s="178"/>
      <c r="Q33" s="178"/>
      <c r="R33" s="178"/>
      <c r="S33" s="178"/>
      <c r="T33" s="178"/>
      <c r="U33" s="382"/>
      <c r="V33" s="193"/>
      <c r="W33" s="178"/>
      <c r="X33" s="178"/>
      <c r="Y33" s="178"/>
      <c r="Z33" s="178"/>
      <c r="AA33" s="178"/>
      <c r="AB33" s="178"/>
      <c r="AC33" s="178"/>
      <c r="AD33" s="178"/>
      <c r="AE33" s="381"/>
      <c r="AF33" s="382"/>
      <c r="AG33" s="178"/>
      <c r="AH33" s="178"/>
      <c r="AI33" s="178"/>
      <c r="AJ33" s="178"/>
      <c r="AK33" s="178"/>
      <c r="AL33" s="178"/>
      <c r="AM33" s="178"/>
      <c r="AN33" s="178"/>
      <c r="AO33" s="382"/>
      <c r="AP33" s="193"/>
      <c r="AQ33" s="178"/>
      <c r="AR33" s="178"/>
      <c r="AS33" s="178"/>
      <c r="AT33" s="178"/>
      <c r="AU33" s="178"/>
      <c r="AV33" s="178"/>
      <c r="AW33" s="178"/>
      <c r="AX33" s="178"/>
      <c r="AY33" s="381"/>
      <c r="AZ33" s="382"/>
      <c r="BA33" s="178"/>
      <c r="BB33" s="178"/>
      <c r="BC33" s="178"/>
      <c r="BD33" s="178"/>
      <c r="BE33" s="178"/>
      <c r="BF33" s="178"/>
      <c r="BG33" s="178"/>
      <c r="BH33" s="178"/>
      <c r="BI33" s="382"/>
      <c r="BJ33" s="193"/>
      <c r="BK33" s="178"/>
      <c r="BL33" s="178"/>
      <c r="BM33" s="178"/>
      <c r="BN33" s="178"/>
      <c r="BO33" s="178"/>
      <c r="BP33" s="178"/>
      <c r="BQ33" s="178"/>
      <c r="BR33" s="178"/>
      <c r="BS33" s="381"/>
      <c r="BT33" s="382"/>
      <c r="BU33" s="178"/>
      <c r="BV33" s="178"/>
      <c r="BW33" s="178"/>
      <c r="BX33" s="178"/>
      <c r="BY33" s="178"/>
      <c r="BZ33" s="178"/>
      <c r="CA33" s="178"/>
      <c r="CB33" s="178"/>
      <c r="CC33" s="382"/>
      <c r="CD33" s="193"/>
      <c r="CE33" s="178"/>
      <c r="CF33" s="178"/>
      <c r="CG33" s="178"/>
      <c r="CH33" s="178"/>
      <c r="CI33" s="419"/>
      <c r="CJ33" s="178"/>
      <c r="CK33" s="178"/>
      <c r="CL33" s="178"/>
      <c r="CM33" s="178"/>
      <c r="CN33" s="419"/>
      <c r="CO33" s="178"/>
      <c r="CP33" s="178"/>
      <c r="CQ33" s="178"/>
      <c r="CR33" s="178"/>
      <c r="CS33" s="419"/>
      <c r="CT33" s="319"/>
      <c r="CU33" s="319"/>
      <c r="CV33" s="319"/>
      <c r="CW33" s="319"/>
      <c r="CX33" s="319"/>
    </row>
    <row r="34" spans="1:102"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2"/>
      <c r="V34" s="193"/>
      <c r="W34" s="178"/>
      <c r="X34" s="178"/>
      <c r="Y34" s="178"/>
      <c r="Z34" s="178"/>
      <c r="AA34" s="178"/>
      <c r="AB34" s="178"/>
      <c r="AC34" s="178"/>
      <c r="AD34" s="178"/>
      <c r="AE34" s="381"/>
      <c r="AF34" s="382"/>
      <c r="AG34" s="178"/>
      <c r="AH34" s="178"/>
      <c r="AI34" s="178"/>
      <c r="AJ34" s="178"/>
      <c r="AK34" s="178"/>
      <c r="AL34" s="178"/>
      <c r="AM34" s="178"/>
      <c r="AN34" s="178"/>
      <c r="AO34" s="382"/>
      <c r="AP34" s="193"/>
      <c r="AQ34" s="178"/>
      <c r="AR34" s="178"/>
      <c r="AS34" s="178"/>
      <c r="AT34" s="178"/>
      <c r="AU34" s="178"/>
      <c r="AV34" s="178"/>
      <c r="AW34" s="178"/>
      <c r="AX34" s="178"/>
      <c r="AY34" s="381"/>
      <c r="AZ34" s="382"/>
      <c r="BA34" s="178"/>
      <c r="BB34" s="178"/>
      <c r="BC34" s="178"/>
      <c r="BD34" s="178"/>
      <c r="BE34" s="178"/>
      <c r="BF34" s="178"/>
      <c r="BG34" s="178"/>
      <c r="BH34" s="178"/>
      <c r="BI34" s="382"/>
      <c r="BJ34" s="193"/>
      <c r="BK34" s="178"/>
      <c r="BL34" s="178"/>
      <c r="BM34" s="178"/>
      <c r="BN34" s="178"/>
      <c r="BO34" s="178"/>
      <c r="BP34" s="178"/>
      <c r="BQ34" s="178"/>
      <c r="BR34" s="178"/>
      <c r="BS34" s="381"/>
      <c r="BT34" s="382"/>
      <c r="BU34" s="178"/>
      <c r="BV34" s="178"/>
      <c r="BW34" s="178"/>
      <c r="BX34" s="178"/>
      <c r="BY34" s="178"/>
      <c r="BZ34" s="178"/>
      <c r="CA34" s="178"/>
      <c r="CB34" s="178"/>
      <c r="CC34" s="382"/>
      <c r="CD34" s="193"/>
      <c r="CE34" s="178"/>
      <c r="CF34" s="178"/>
      <c r="CG34" s="178"/>
      <c r="CH34" s="178"/>
      <c r="CI34" s="419"/>
      <c r="CJ34" s="178"/>
      <c r="CK34" s="178"/>
      <c r="CL34" s="178"/>
      <c r="CM34" s="178"/>
      <c r="CN34" s="419"/>
      <c r="CO34" s="178"/>
      <c r="CP34" s="178"/>
      <c r="CQ34" s="178"/>
      <c r="CR34" s="178"/>
      <c r="CS34" s="419"/>
      <c r="CT34" s="319"/>
      <c r="CV34" s="319"/>
      <c r="CX34" s="319"/>
    </row>
    <row r="35" spans="1:102" ht="15.75" customHeight="1">
      <c r="A35" s="88" t="s">
        <v>197</v>
      </c>
      <c r="B35" s="300">
        <v>13</v>
      </c>
      <c r="C35" s="231">
        <v>0</v>
      </c>
      <c r="D35" s="231">
        <v>9548.6168380006438</v>
      </c>
      <c r="E35" s="231">
        <v>26686.761712861426</v>
      </c>
      <c r="F35" s="231">
        <v>20698.580806580409</v>
      </c>
      <c r="G35" s="231">
        <v>11595.937783964609</v>
      </c>
      <c r="H35" s="231">
        <v>18041.895336668298</v>
      </c>
      <c r="I35" s="231">
        <v>8529.836404588048</v>
      </c>
      <c r="J35" s="231">
        <v>3426.9963621964289</v>
      </c>
      <c r="K35" s="412">
        <f t="shared" ref="K35:K64" si="86">SUM(C35:J35)</f>
        <v>98528.625244859853</v>
      </c>
      <c r="L35" s="417">
        <v>0</v>
      </c>
      <c r="M35" s="231">
        <v>115519.05636036837</v>
      </c>
      <c r="N35" s="231">
        <v>0</v>
      </c>
      <c r="O35" s="231">
        <v>272039.82594934996</v>
      </c>
      <c r="P35" s="231">
        <v>0</v>
      </c>
      <c r="Q35" s="231">
        <v>490493.8764097775</v>
      </c>
      <c r="R35" s="231">
        <v>0</v>
      </c>
      <c r="S35" s="231">
        <v>238630.5643816193</v>
      </c>
      <c r="T35" s="414">
        <f t="shared" ref="T35:T64" si="87">SUM(L35:S35)</f>
        <v>1116683.3231011152</v>
      </c>
      <c r="U35" s="415">
        <f t="shared" ref="U35:U64" si="88">SUM(T35,K35)</f>
        <v>1215211.948345975</v>
      </c>
      <c r="V35" s="300">
        <v>13</v>
      </c>
      <c r="W35" s="231">
        <v>0</v>
      </c>
      <c r="X35" s="231">
        <v>6820.4405985718877</v>
      </c>
      <c r="Y35" s="231">
        <v>0</v>
      </c>
      <c r="Z35" s="231">
        <v>3267.0448430617521</v>
      </c>
      <c r="AA35" s="231">
        <v>0</v>
      </c>
      <c r="AB35" s="231">
        <v>0</v>
      </c>
      <c r="AC35" s="231">
        <v>0</v>
      </c>
      <c r="AD35" s="231">
        <v>3315.4650916501109</v>
      </c>
      <c r="AE35" s="412">
        <f t="shared" ref="AE35:AE64" si="89">SUM(W35:AD35)</f>
        <v>13402.950533283751</v>
      </c>
      <c r="AF35" s="417">
        <v>0</v>
      </c>
      <c r="AG35" s="231">
        <v>59440.97051341414</v>
      </c>
      <c r="AH35" s="231">
        <v>0</v>
      </c>
      <c r="AI35" s="231">
        <v>155673.44380025254</v>
      </c>
      <c r="AJ35" s="231">
        <v>0</v>
      </c>
      <c r="AK35" s="231">
        <v>7335.165778071515</v>
      </c>
      <c r="AL35" s="231">
        <v>0</v>
      </c>
      <c r="AM35" s="231">
        <v>122919.68963890082</v>
      </c>
      <c r="AN35" s="414">
        <f t="shared" ref="AN35:AN64" si="90">SUM(AF35:AM35)</f>
        <v>345369.269730639</v>
      </c>
      <c r="AO35" s="415">
        <f t="shared" ref="AO35:AO64" si="91">SUM(AN35,AE35)</f>
        <v>358772.22026392276</v>
      </c>
      <c r="AP35" s="300">
        <v>13</v>
      </c>
      <c r="AQ35" s="231">
        <v>317634.11907603696</v>
      </c>
      <c r="AR35" s="231">
        <v>175181.41667095272</v>
      </c>
      <c r="AS35" s="231">
        <v>167016.94761064075</v>
      </c>
      <c r="AT35" s="231">
        <v>163396.38329205176</v>
      </c>
      <c r="AU35" s="231">
        <v>288915.37637488008</v>
      </c>
      <c r="AV35" s="231">
        <v>120966.8781521303</v>
      </c>
      <c r="AW35" s="231">
        <v>479377.4397767628</v>
      </c>
      <c r="AX35" s="231">
        <v>80092.088399848319</v>
      </c>
      <c r="AY35" s="412">
        <f t="shared" ref="AY35:AY64" si="92">SUM(AQ35:AX35)</f>
        <v>1792580.6493533039</v>
      </c>
      <c r="AZ35" s="417">
        <v>0</v>
      </c>
      <c r="BA35" s="231">
        <v>2034665.4855606365</v>
      </c>
      <c r="BB35" s="231">
        <v>0</v>
      </c>
      <c r="BC35" s="231">
        <v>2134278.0800083205</v>
      </c>
      <c r="BD35" s="231">
        <v>0</v>
      </c>
      <c r="BE35" s="231">
        <v>2149164.8601120892</v>
      </c>
      <c r="BF35" s="231">
        <v>0</v>
      </c>
      <c r="BG35" s="231">
        <v>2336251.685122007</v>
      </c>
      <c r="BH35" s="414">
        <f t="shared" ref="BH35:BH64" si="93">SUM(AZ35:BG35)</f>
        <v>8654360.1108030528</v>
      </c>
      <c r="BI35" s="415">
        <f t="shared" ref="BI35:BI64" si="94">SUM(BH35,AY35)</f>
        <v>10446940.760156356</v>
      </c>
      <c r="BJ35" s="300">
        <v>13</v>
      </c>
      <c r="BK35" s="231">
        <v>0</v>
      </c>
      <c r="BL35" s="231">
        <v>11180.722271559194</v>
      </c>
      <c r="BM35" s="231">
        <v>0</v>
      </c>
      <c r="BN35" s="231">
        <v>8167.6121076543795</v>
      </c>
      <c r="BO35" s="231">
        <v>0</v>
      </c>
      <c r="BP35" s="231">
        <v>0</v>
      </c>
      <c r="BQ35" s="231">
        <v>1525.896083127363</v>
      </c>
      <c r="BR35" s="231">
        <v>0</v>
      </c>
      <c r="BS35" s="412">
        <f t="shared" ref="BS35:BS64" si="95">SUM(BK35:BR35)</f>
        <v>20874.230462340936</v>
      </c>
      <c r="BT35" s="417">
        <v>0</v>
      </c>
      <c r="BU35" s="231">
        <v>174027.30595785382</v>
      </c>
      <c r="BV35" s="231">
        <v>0</v>
      </c>
      <c r="BW35" s="231">
        <v>166025.04280623965</v>
      </c>
      <c r="BX35" s="231">
        <v>0</v>
      </c>
      <c r="BY35" s="231">
        <v>126850.63821420466</v>
      </c>
      <c r="BZ35" s="231">
        <v>0</v>
      </c>
      <c r="CA35" s="231">
        <v>205465.88309579031</v>
      </c>
      <c r="CB35" s="414">
        <f t="shared" ref="CB35:CB64" si="96">SUM(BT35:CA35)</f>
        <v>672368.87007408845</v>
      </c>
      <c r="CC35" s="415">
        <f t="shared" ref="CC35:CC64" si="97">SUM(CB35,BS35)</f>
        <v>693243.10053642944</v>
      </c>
      <c r="CD35" s="300">
        <v>13</v>
      </c>
      <c r="CE35" s="414">
        <f t="shared" ref="CE35:CE64" si="98">+C35+D35+W35+X35+AQ35+AR35+BK35+BL35</f>
        <v>520365.31545512134</v>
      </c>
      <c r="CF35" s="414">
        <f t="shared" ref="CF35:CF64" si="99">+E35+F35+Y35+Z35+AS35+AT35+BM35+BN35</f>
        <v>389233.33037285047</v>
      </c>
      <c r="CG35" s="414">
        <f t="shared" ref="CG35:CG64" si="100">+G35+H35+AA35+AB35+AU35+AV35+BO35+BP35</f>
        <v>439520.08764764329</v>
      </c>
      <c r="CH35" s="414">
        <f t="shared" ref="CH35:CH64" si="101">+I35+J35+AC35+AD35+AW35+AX35+BQ35+BR35</f>
        <v>576267.72211817314</v>
      </c>
      <c r="CI35" s="416">
        <f t="shared" ref="CI35:CI64" si="102">SUM(K35,AE35,AY35,BS35)</f>
        <v>1925386.4555937883</v>
      </c>
      <c r="CJ35" s="414">
        <f t="shared" ref="CJ35:CJ64" si="103">L35+M35+AF35+AG35+AZ35+BA35+BT35+BU35</f>
        <v>2383652.818392273</v>
      </c>
      <c r="CK35" s="414">
        <f t="shared" ref="CK35:CK64" si="104">N35+O35+AH35+AI35+BB35+BC35+BV35+BW35</f>
        <v>2728016.3925641626</v>
      </c>
      <c r="CL35" s="414">
        <f t="shared" ref="CL35:CL64" si="105">P35+Q35+AJ35+AK35+BD35+BE35+BX35+BY35</f>
        <v>2773844.5405141427</v>
      </c>
      <c r="CM35" s="414">
        <f t="shared" ref="CM35:CM64" si="106">+R35+S35+AL35+AM35+BF35+BG35+BZ35+CA35</f>
        <v>2903267.8222383172</v>
      </c>
      <c r="CN35" s="416">
        <f t="shared" ref="CN35:CN64" si="107">SUM(T35,AN35,BH35,CB35)</f>
        <v>10788781.573708894</v>
      </c>
      <c r="CO35" s="414">
        <f t="shared" ref="CO35:CO64" si="108">+C35+D35+L35+M35+W35+X35+AF35+AG35+AQ35+AR35+AZ35+BA35+BK35+BL35+BT35+BU35</f>
        <v>2904018.1338473945</v>
      </c>
      <c r="CP35" s="414">
        <f t="shared" ref="CP35:CP64" si="109">+E35+F35+N35+O35+Y35+Z35+AH35+AI35+AS35+AT35+BB35+BC35+BM35+BN35+BV35+BW35</f>
        <v>3117249.7229370135</v>
      </c>
      <c r="CQ35" s="414">
        <f t="shared" ref="CQ35:CQ64" si="110">+G35+H35+P35+Q35+AA35+AB35+AJ35+AK35+AU35+AV35+BD35+BE35+BO35+BP35+BX35+BY35</f>
        <v>3213364.6281617861</v>
      </c>
      <c r="CR35" s="414">
        <f t="shared" ref="CR35:CR64" si="111">+I35+J35+R35+S35+AC35+AD35+AL35+AM35+AW35+AX35+BF35+BG35+BQ35+BR35+BZ35+CA35</f>
        <v>3479535.5443564905</v>
      </c>
      <c r="CS35" s="416">
        <f t="shared" ref="CS35:CS64" si="112">SUM(CC35,BI35,AO35,U35)</f>
        <v>12714168.029302683</v>
      </c>
      <c r="CT35" s="319"/>
      <c r="CV35" s="319"/>
      <c r="CX35" s="319"/>
    </row>
    <row r="36" spans="1:102" ht="15.75" customHeight="1">
      <c r="A36" s="88" t="s">
        <v>199</v>
      </c>
      <c r="B36" s="300">
        <v>14</v>
      </c>
      <c r="C36" s="231">
        <v>0</v>
      </c>
      <c r="D36" s="231">
        <v>1364.0881197143776</v>
      </c>
      <c r="E36" s="231">
        <v>0</v>
      </c>
      <c r="F36" s="231">
        <v>4900.5672645926279</v>
      </c>
      <c r="G36" s="231">
        <v>0</v>
      </c>
      <c r="H36" s="231">
        <v>3280.344606666963</v>
      </c>
      <c r="I36" s="231">
        <v>0</v>
      </c>
      <c r="J36" s="231">
        <v>0</v>
      </c>
      <c r="K36" s="412">
        <f t="shared" si="86"/>
        <v>9544.9999909739672</v>
      </c>
      <c r="L36" s="417">
        <v>0</v>
      </c>
      <c r="M36" s="231">
        <v>62131.644345068082</v>
      </c>
      <c r="N36" s="231">
        <v>0</v>
      </c>
      <c r="O36" s="231">
        <v>68306.017105088409</v>
      </c>
      <c r="P36" s="231">
        <v>0</v>
      </c>
      <c r="Q36" s="231">
        <v>31992.821610685594</v>
      </c>
      <c r="R36" s="231">
        <v>0</v>
      </c>
      <c r="S36" s="231">
        <v>7116.9348923247517</v>
      </c>
      <c r="T36" s="414">
        <f t="shared" si="87"/>
        <v>169547.41795316685</v>
      </c>
      <c r="U36" s="415">
        <f t="shared" si="88"/>
        <v>179092.41794414082</v>
      </c>
      <c r="V36" s="300">
        <v>14</v>
      </c>
      <c r="W36" s="231">
        <v>0</v>
      </c>
      <c r="X36" s="231">
        <v>1364.0881197143776</v>
      </c>
      <c r="Y36" s="231">
        <v>0</v>
      </c>
      <c r="Z36" s="231">
        <v>1633.522421530876</v>
      </c>
      <c r="AA36" s="231">
        <v>0</v>
      </c>
      <c r="AB36" s="231">
        <v>0</v>
      </c>
      <c r="AC36" s="231">
        <v>0</v>
      </c>
      <c r="AD36" s="231">
        <v>0</v>
      </c>
      <c r="AE36" s="412">
        <f t="shared" si="89"/>
        <v>2997.6105412452534</v>
      </c>
      <c r="AF36" s="417">
        <v>0</v>
      </c>
      <c r="AG36" s="231">
        <v>41227.720875838764</v>
      </c>
      <c r="AH36" s="231">
        <v>0</v>
      </c>
      <c r="AI36" s="231">
        <v>40120.643621109673</v>
      </c>
      <c r="AJ36" s="231">
        <v>0</v>
      </c>
      <c r="AK36" s="231">
        <v>15049.965422894848</v>
      </c>
      <c r="AL36" s="231">
        <v>0</v>
      </c>
      <c r="AM36" s="231">
        <v>6722.6284475153407</v>
      </c>
      <c r="AN36" s="414">
        <f t="shared" si="90"/>
        <v>103120.95836735862</v>
      </c>
      <c r="AO36" s="415">
        <f t="shared" si="91"/>
        <v>106118.56890860388</v>
      </c>
      <c r="AP36" s="300">
        <v>14</v>
      </c>
      <c r="AQ36" s="231">
        <v>0</v>
      </c>
      <c r="AR36" s="231">
        <v>5724.3697927016838</v>
      </c>
      <c r="AS36" s="231">
        <v>0</v>
      </c>
      <c r="AT36" s="231">
        <v>9673.0151235749909</v>
      </c>
      <c r="AU36" s="231">
        <v>0</v>
      </c>
      <c r="AV36" s="231">
        <v>1640.1723033334815</v>
      </c>
      <c r="AW36" s="231">
        <v>14249.186368158013</v>
      </c>
      <c r="AX36" s="231">
        <v>874.57581002167444</v>
      </c>
      <c r="AY36" s="412">
        <f t="shared" si="92"/>
        <v>32161.319397789845</v>
      </c>
      <c r="AZ36" s="417">
        <v>0</v>
      </c>
      <c r="BA36" s="231">
        <v>96534.319181062427</v>
      </c>
      <c r="BB36" s="231">
        <v>0</v>
      </c>
      <c r="BC36" s="231">
        <v>33791.628587497318</v>
      </c>
      <c r="BD36" s="231">
        <v>0</v>
      </c>
      <c r="BE36" s="231">
        <v>25811.194380499699</v>
      </c>
      <c r="BF36" s="231">
        <v>0</v>
      </c>
      <c r="BG36" s="231">
        <v>51377.412392576669</v>
      </c>
      <c r="BH36" s="414">
        <f t="shared" si="93"/>
        <v>207514.55454163611</v>
      </c>
      <c r="BI36" s="415">
        <f t="shared" si="94"/>
        <v>239675.87393942595</v>
      </c>
      <c r="BJ36" s="300">
        <v>14</v>
      </c>
      <c r="BK36" s="231">
        <v>0</v>
      </c>
      <c r="BL36" s="231">
        <v>0</v>
      </c>
      <c r="BM36" s="231">
        <v>0</v>
      </c>
      <c r="BN36" s="231">
        <v>1633.522421530876</v>
      </c>
      <c r="BO36" s="231">
        <v>0</v>
      </c>
      <c r="BP36" s="231">
        <v>0</v>
      </c>
      <c r="BQ36" s="231">
        <v>0</v>
      </c>
      <c r="BR36" s="231">
        <v>0</v>
      </c>
      <c r="BS36" s="412">
        <f t="shared" si="95"/>
        <v>1633.522421530876</v>
      </c>
      <c r="BT36" s="417">
        <v>0</v>
      </c>
      <c r="BU36" s="231">
        <v>0</v>
      </c>
      <c r="BV36" s="231">
        <v>0</v>
      </c>
      <c r="BW36" s="231">
        <v>13719.587157814081</v>
      </c>
      <c r="BX36" s="231">
        <v>0</v>
      </c>
      <c r="BY36" s="231">
        <v>22947.621140245883</v>
      </c>
      <c r="BZ36" s="231">
        <v>0</v>
      </c>
      <c r="CA36" s="231">
        <v>0</v>
      </c>
      <c r="CB36" s="414">
        <f t="shared" si="96"/>
        <v>36667.208298059966</v>
      </c>
      <c r="CC36" s="415">
        <f t="shared" si="97"/>
        <v>38300.730719590843</v>
      </c>
      <c r="CD36" s="300">
        <v>14</v>
      </c>
      <c r="CE36" s="414">
        <f t="shared" si="98"/>
        <v>8452.5460321304381</v>
      </c>
      <c r="CF36" s="414">
        <f t="shared" si="99"/>
        <v>17840.627231229373</v>
      </c>
      <c r="CG36" s="414">
        <f t="shared" si="100"/>
        <v>4920.5169100004441</v>
      </c>
      <c r="CH36" s="414">
        <f t="shared" si="101"/>
        <v>15123.762178179688</v>
      </c>
      <c r="CI36" s="416">
        <f t="shared" si="102"/>
        <v>46337.452351539941</v>
      </c>
      <c r="CJ36" s="414">
        <f t="shared" si="103"/>
        <v>199893.68440196928</v>
      </c>
      <c r="CK36" s="414">
        <f t="shared" si="104"/>
        <v>155937.87647150949</v>
      </c>
      <c r="CL36" s="414">
        <f t="shared" si="105"/>
        <v>95801.602554326018</v>
      </c>
      <c r="CM36" s="414">
        <f t="shared" si="106"/>
        <v>65216.975732416759</v>
      </c>
      <c r="CN36" s="416">
        <f t="shared" si="107"/>
        <v>516850.13916022156</v>
      </c>
      <c r="CO36" s="414">
        <f t="shared" si="108"/>
        <v>208346.23043409971</v>
      </c>
      <c r="CP36" s="414">
        <f t="shared" si="109"/>
        <v>173778.50370273888</v>
      </c>
      <c r="CQ36" s="414">
        <f t="shared" si="110"/>
        <v>100722.11946432646</v>
      </c>
      <c r="CR36" s="414">
        <f t="shared" si="111"/>
        <v>80340.73791059645</v>
      </c>
      <c r="CS36" s="416">
        <f t="shared" si="112"/>
        <v>563187.59151176142</v>
      </c>
      <c r="CT36" s="319"/>
      <c r="CV36" s="319"/>
      <c r="CX36" s="319"/>
    </row>
    <row r="37" spans="1:102" ht="15.75" customHeight="1">
      <c r="A37" s="88" t="s">
        <v>200</v>
      </c>
      <c r="B37" s="300">
        <v>15</v>
      </c>
      <c r="C37" s="231">
        <v>17989.06208842394</v>
      </c>
      <c r="D37" s="231">
        <v>53203.36692275403</v>
      </c>
      <c r="E37" s="231">
        <v>28833.412363189978</v>
      </c>
      <c r="F37" s="231">
        <v>40908.185894186412</v>
      </c>
      <c r="G37" s="231">
        <v>48270.41158815979</v>
      </c>
      <c r="H37" s="231">
        <v>50540.572867194642</v>
      </c>
      <c r="I37" s="231">
        <v>50638.244130502309</v>
      </c>
      <c r="J37" s="231">
        <v>15019.503802871177</v>
      </c>
      <c r="K37" s="412">
        <f t="shared" si="86"/>
        <v>305402.75965728221</v>
      </c>
      <c r="L37" s="417">
        <v>0</v>
      </c>
      <c r="M37" s="231">
        <v>192733.62823937289</v>
      </c>
      <c r="N37" s="231">
        <v>0</v>
      </c>
      <c r="O37" s="231">
        <v>420177.5245997365</v>
      </c>
      <c r="P37" s="231">
        <v>0</v>
      </c>
      <c r="Q37" s="231">
        <v>288313.16474605276</v>
      </c>
      <c r="R37" s="231">
        <v>0</v>
      </c>
      <c r="S37" s="231">
        <v>283877.16004410951</v>
      </c>
      <c r="T37" s="414">
        <f t="shared" si="87"/>
        <v>1185101.4776292716</v>
      </c>
      <c r="U37" s="415">
        <f t="shared" si="88"/>
        <v>1490504.2372865537</v>
      </c>
      <c r="V37" s="300">
        <v>15</v>
      </c>
      <c r="W37" s="231">
        <v>2173.0903810361851</v>
      </c>
      <c r="X37" s="231">
        <v>23586.843703564467</v>
      </c>
      <c r="Y37" s="231">
        <v>0</v>
      </c>
      <c r="Z37" s="231">
        <v>3955.4063870171531</v>
      </c>
      <c r="AA37" s="231">
        <v>207.49385646215109</v>
      </c>
      <c r="AB37" s="231">
        <v>7187.9445685297142</v>
      </c>
      <c r="AC37" s="231">
        <v>4816.7999168374918</v>
      </c>
      <c r="AD37" s="231">
        <v>1820.8546472552302</v>
      </c>
      <c r="AE37" s="412">
        <f t="shared" si="89"/>
        <v>43748.433460702399</v>
      </c>
      <c r="AF37" s="417">
        <v>0</v>
      </c>
      <c r="AG37" s="231">
        <v>91098.866962817119</v>
      </c>
      <c r="AH37" s="231">
        <v>0</v>
      </c>
      <c r="AI37" s="231">
        <v>41545.819424502501</v>
      </c>
      <c r="AJ37" s="231">
        <v>0</v>
      </c>
      <c r="AK37" s="231">
        <v>85957.061550883125</v>
      </c>
      <c r="AL37" s="231">
        <v>0</v>
      </c>
      <c r="AM37" s="231">
        <v>63858.919069444615</v>
      </c>
      <c r="AN37" s="414">
        <f t="shared" si="90"/>
        <v>282460.66700764734</v>
      </c>
      <c r="AO37" s="415">
        <f t="shared" si="91"/>
        <v>326209.10046834976</v>
      </c>
      <c r="AP37" s="300">
        <v>15</v>
      </c>
      <c r="AQ37" s="231">
        <v>157811.14455618942</v>
      </c>
      <c r="AR37" s="231">
        <v>295330.1182437659</v>
      </c>
      <c r="AS37" s="231">
        <v>165287.96622260171</v>
      </c>
      <c r="AT37" s="231">
        <v>229786.52803859184</v>
      </c>
      <c r="AU37" s="231">
        <v>258940.59437671132</v>
      </c>
      <c r="AV37" s="231">
        <v>230584.16596820825</v>
      </c>
      <c r="AW37" s="231">
        <v>315502.97968112107</v>
      </c>
      <c r="AX37" s="231">
        <v>157314.65395208335</v>
      </c>
      <c r="AY37" s="412">
        <f t="shared" si="92"/>
        <v>1810558.1510392728</v>
      </c>
      <c r="AZ37" s="417">
        <v>0</v>
      </c>
      <c r="BA37" s="231">
        <v>1346663.9728252192</v>
      </c>
      <c r="BB37" s="231">
        <v>0</v>
      </c>
      <c r="BC37" s="231">
        <v>1283723.6366000036</v>
      </c>
      <c r="BD37" s="231">
        <v>0</v>
      </c>
      <c r="BE37" s="231">
        <v>1513476.9560387719</v>
      </c>
      <c r="BF37" s="231">
        <v>0</v>
      </c>
      <c r="BG37" s="231">
        <v>1547424.1265070552</v>
      </c>
      <c r="BH37" s="414">
        <f t="shared" si="93"/>
        <v>5691288.6919710496</v>
      </c>
      <c r="BI37" s="415">
        <f t="shared" si="94"/>
        <v>7501846.8430103222</v>
      </c>
      <c r="BJ37" s="300">
        <v>15</v>
      </c>
      <c r="BK37" s="231">
        <v>0</v>
      </c>
      <c r="BL37" s="231">
        <v>3963.9460698172156</v>
      </c>
      <c r="BM37" s="231">
        <v>0</v>
      </c>
      <c r="BN37" s="231">
        <v>5167.5761133472706</v>
      </c>
      <c r="BO37" s="231">
        <v>0</v>
      </c>
      <c r="BP37" s="231">
        <v>2969.6063257431406</v>
      </c>
      <c r="BQ37" s="231">
        <v>0</v>
      </c>
      <c r="BR37" s="231">
        <v>2069.9919398499064</v>
      </c>
      <c r="BS37" s="412">
        <f t="shared" si="95"/>
        <v>14171.120448757532</v>
      </c>
      <c r="BT37" s="417">
        <v>0</v>
      </c>
      <c r="BU37" s="231">
        <v>15236.378814634318</v>
      </c>
      <c r="BV37" s="231">
        <v>0</v>
      </c>
      <c r="BW37" s="231">
        <v>22548.306800597766</v>
      </c>
      <c r="BX37" s="231">
        <v>0</v>
      </c>
      <c r="BY37" s="231">
        <v>13295.647164262225</v>
      </c>
      <c r="BZ37" s="231">
        <v>0</v>
      </c>
      <c r="CA37" s="231">
        <v>16596.432855856227</v>
      </c>
      <c r="CB37" s="414">
        <f t="shared" si="96"/>
        <v>67676.765635350544</v>
      </c>
      <c r="CC37" s="415">
        <f t="shared" si="97"/>
        <v>81847.886084108075</v>
      </c>
      <c r="CD37" s="300">
        <v>15</v>
      </c>
      <c r="CE37" s="414">
        <f t="shared" si="98"/>
        <v>554057.57196555112</v>
      </c>
      <c r="CF37" s="414">
        <f t="shared" si="99"/>
        <v>473939.07501893438</v>
      </c>
      <c r="CG37" s="414">
        <f t="shared" si="100"/>
        <v>598700.78955100896</v>
      </c>
      <c r="CH37" s="414">
        <f t="shared" si="101"/>
        <v>547183.02807052049</v>
      </c>
      <c r="CI37" s="416">
        <f t="shared" si="102"/>
        <v>2173880.464606015</v>
      </c>
      <c r="CJ37" s="414">
        <f t="shared" si="103"/>
        <v>1645732.8468420436</v>
      </c>
      <c r="CK37" s="414">
        <f t="shared" si="104"/>
        <v>1767995.2874248405</v>
      </c>
      <c r="CL37" s="414">
        <f t="shared" si="105"/>
        <v>1901042.82949997</v>
      </c>
      <c r="CM37" s="414">
        <f t="shared" si="106"/>
        <v>1911756.6384764654</v>
      </c>
      <c r="CN37" s="416">
        <f t="shared" si="107"/>
        <v>7226527.6022433192</v>
      </c>
      <c r="CO37" s="414">
        <f t="shared" si="108"/>
        <v>2199790.4188075946</v>
      </c>
      <c r="CP37" s="414">
        <f t="shared" si="109"/>
        <v>2241934.3624437749</v>
      </c>
      <c r="CQ37" s="414">
        <f t="shared" si="110"/>
        <v>2499743.6190509791</v>
      </c>
      <c r="CR37" s="414">
        <f t="shared" si="111"/>
        <v>2458939.6665469855</v>
      </c>
      <c r="CS37" s="416">
        <f t="shared" si="112"/>
        <v>9400408.0668493323</v>
      </c>
    </row>
    <row r="38" spans="1:102" ht="15.75" customHeight="1">
      <c r="A38" s="88" t="s">
        <v>201</v>
      </c>
      <c r="B38" s="300">
        <v>16</v>
      </c>
      <c r="C38" s="231">
        <v>2419.0762716565268</v>
      </c>
      <c r="D38" s="231">
        <v>5673.5265082396045</v>
      </c>
      <c r="E38" s="231">
        <v>3372.3629982048151</v>
      </c>
      <c r="F38" s="231">
        <v>7986.2130461016586</v>
      </c>
      <c r="G38" s="231">
        <v>2899.4366993836161</v>
      </c>
      <c r="H38" s="231">
        <v>7490.9543414801092</v>
      </c>
      <c r="I38" s="231">
        <v>1160.5753048761489</v>
      </c>
      <c r="J38" s="231">
        <v>3322.3723105910481</v>
      </c>
      <c r="K38" s="412">
        <f t="shared" si="86"/>
        <v>34324.517480533526</v>
      </c>
      <c r="L38" s="417">
        <v>0</v>
      </c>
      <c r="M38" s="231">
        <v>17191.524778249779</v>
      </c>
      <c r="N38" s="231">
        <v>0</v>
      </c>
      <c r="O38" s="231">
        <v>33654.058289113207</v>
      </c>
      <c r="P38" s="231">
        <v>0</v>
      </c>
      <c r="Q38" s="231">
        <v>26867.875219187765</v>
      </c>
      <c r="R38" s="231">
        <v>0</v>
      </c>
      <c r="S38" s="231">
        <v>15102.97461900724</v>
      </c>
      <c r="T38" s="414">
        <f t="shared" si="87"/>
        <v>92816.432905557973</v>
      </c>
      <c r="U38" s="415">
        <f t="shared" si="88"/>
        <v>127140.9503860915</v>
      </c>
      <c r="V38" s="300">
        <v>16</v>
      </c>
      <c r="W38" s="231">
        <v>0</v>
      </c>
      <c r="X38" s="231">
        <v>5154.3229678348271</v>
      </c>
      <c r="Y38" s="231">
        <v>0</v>
      </c>
      <c r="Z38" s="231">
        <v>2560.6464890352813</v>
      </c>
      <c r="AA38" s="231">
        <v>0</v>
      </c>
      <c r="AB38" s="231">
        <v>4821.6342182571971</v>
      </c>
      <c r="AC38" s="231">
        <v>0</v>
      </c>
      <c r="AD38" s="231">
        <v>3617.0261444715197</v>
      </c>
      <c r="AE38" s="412">
        <f t="shared" si="89"/>
        <v>16153.629819598826</v>
      </c>
      <c r="AF38" s="417">
        <v>0</v>
      </c>
      <c r="AG38" s="231">
        <v>12426.082802818111</v>
      </c>
      <c r="AH38" s="231">
        <v>0</v>
      </c>
      <c r="AI38" s="231">
        <v>26710.754911339933</v>
      </c>
      <c r="AJ38" s="231">
        <v>0</v>
      </c>
      <c r="AK38" s="231">
        <v>23520.920057369291</v>
      </c>
      <c r="AL38" s="231">
        <v>0</v>
      </c>
      <c r="AM38" s="231">
        <v>24292.393409986322</v>
      </c>
      <c r="AN38" s="414">
        <f t="shared" si="90"/>
        <v>86950.151181513662</v>
      </c>
      <c r="AO38" s="415">
        <f t="shared" si="91"/>
        <v>103103.78100111248</v>
      </c>
      <c r="AP38" s="300">
        <v>16</v>
      </c>
      <c r="AQ38" s="231">
        <v>10279.584058280436</v>
      </c>
      <c r="AR38" s="231">
        <v>48280.698919765709</v>
      </c>
      <c r="AS38" s="231">
        <v>9728.6970183726407</v>
      </c>
      <c r="AT38" s="231">
        <v>33271.46857352955</v>
      </c>
      <c r="AU38" s="231">
        <v>9491.4419476267722</v>
      </c>
      <c r="AV38" s="231">
        <v>40722.08136628916</v>
      </c>
      <c r="AW38" s="231">
        <v>9626.9871873065294</v>
      </c>
      <c r="AX38" s="231">
        <v>35488.336097096239</v>
      </c>
      <c r="AY38" s="412">
        <f t="shared" si="92"/>
        <v>196889.29516826704</v>
      </c>
      <c r="AZ38" s="417">
        <v>0</v>
      </c>
      <c r="BA38" s="231">
        <v>161789.39377575764</v>
      </c>
      <c r="BB38" s="231">
        <v>0</v>
      </c>
      <c r="BC38" s="231">
        <v>126733.58728038552</v>
      </c>
      <c r="BD38" s="231">
        <v>0</v>
      </c>
      <c r="BE38" s="231">
        <v>133610.27880851392</v>
      </c>
      <c r="BF38" s="231">
        <v>0</v>
      </c>
      <c r="BG38" s="231">
        <v>151842.94136859561</v>
      </c>
      <c r="BH38" s="414">
        <f t="shared" si="93"/>
        <v>573976.20123325265</v>
      </c>
      <c r="BI38" s="415">
        <f t="shared" si="94"/>
        <v>770865.49640151975</v>
      </c>
      <c r="BJ38" s="300">
        <v>16</v>
      </c>
      <c r="BK38" s="231">
        <v>322.91085995203474</v>
      </c>
      <c r="BL38" s="231">
        <v>3918.4431303399406</v>
      </c>
      <c r="BM38" s="231">
        <v>0</v>
      </c>
      <c r="BN38" s="231">
        <v>1881.993993786283</v>
      </c>
      <c r="BO38" s="231">
        <v>79.536296621208166</v>
      </c>
      <c r="BP38" s="231">
        <v>2020.0852531534101</v>
      </c>
      <c r="BQ38" s="231">
        <v>348.09336159852211</v>
      </c>
      <c r="BR38" s="231">
        <v>1536.5006957366852</v>
      </c>
      <c r="BS38" s="412">
        <f t="shared" si="95"/>
        <v>10107.563591188084</v>
      </c>
      <c r="BT38" s="417">
        <v>0</v>
      </c>
      <c r="BU38" s="231">
        <v>8070.2210106044831</v>
      </c>
      <c r="BV38" s="231">
        <v>0</v>
      </c>
      <c r="BW38" s="231">
        <v>11206.389961492363</v>
      </c>
      <c r="BX38" s="231">
        <v>0</v>
      </c>
      <c r="BY38" s="231">
        <v>11421.322052829766</v>
      </c>
      <c r="BZ38" s="231">
        <v>0</v>
      </c>
      <c r="CA38" s="231">
        <v>12049.974748487626</v>
      </c>
      <c r="CB38" s="414">
        <f t="shared" si="96"/>
        <v>42747.907773414241</v>
      </c>
      <c r="CC38" s="415">
        <f t="shared" si="97"/>
        <v>52855.471364602323</v>
      </c>
      <c r="CD38" s="300">
        <v>16</v>
      </c>
      <c r="CE38" s="414">
        <f t="shared" si="98"/>
        <v>76048.562716069093</v>
      </c>
      <c r="CF38" s="414">
        <f t="shared" si="99"/>
        <v>58801.382119030226</v>
      </c>
      <c r="CG38" s="414">
        <f t="shared" si="100"/>
        <v>67525.170122811469</v>
      </c>
      <c r="CH38" s="414">
        <f t="shared" si="101"/>
        <v>55099.891101676687</v>
      </c>
      <c r="CI38" s="416">
        <f t="shared" si="102"/>
        <v>257475.00605958747</v>
      </c>
      <c r="CJ38" s="414">
        <f t="shared" si="103"/>
        <v>199477.22236743002</v>
      </c>
      <c r="CK38" s="414">
        <f t="shared" si="104"/>
        <v>198304.79044233102</v>
      </c>
      <c r="CL38" s="414">
        <f t="shared" si="105"/>
        <v>195420.39613790074</v>
      </c>
      <c r="CM38" s="414">
        <f t="shared" si="106"/>
        <v>203288.2841460768</v>
      </c>
      <c r="CN38" s="416">
        <f t="shared" si="107"/>
        <v>796490.69309373864</v>
      </c>
      <c r="CO38" s="414">
        <f t="shared" si="108"/>
        <v>275525.7850834991</v>
      </c>
      <c r="CP38" s="414">
        <f t="shared" si="109"/>
        <v>257106.17256136125</v>
      </c>
      <c r="CQ38" s="414">
        <f t="shared" si="110"/>
        <v>262945.56626071222</v>
      </c>
      <c r="CR38" s="414">
        <f t="shared" si="111"/>
        <v>258388.17524775345</v>
      </c>
      <c r="CS38" s="416">
        <f t="shared" si="112"/>
        <v>1053965.6991533262</v>
      </c>
    </row>
    <row r="39" spans="1:102" ht="15.75" customHeight="1">
      <c r="A39" s="88" t="s">
        <v>202</v>
      </c>
      <c r="B39" s="300">
        <v>17</v>
      </c>
      <c r="C39" s="231">
        <v>14400.530270263311</v>
      </c>
      <c r="D39" s="231">
        <v>64615.594149469216</v>
      </c>
      <c r="E39" s="231">
        <v>50083.897537422337</v>
      </c>
      <c r="F39" s="231">
        <v>38157.832600890841</v>
      </c>
      <c r="G39" s="231">
        <v>33568.025651968055</v>
      </c>
      <c r="H39" s="231">
        <v>43254.660163781948</v>
      </c>
      <c r="I39" s="231">
        <v>22217.55729192205</v>
      </c>
      <c r="J39" s="231">
        <v>15846.267437076685</v>
      </c>
      <c r="K39" s="412">
        <f t="shared" si="86"/>
        <v>282144.36510279443</v>
      </c>
      <c r="L39" s="417">
        <v>0</v>
      </c>
      <c r="M39" s="231">
        <v>167578.18104643651</v>
      </c>
      <c r="N39" s="231">
        <v>0</v>
      </c>
      <c r="O39" s="231">
        <v>284357.87687739823</v>
      </c>
      <c r="P39" s="231">
        <v>0</v>
      </c>
      <c r="Q39" s="231">
        <v>233474.00201678212</v>
      </c>
      <c r="R39" s="231">
        <v>0</v>
      </c>
      <c r="S39" s="231">
        <v>215184.5200964612</v>
      </c>
      <c r="T39" s="414">
        <f t="shared" si="87"/>
        <v>900594.58003707801</v>
      </c>
      <c r="U39" s="415">
        <f t="shared" si="88"/>
        <v>1182738.9451398724</v>
      </c>
      <c r="V39" s="300">
        <v>17</v>
      </c>
      <c r="W39" s="231">
        <v>1793.5458625655101</v>
      </c>
      <c r="X39" s="231">
        <v>18612.822383166073</v>
      </c>
      <c r="Y39" s="231">
        <v>463.04154866691084</v>
      </c>
      <c r="Z39" s="231">
        <v>5445.6552794929239</v>
      </c>
      <c r="AA39" s="231">
        <v>710.48002948441865</v>
      </c>
      <c r="AB39" s="231">
        <v>8724.5307448383282</v>
      </c>
      <c r="AC39" s="231">
        <v>3227.0628468810205</v>
      </c>
      <c r="AD39" s="231">
        <v>4852.3416213585824</v>
      </c>
      <c r="AE39" s="412">
        <f t="shared" si="89"/>
        <v>43829.480316453759</v>
      </c>
      <c r="AF39" s="417">
        <v>0</v>
      </c>
      <c r="AG39" s="231">
        <v>50235.5941289728</v>
      </c>
      <c r="AH39" s="231">
        <v>0</v>
      </c>
      <c r="AI39" s="231">
        <v>72299.973153130719</v>
      </c>
      <c r="AJ39" s="231">
        <v>0</v>
      </c>
      <c r="AK39" s="231">
        <v>50311.278888384913</v>
      </c>
      <c r="AL39" s="231">
        <v>0</v>
      </c>
      <c r="AM39" s="231">
        <v>62370.614031390462</v>
      </c>
      <c r="AN39" s="414">
        <f t="shared" si="90"/>
        <v>235217.46020187892</v>
      </c>
      <c r="AO39" s="415">
        <f t="shared" si="91"/>
        <v>279046.94051833265</v>
      </c>
      <c r="AP39" s="300">
        <v>17</v>
      </c>
      <c r="AQ39" s="231">
        <v>172497.61329799885</v>
      </c>
      <c r="AR39" s="231">
        <v>306460.92729094485</v>
      </c>
      <c r="AS39" s="231">
        <v>123516.40567453057</v>
      </c>
      <c r="AT39" s="231">
        <v>204655.17594715371</v>
      </c>
      <c r="AU39" s="231">
        <v>137336.8630473896</v>
      </c>
      <c r="AV39" s="231">
        <v>197751.47418215952</v>
      </c>
      <c r="AW39" s="231">
        <v>171255.85961687472</v>
      </c>
      <c r="AX39" s="231">
        <v>165446.53296892426</v>
      </c>
      <c r="AY39" s="412">
        <f t="shared" si="92"/>
        <v>1478920.8520259764</v>
      </c>
      <c r="AZ39" s="417">
        <v>0</v>
      </c>
      <c r="BA39" s="231">
        <v>890021.1490503652</v>
      </c>
      <c r="BB39" s="231">
        <v>0</v>
      </c>
      <c r="BC39" s="231">
        <v>924456.71888197376</v>
      </c>
      <c r="BD39" s="231">
        <v>0</v>
      </c>
      <c r="BE39" s="231">
        <v>974321.55498245009</v>
      </c>
      <c r="BF39" s="231">
        <v>0</v>
      </c>
      <c r="BG39" s="231">
        <v>1016579.6285016247</v>
      </c>
      <c r="BH39" s="414">
        <f t="shared" si="93"/>
        <v>3805379.0514164139</v>
      </c>
      <c r="BI39" s="415">
        <f t="shared" si="94"/>
        <v>5284299.9034423903</v>
      </c>
      <c r="BJ39" s="300">
        <v>17</v>
      </c>
      <c r="BK39" s="231">
        <v>301.09945094105922</v>
      </c>
      <c r="BL39" s="231">
        <v>18642.934328389358</v>
      </c>
      <c r="BM39" s="231">
        <v>0</v>
      </c>
      <c r="BN39" s="231">
        <v>7396.4734164804731</v>
      </c>
      <c r="BO39" s="231">
        <v>0</v>
      </c>
      <c r="BP39" s="231">
        <v>7927.469315885668</v>
      </c>
      <c r="BQ39" s="231">
        <v>1289.9637679197738</v>
      </c>
      <c r="BR39" s="231">
        <v>11018.009662937166</v>
      </c>
      <c r="BS39" s="412">
        <f t="shared" si="95"/>
        <v>46575.949942553503</v>
      </c>
      <c r="BT39" s="417">
        <v>0</v>
      </c>
      <c r="BU39" s="231">
        <v>51232.512314930951</v>
      </c>
      <c r="BV39" s="231">
        <v>0</v>
      </c>
      <c r="BW39" s="231">
        <v>55872.613071158055</v>
      </c>
      <c r="BX39" s="231">
        <v>0</v>
      </c>
      <c r="BY39" s="231">
        <v>52403.80835123999</v>
      </c>
      <c r="BZ39" s="231">
        <v>0</v>
      </c>
      <c r="CA39" s="231">
        <v>76049.377160125674</v>
      </c>
      <c r="CB39" s="414">
        <f t="shared" si="96"/>
        <v>235558.31089745465</v>
      </c>
      <c r="CC39" s="415">
        <f t="shared" si="97"/>
        <v>282134.26084000815</v>
      </c>
      <c r="CD39" s="300">
        <v>17</v>
      </c>
      <c r="CE39" s="414">
        <f t="shared" si="98"/>
        <v>597325.06703373825</v>
      </c>
      <c r="CF39" s="414">
        <f t="shared" si="99"/>
        <v>429718.48200463777</v>
      </c>
      <c r="CG39" s="414">
        <f t="shared" si="100"/>
        <v>429273.50313550758</v>
      </c>
      <c r="CH39" s="414">
        <f t="shared" si="101"/>
        <v>395153.59521389421</v>
      </c>
      <c r="CI39" s="416">
        <f t="shared" si="102"/>
        <v>1851470.6473877779</v>
      </c>
      <c r="CJ39" s="414">
        <f t="shared" si="103"/>
        <v>1159067.4365407056</v>
      </c>
      <c r="CK39" s="414">
        <f t="shared" si="104"/>
        <v>1336987.1819836609</v>
      </c>
      <c r="CL39" s="414">
        <f t="shared" si="105"/>
        <v>1310510.6442388571</v>
      </c>
      <c r="CM39" s="414">
        <f t="shared" si="106"/>
        <v>1370184.139789602</v>
      </c>
      <c r="CN39" s="416">
        <f t="shared" si="107"/>
        <v>5176749.4025528254</v>
      </c>
      <c r="CO39" s="414">
        <f t="shared" si="108"/>
        <v>1756392.5035744437</v>
      </c>
      <c r="CP39" s="414">
        <f t="shared" si="109"/>
        <v>1766705.6639882985</v>
      </c>
      <c r="CQ39" s="414">
        <f t="shared" si="110"/>
        <v>1739784.1473743645</v>
      </c>
      <c r="CR39" s="414">
        <f t="shared" si="111"/>
        <v>1765337.7350034961</v>
      </c>
      <c r="CS39" s="416">
        <f t="shared" si="112"/>
        <v>7028220.0499406029</v>
      </c>
    </row>
    <row r="40" spans="1:102" ht="15.75" customHeight="1">
      <c r="A40" s="88" t="s">
        <v>203</v>
      </c>
      <c r="B40" s="300">
        <v>18</v>
      </c>
      <c r="C40" s="231">
        <v>1440.5430586822401</v>
      </c>
      <c r="D40" s="231">
        <v>8274.9645604165962</v>
      </c>
      <c r="E40" s="231">
        <v>1844.3489090597047</v>
      </c>
      <c r="F40" s="231">
        <v>9110.0204198749452</v>
      </c>
      <c r="G40" s="231">
        <v>2099.7220505284986</v>
      </c>
      <c r="H40" s="231">
        <v>7696.8803861817187</v>
      </c>
      <c r="I40" s="231">
        <v>2097.8239691119206</v>
      </c>
      <c r="J40" s="231">
        <v>6043.897834719819</v>
      </c>
      <c r="K40" s="412">
        <f t="shared" si="86"/>
        <v>38608.201188575447</v>
      </c>
      <c r="L40" s="417">
        <v>0</v>
      </c>
      <c r="M40" s="231">
        <v>0</v>
      </c>
      <c r="N40" s="231">
        <v>0</v>
      </c>
      <c r="O40" s="231">
        <v>0</v>
      </c>
      <c r="P40" s="231">
        <v>0</v>
      </c>
      <c r="Q40" s="231">
        <v>0</v>
      </c>
      <c r="R40" s="231">
        <v>0</v>
      </c>
      <c r="S40" s="231">
        <v>0</v>
      </c>
      <c r="T40" s="414">
        <f t="shared" si="87"/>
        <v>0</v>
      </c>
      <c r="U40" s="415">
        <f t="shared" si="88"/>
        <v>38608.201188575447</v>
      </c>
      <c r="V40" s="300">
        <v>18</v>
      </c>
      <c r="W40" s="231">
        <v>70.00452227273199</v>
      </c>
      <c r="X40" s="231">
        <v>2191.6015768543034</v>
      </c>
      <c r="Y40" s="231">
        <v>0</v>
      </c>
      <c r="Z40" s="231">
        <v>1948.9063552319567</v>
      </c>
      <c r="AA40" s="231">
        <v>0</v>
      </c>
      <c r="AB40" s="231">
        <v>1545.0684399361485</v>
      </c>
      <c r="AC40" s="231">
        <v>60.946049478862328</v>
      </c>
      <c r="AD40" s="231">
        <v>3099.2285080991064</v>
      </c>
      <c r="AE40" s="412">
        <f t="shared" si="89"/>
        <v>8915.7554518731104</v>
      </c>
      <c r="AF40" s="417">
        <v>0</v>
      </c>
      <c r="AG40" s="231">
        <v>0</v>
      </c>
      <c r="AH40" s="231">
        <v>0</v>
      </c>
      <c r="AI40" s="231">
        <v>0</v>
      </c>
      <c r="AJ40" s="231">
        <v>0</v>
      </c>
      <c r="AK40" s="231">
        <v>0</v>
      </c>
      <c r="AL40" s="231">
        <v>0</v>
      </c>
      <c r="AM40" s="231">
        <v>0</v>
      </c>
      <c r="AN40" s="414">
        <f t="shared" si="90"/>
        <v>0</v>
      </c>
      <c r="AO40" s="415">
        <f t="shared" si="91"/>
        <v>8915.7554518731104</v>
      </c>
      <c r="AP40" s="300">
        <v>18</v>
      </c>
      <c r="AQ40" s="231">
        <v>4789.0593719077906</v>
      </c>
      <c r="AR40" s="231">
        <v>23085.781335074349</v>
      </c>
      <c r="AS40" s="231">
        <v>4967.7598872380731</v>
      </c>
      <c r="AT40" s="231">
        <v>23741.646904381159</v>
      </c>
      <c r="AU40" s="231">
        <v>4943.2501805282654</v>
      </c>
      <c r="AV40" s="231">
        <v>18211.219006806543</v>
      </c>
      <c r="AW40" s="231">
        <v>4181.4170356705263</v>
      </c>
      <c r="AX40" s="231">
        <v>19461.343307964886</v>
      </c>
      <c r="AY40" s="412">
        <f t="shared" si="92"/>
        <v>103381.4770295716</v>
      </c>
      <c r="AZ40" s="417">
        <v>0</v>
      </c>
      <c r="BA40" s="231">
        <v>0</v>
      </c>
      <c r="BB40" s="231">
        <v>0</v>
      </c>
      <c r="BC40" s="231">
        <v>0</v>
      </c>
      <c r="BD40" s="231">
        <v>0</v>
      </c>
      <c r="BE40" s="231">
        <v>0</v>
      </c>
      <c r="BF40" s="231">
        <v>0</v>
      </c>
      <c r="BG40" s="231">
        <v>0</v>
      </c>
      <c r="BH40" s="414">
        <f t="shared" si="93"/>
        <v>0</v>
      </c>
      <c r="BI40" s="415">
        <f t="shared" si="94"/>
        <v>103381.4770295716</v>
      </c>
      <c r="BJ40" s="300">
        <v>18</v>
      </c>
      <c r="BK40" s="231">
        <v>0</v>
      </c>
      <c r="BL40" s="231">
        <v>1279.0726277371639</v>
      </c>
      <c r="BM40" s="231">
        <v>0</v>
      </c>
      <c r="BN40" s="231">
        <v>624.37190645021144</v>
      </c>
      <c r="BO40" s="231">
        <v>0</v>
      </c>
      <c r="BP40" s="231">
        <v>1521.7020146588793</v>
      </c>
      <c r="BQ40" s="231">
        <v>0</v>
      </c>
      <c r="BR40" s="231">
        <v>1250.0237901612925</v>
      </c>
      <c r="BS40" s="412">
        <f t="shared" si="95"/>
        <v>4675.1703390075472</v>
      </c>
      <c r="BT40" s="417">
        <v>0</v>
      </c>
      <c r="BU40" s="231">
        <v>0</v>
      </c>
      <c r="BV40" s="231">
        <v>0</v>
      </c>
      <c r="BW40" s="231">
        <v>0</v>
      </c>
      <c r="BX40" s="231">
        <v>0</v>
      </c>
      <c r="BY40" s="231">
        <v>0</v>
      </c>
      <c r="BZ40" s="231">
        <v>0</v>
      </c>
      <c r="CA40" s="231">
        <v>0</v>
      </c>
      <c r="CB40" s="414">
        <f t="shared" si="96"/>
        <v>0</v>
      </c>
      <c r="CC40" s="415">
        <f t="shared" si="97"/>
        <v>4675.1703390075472</v>
      </c>
      <c r="CD40" s="300">
        <v>18</v>
      </c>
      <c r="CE40" s="414">
        <f t="shared" si="98"/>
        <v>41131.027052945174</v>
      </c>
      <c r="CF40" s="414">
        <f t="shared" si="99"/>
        <v>42237.054382236056</v>
      </c>
      <c r="CG40" s="414">
        <f t="shared" si="100"/>
        <v>36017.842078640053</v>
      </c>
      <c r="CH40" s="414">
        <f t="shared" si="101"/>
        <v>36194.680495206412</v>
      </c>
      <c r="CI40" s="416">
        <f t="shared" si="102"/>
        <v>155580.60400902771</v>
      </c>
      <c r="CJ40" s="414">
        <f t="shared" si="103"/>
        <v>0</v>
      </c>
      <c r="CK40" s="414">
        <f t="shared" si="104"/>
        <v>0</v>
      </c>
      <c r="CL40" s="414">
        <f t="shared" si="105"/>
        <v>0</v>
      </c>
      <c r="CM40" s="414">
        <f t="shared" si="106"/>
        <v>0</v>
      </c>
      <c r="CN40" s="416">
        <f t="shared" si="107"/>
        <v>0</v>
      </c>
      <c r="CO40" s="414">
        <f t="shared" si="108"/>
        <v>41131.027052945174</v>
      </c>
      <c r="CP40" s="414">
        <f t="shared" si="109"/>
        <v>42237.054382236056</v>
      </c>
      <c r="CQ40" s="414">
        <f t="shared" si="110"/>
        <v>36017.842078640053</v>
      </c>
      <c r="CR40" s="414">
        <f t="shared" si="111"/>
        <v>36194.680495206412</v>
      </c>
      <c r="CS40" s="416">
        <f t="shared" si="112"/>
        <v>155580.60400902771</v>
      </c>
    </row>
    <row r="41" spans="1:102" ht="15.75" customHeight="1">
      <c r="A41" s="88" t="s">
        <v>204</v>
      </c>
      <c r="B41" s="300">
        <v>19</v>
      </c>
      <c r="C41" s="231">
        <v>6242</v>
      </c>
      <c r="D41" s="231">
        <v>156542</v>
      </c>
      <c r="E41" s="231">
        <v>7164</v>
      </c>
      <c r="F41" s="231">
        <v>128195</v>
      </c>
      <c r="G41" s="231">
        <v>16615</v>
      </c>
      <c r="H41" s="231">
        <v>131346.55748170297</v>
      </c>
      <c r="I41" s="231">
        <v>18402</v>
      </c>
      <c r="J41" s="231">
        <v>123686</v>
      </c>
      <c r="K41" s="412">
        <f t="shared" si="86"/>
        <v>588192.557481703</v>
      </c>
      <c r="L41" s="417">
        <v>0</v>
      </c>
      <c r="M41" s="231">
        <v>0</v>
      </c>
      <c r="N41" s="231">
        <v>0</v>
      </c>
      <c r="O41" s="231">
        <v>0</v>
      </c>
      <c r="P41" s="231">
        <v>0</v>
      </c>
      <c r="Q41" s="231">
        <v>68.984044990618415</v>
      </c>
      <c r="R41" s="231">
        <v>0</v>
      </c>
      <c r="S41" s="231">
        <v>0</v>
      </c>
      <c r="T41" s="414">
        <f t="shared" si="87"/>
        <v>68.984044990618415</v>
      </c>
      <c r="U41" s="415">
        <f t="shared" si="88"/>
        <v>588261.54152669362</v>
      </c>
      <c r="V41" s="300">
        <v>19</v>
      </c>
      <c r="W41" s="231">
        <v>0</v>
      </c>
      <c r="X41" s="231">
        <v>49162</v>
      </c>
      <c r="Y41" s="231">
        <v>0</v>
      </c>
      <c r="Z41" s="231">
        <v>42410</v>
      </c>
      <c r="AA41" s="231">
        <v>0</v>
      </c>
      <c r="AB41" s="231">
        <v>35320</v>
      </c>
      <c r="AC41" s="231">
        <v>0</v>
      </c>
      <c r="AD41" s="231">
        <v>50625</v>
      </c>
      <c r="AE41" s="412">
        <f t="shared" si="89"/>
        <v>177517</v>
      </c>
      <c r="AF41" s="417">
        <v>0</v>
      </c>
      <c r="AG41" s="231">
        <v>0</v>
      </c>
      <c r="AH41" s="231">
        <v>0</v>
      </c>
      <c r="AI41" s="231">
        <v>0</v>
      </c>
      <c r="AJ41" s="231">
        <v>0</v>
      </c>
      <c r="AK41" s="231">
        <v>0</v>
      </c>
      <c r="AL41" s="231">
        <v>0</v>
      </c>
      <c r="AM41" s="231">
        <v>0</v>
      </c>
      <c r="AN41" s="414">
        <f t="shared" si="90"/>
        <v>0</v>
      </c>
      <c r="AO41" s="415">
        <f t="shared" si="91"/>
        <v>177517</v>
      </c>
      <c r="AP41" s="300">
        <v>19</v>
      </c>
      <c r="AQ41" s="231">
        <v>31685</v>
      </c>
      <c r="AR41" s="231">
        <v>249785.62740489858</v>
      </c>
      <c r="AS41" s="231">
        <v>22832</v>
      </c>
      <c r="AT41" s="231">
        <v>208815.45770605287</v>
      </c>
      <c r="AU41" s="231">
        <v>19928</v>
      </c>
      <c r="AV41" s="231">
        <v>282898.58174944599</v>
      </c>
      <c r="AW41" s="231">
        <v>31483</v>
      </c>
      <c r="AX41" s="231">
        <v>244732.83066727716</v>
      </c>
      <c r="AY41" s="412">
        <f t="shared" si="92"/>
        <v>1092160.4975276745</v>
      </c>
      <c r="AZ41" s="417">
        <v>0</v>
      </c>
      <c r="BA41" s="231">
        <v>449.44090635095284</v>
      </c>
      <c r="BB41" s="231">
        <v>0</v>
      </c>
      <c r="BC41" s="231">
        <v>158.72571342617516</v>
      </c>
      <c r="BD41" s="231">
        <v>0</v>
      </c>
      <c r="BE41" s="231">
        <v>261.59136686863013</v>
      </c>
      <c r="BF41" s="231">
        <v>0</v>
      </c>
      <c r="BG41" s="231">
        <v>238.21044092106575</v>
      </c>
      <c r="BH41" s="414">
        <f t="shared" si="93"/>
        <v>1107.9684275668239</v>
      </c>
      <c r="BI41" s="415">
        <f t="shared" si="94"/>
        <v>1093268.4659552414</v>
      </c>
      <c r="BJ41" s="300">
        <v>19</v>
      </c>
      <c r="BK41" s="231">
        <v>0</v>
      </c>
      <c r="BL41" s="231">
        <v>298</v>
      </c>
      <c r="BM41" s="231">
        <v>0</v>
      </c>
      <c r="BN41" s="231">
        <v>1491.6000000000001</v>
      </c>
      <c r="BO41" s="231">
        <v>0</v>
      </c>
      <c r="BP41" s="231">
        <v>1613</v>
      </c>
      <c r="BQ41" s="231">
        <v>0</v>
      </c>
      <c r="BR41" s="231">
        <v>1408</v>
      </c>
      <c r="BS41" s="412">
        <f t="shared" si="95"/>
        <v>4810.6000000000004</v>
      </c>
      <c r="BT41" s="417">
        <v>0</v>
      </c>
      <c r="BU41" s="231">
        <v>0</v>
      </c>
      <c r="BV41" s="231">
        <v>0</v>
      </c>
      <c r="BW41" s="231">
        <v>0</v>
      </c>
      <c r="BX41" s="231">
        <v>0</v>
      </c>
      <c r="BY41" s="231">
        <v>0</v>
      </c>
      <c r="BZ41" s="231">
        <v>0</v>
      </c>
      <c r="CA41" s="231">
        <v>0</v>
      </c>
      <c r="CB41" s="414">
        <f t="shared" si="96"/>
        <v>0</v>
      </c>
      <c r="CC41" s="415">
        <f t="shared" si="97"/>
        <v>4810.6000000000004</v>
      </c>
      <c r="CD41" s="300">
        <v>19</v>
      </c>
      <c r="CE41" s="414">
        <f t="shared" si="98"/>
        <v>493714.62740489858</v>
      </c>
      <c r="CF41" s="414">
        <f t="shared" si="99"/>
        <v>410908.05770605284</v>
      </c>
      <c r="CG41" s="414">
        <f t="shared" si="100"/>
        <v>487721.13923114899</v>
      </c>
      <c r="CH41" s="414">
        <f t="shared" si="101"/>
        <v>470336.83066727716</v>
      </c>
      <c r="CI41" s="416">
        <f t="shared" si="102"/>
        <v>1862680.6550093777</v>
      </c>
      <c r="CJ41" s="414">
        <f t="shared" si="103"/>
        <v>449.44090635095284</v>
      </c>
      <c r="CK41" s="414">
        <f t="shared" si="104"/>
        <v>158.72571342617516</v>
      </c>
      <c r="CL41" s="414">
        <f t="shared" si="105"/>
        <v>330.57541185924856</v>
      </c>
      <c r="CM41" s="414">
        <f t="shared" si="106"/>
        <v>238.21044092106575</v>
      </c>
      <c r="CN41" s="416">
        <f t="shared" si="107"/>
        <v>1176.9524725574424</v>
      </c>
      <c r="CO41" s="414">
        <f t="shared" si="108"/>
        <v>494164.06831124955</v>
      </c>
      <c r="CP41" s="414">
        <f t="shared" si="109"/>
        <v>411066.78341947903</v>
      </c>
      <c r="CQ41" s="414">
        <f t="shared" si="110"/>
        <v>488051.71464300825</v>
      </c>
      <c r="CR41" s="414">
        <f t="shared" si="111"/>
        <v>470575.04110819823</v>
      </c>
      <c r="CS41" s="416">
        <f t="shared" si="112"/>
        <v>1863857.6074819351</v>
      </c>
    </row>
    <row r="42" spans="1:102" ht="15.75" customHeight="1">
      <c r="A42" s="88" t="s">
        <v>205</v>
      </c>
      <c r="B42" s="300">
        <v>20</v>
      </c>
      <c r="C42" s="231">
        <v>169.95097878611534</v>
      </c>
      <c r="D42" s="231">
        <v>2643.5907752312173</v>
      </c>
      <c r="E42" s="231">
        <v>77.502231065646896</v>
      </c>
      <c r="F42" s="231">
        <v>522.08657786182903</v>
      </c>
      <c r="G42" s="231">
        <v>1164.3715842359506</v>
      </c>
      <c r="H42" s="231">
        <v>1065.8205449805091</v>
      </c>
      <c r="I42" s="231">
        <v>2093.0397042278296</v>
      </c>
      <c r="J42" s="231">
        <v>6459.0724814447422</v>
      </c>
      <c r="K42" s="412">
        <f t="shared" si="86"/>
        <v>14195.434877833841</v>
      </c>
      <c r="L42" s="417">
        <v>0</v>
      </c>
      <c r="M42" s="231">
        <v>3306.1093930590573</v>
      </c>
      <c r="N42" s="231">
        <v>0</v>
      </c>
      <c r="O42" s="231">
        <v>1994.06815277603</v>
      </c>
      <c r="P42" s="231">
        <v>0</v>
      </c>
      <c r="Q42" s="231">
        <v>4381.1315676051163</v>
      </c>
      <c r="R42" s="231">
        <v>0</v>
      </c>
      <c r="S42" s="231">
        <v>5866.5545732782357</v>
      </c>
      <c r="T42" s="414">
        <f t="shared" si="87"/>
        <v>15547.86368671844</v>
      </c>
      <c r="U42" s="415">
        <f t="shared" si="88"/>
        <v>29743.298564552279</v>
      </c>
      <c r="V42" s="300">
        <v>20</v>
      </c>
      <c r="W42" s="231">
        <v>0</v>
      </c>
      <c r="X42" s="231">
        <v>1194.8671880891063</v>
      </c>
      <c r="Y42" s="231">
        <v>0</v>
      </c>
      <c r="Z42" s="231">
        <v>1893.6448522339667</v>
      </c>
      <c r="AA42" s="231">
        <v>0</v>
      </c>
      <c r="AB42" s="231">
        <v>2112.3650453666942</v>
      </c>
      <c r="AC42" s="231">
        <v>0</v>
      </c>
      <c r="AD42" s="231">
        <v>15.236512369715582</v>
      </c>
      <c r="AE42" s="412">
        <f t="shared" si="89"/>
        <v>5216.1135980594827</v>
      </c>
      <c r="AF42" s="417">
        <v>0</v>
      </c>
      <c r="AG42" s="231">
        <v>2268.8003413517486</v>
      </c>
      <c r="AH42" s="231">
        <v>0</v>
      </c>
      <c r="AI42" s="231">
        <v>2696.1935397890147</v>
      </c>
      <c r="AJ42" s="231">
        <v>0</v>
      </c>
      <c r="AK42" s="231">
        <v>2920.3380027424473</v>
      </c>
      <c r="AL42" s="231">
        <v>0</v>
      </c>
      <c r="AM42" s="231">
        <v>2743.3997686713856</v>
      </c>
      <c r="AN42" s="414">
        <f t="shared" si="90"/>
        <v>10628.731652554596</v>
      </c>
      <c r="AO42" s="415">
        <f t="shared" si="91"/>
        <v>15844.845250614078</v>
      </c>
      <c r="AP42" s="300">
        <v>20</v>
      </c>
      <c r="AQ42" s="231">
        <v>3111.0109704462488</v>
      </c>
      <c r="AR42" s="231">
        <v>18353.915657863377</v>
      </c>
      <c r="AS42" s="231">
        <v>4517.4702231608098</v>
      </c>
      <c r="AT42" s="231">
        <v>16470.960719955696</v>
      </c>
      <c r="AU42" s="231">
        <v>6576.9100350102763</v>
      </c>
      <c r="AV42" s="231">
        <v>7562.9128812587105</v>
      </c>
      <c r="AW42" s="231">
        <v>3681.0702847988923</v>
      </c>
      <c r="AX42" s="231">
        <v>14291.493084171256</v>
      </c>
      <c r="AY42" s="412">
        <f t="shared" si="92"/>
        <v>74565.743856665271</v>
      </c>
      <c r="AZ42" s="417">
        <v>0</v>
      </c>
      <c r="BA42" s="231">
        <v>11277.303764010854</v>
      </c>
      <c r="BB42" s="231">
        <v>0</v>
      </c>
      <c r="BC42" s="231">
        <v>15369.899849694011</v>
      </c>
      <c r="BD42" s="231">
        <v>0</v>
      </c>
      <c r="BE42" s="231">
        <v>17199.199206610294</v>
      </c>
      <c r="BF42" s="231">
        <v>0</v>
      </c>
      <c r="BG42" s="231">
        <v>14940.266193695121</v>
      </c>
      <c r="BH42" s="414">
        <f t="shared" si="93"/>
        <v>58786.669014010273</v>
      </c>
      <c r="BI42" s="415">
        <f t="shared" si="94"/>
        <v>133352.41287067556</v>
      </c>
      <c r="BJ42" s="300">
        <v>20</v>
      </c>
      <c r="BK42" s="231">
        <v>0</v>
      </c>
      <c r="BL42" s="231">
        <v>142.40919959481479</v>
      </c>
      <c r="BM42" s="231">
        <v>0</v>
      </c>
      <c r="BN42" s="231">
        <v>42.189319894317656</v>
      </c>
      <c r="BO42" s="231">
        <v>0</v>
      </c>
      <c r="BP42" s="231">
        <v>29.074868097694619</v>
      </c>
      <c r="BQ42" s="231">
        <v>0</v>
      </c>
      <c r="BR42" s="231">
        <v>24.987880286333557</v>
      </c>
      <c r="BS42" s="412">
        <f t="shared" si="95"/>
        <v>238.66126787316063</v>
      </c>
      <c r="BT42" s="417">
        <v>0</v>
      </c>
      <c r="BU42" s="231">
        <v>123.0330977503053</v>
      </c>
      <c r="BV42" s="231">
        <v>0</v>
      </c>
      <c r="BW42" s="231">
        <v>660.56581456535082</v>
      </c>
      <c r="BX42" s="231">
        <v>0</v>
      </c>
      <c r="BY42" s="231">
        <v>584.04745333908807</v>
      </c>
      <c r="BZ42" s="231">
        <v>0</v>
      </c>
      <c r="CA42" s="231">
        <v>133.06477679963578</v>
      </c>
      <c r="CB42" s="414">
        <f t="shared" si="96"/>
        <v>1500.71114245438</v>
      </c>
      <c r="CC42" s="415">
        <f t="shared" si="97"/>
        <v>1739.3724103275406</v>
      </c>
      <c r="CD42" s="300">
        <v>20</v>
      </c>
      <c r="CE42" s="414">
        <f t="shared" si="98"/>
        <v>25615.744770010879</v>
      </c>
      <c r="CF42" s="414">
        <f t="shared" si="99"/>
        <v>23523.853924172265</v>
      </c>
      <c r="CG42" s="414">
        <f t="shared" si="100"/>
        <v>18511.454958949835</v>
      </c>
      <c r="CH42" s="414">
        <f t="shared" si="101"/>
        <v>26564.899947298771</v>
      </c>
      <c r="CI42" s="416">
        <f t="shared" si="102"/>
        <v>94215.953600431763</v>
      </c>
      <c r="CJ42" s="414">
        <f t="shared" si="103"/>
        <v>16975.246596171964</v>
      </c>
      <c r="CK42" s="414">
        <f t="shared" si="104"/>
        <v>20720.727356824405</v>
      </c>
      <c r="CL42" s="414">
        <f t="shared" si="105"/>
        <v>25084.716230296945</v>
      </c>
      <c r="CM42" s="414">
        <f t="shared" si="106"/>
        <v>23683.285312444379</v>
      </c>
      <c r="CN42" s="416">
        <f t="shared" si="107"/>
        <v>86463.975495737686</v>
      </c>
      <c r="CO42" s="414">
        <f t="shared" si="108"/>
        <v>42590.991366182847</v>
      </c>
      <c r="CP42" s="414">
        <f t="shared" si="109"/>
        <v>44244.581280996666</v>
      </c>
      <c r="CQ42" s="414">
        <f t="shared" si="110"/>
        <v>43596.171189246787</v>
      </c>
      <c r="CR42" s="414">
        <f t="shared" si="111"/>
        <v>50248.185259743143</v>
      </c>
      <c r="CS42" s="416">
        <f t="shared" si="112"/>
        <v>180679.92909616945</v>
      </c>
    </row>
    <row r="43" spans="1:102" ht="15.75" customHeight="1">
      <c r="A43" s="88" t="s">
        <v>206</v>
      </c>
      <c r="B43" s="300">
        <v>21</v>
      </c>
      <c r="C43" s="231"/>
      <c r="D43" s="231"/>
      <c r="E43" s="231"/>
      <c r="F43" s="231"/>
      <c r="G43" s="231"/>
      <c r="H43" s="231"/>
      <c r="I43" s="231"/>
      <c r="J43" s="231"/>
      <c r="K43" s="412">
        <f t="shared" si="86"/>
        <v>0</v>
      </c>
      <c r="L43" s="417"/>
      <c r="M43" s="231">
        <f>M19</f>
        <v>112531</v>
      </c>
      <c r="N43" s="231">
        <f t="shared" ref="N43:S43" si="113">N19</f>
        <v>0</v>
      </c>
      <c r="O43" s="231">
        <f t="shared" si="113"/>
        <v>181317</v>
      </c>
      <c r="P43" s="231">
        <f t="shared" si="113"/>
        <v>0</v>
      </c>
      <c r="Q43" s="231">
        <f t="shared" si="113"/>
        <v>293885</v>
      </c>
      <c r="R43" s="231">
        <f t="shared" si="113"/>
        <v>0</v>
      </c>
      <c r="S43" s="231">
        <f t="shared" si="113"/>
        <v>291881</v>
      </c>
      <c r="T43" s="414">
        <f t="shared" si="87"/>
        <v>879614</v>
      </c>
      <c r="U43" s="415">
        <f t="shared" si="88"/>
        <v>879614</v>
      </c>
      <c r="V43" s="300">
        <v>21</v>
      </c>
      <c r="W43" s="231"/>
      <c r="X43" s="231"/>
      <c r="Y43" s="231"/>
      <c r="Z43" s="231"/>
      <c r="AA43" s="231"/>
      <c r="AB43" s="231"/>
      <c r="AC43" s="231"/>
      <c r="AD43" s="231"/>
      <c r="AE43" s="412">
        <f t="shared" si="89"/>
        <v>0</v>
      </c>
      <c r="AF43" s="417"/>
      <c r="AG43" s="231">
        <f>AG19</f>
        <v>69877</v>
      </c>
      <c r="AH43" s="231"/>
      <c r="AI43" s="231">
        <f>AI19</f>
        <v>80755</v>
      </c>
      <c r="AJ43" s="231"/>
      <c r="AK43" s="231">
        <f>AK19</f>
        <v>76212</v>
      </c>
      <c r="AL43" s="231"/>
      <c r="AM43" s="231">
        <f>AM19</f>
        <v>88091</v>
      </c>
      <c r="AN43" s="414">
        <f t="shared" si="90"/>
        <v>314935</v>
      </c>
      <c r="AO43" s="415">
        <f t="shared" si="91"/>
        <v>314935</v>
      </c>
      <c r="AP43" s="300">
        <v>21</v>
      </c>
      <c r="AQ43" s="231">
        <f t="shared" ref="AQ43:AX43" si="114">AQ19</f>
        <v>0</v>
      </c>
      <c r="AR43" s="231">
        <f t="shared" si="114"/>
        <v>0</v>
      </c>
      <c r="AS43" s="231">
        <f t="shared" si="114"/>
        <v>0</v>
      </c>
      <c r="AT43" s="231">
        <f t="shared" si="114"/>
        <v>0</v>
      </c>
      <c r="AU43" s="231">
        <f t="shared" si="114"/>
        <v>0</v>
      </c>
      <c r="AV43" s="231">
        <f t="shared" si="114"/>
        <v>0</v>
      </c>
      <c r="AW43" s="231">
        <f t="shared" si="114"/>
        <v>0</v>
      </c>
      <c r="AX43" s="231">
        <f t="shared" si="114"/>
        <v>0</v>
      </c>
      <c r="AY43" s="412">
        <f t="shared" si="92"/>
        <v>0</v>
      </c>
      <c r="AZ43" s="417">
        <f t="shared" ref="AZ43:BG43" si="115">AZ19</f>
        <v>0</v>
      </c>
      <c r="BA43" s="231">
        <f t="shared" si="115"/>
        <v>2297076</v>
      </c>
      <c r="BB43" s="231">
        <f t="shared" si="115"/>
        <v>0</v>
      </c>
      <c r="BC43" s="231">
        <f t="shared" si="115"/>
        <v>2236826</v>
      </c>
      <c r="BD43" s="231">
        <f t="shared" si="115"/>
        <v>0</v>
      </c>
      <c r="BE43" s="231">
        <f t="shared" si="115"/>
        <v>2212996</v>
      </c>
      <c r="BF43" s="231">
        <f t="shared" si="115"/>
        <v>0</v>
      </c>
      <c r="BG43" s="231">
        <f t="shared" si="115"/>
        <v>1858263</v>
      </c>
      <c r="BH43" s="414">
        <f t="shared" si="93"/>
        <v>8605161</v>
      </c>
      <c r="BI43" s="415">
        <f t="shared" si="94"/>
        <v>8605161</v>
      </c>
      <c r="BJ43" s="300">
        <v>21</v>
      </c>
      <c r="BK43" s="231">
        <f t="shared" ref="BK43:BR43" si="116">BK19</f>
        <v>0</v>
      </c>
      <c r="BL43" s="231">
        <f t="shared" si="116"/>
        <v>0</v>
      </c>
      <c r="BM43" s="231">
        <f t="shared" si="116"/>
        <v>0</v>
      </c>
      <c r="BN43" s="231">
        <f t="shared" si="116"/>
        <v>0</v>
      </c>
      <c r="BO43" s="231">
        <f t="shared" si="116"/>
        <v>0</v>
      </c>
      <c r="BP43" s="231">
        <f t="shared" si="116"/>
        <v>0</v>
      </c>
      <c r="BQ43" s="231">
        <f t="shared" si="116"/>
        <v>0</v>
      </c>
      <c r="BR43" s="231">
        <f t="shared" si="116"/>
        <v>0</v>
      </c>
      <c r="BS43" s="412">
        <f t="shared" si="95"/>
        <v>0</v>
      </c>
      <c r="BT43" s="417">
        <f t="shared" ref="BT43:CA43" si="117">BT19</f>
        <v>0</v>
      </c>
      <c r="BU43" s="231">
        <f t="shared" si="117"/>
        <v>525612</v>
      </c>
      <c r="BV43" s="231">
        <f t="shared" si="117"/>
        <v>0</v>
      </c>
      <c r="BW43" s="231">
        <f t="shared" si="117"/>
        <v>338627</v>
      </c>
      <c r="BX43" s="231">
        <f t="shared" si="117"/>
        <v>0</v>
      </c>
      <c r="BY43" s="231">
        <f t="shared" si="117"/>
        <v>193697</v>
      </c>
      <c r="BZ43" s="231">
        <f t="shared" si="117"/>
        <v>0</v>
      </c>
      <c r="CA43" s="231">
        <f t="shared" si="117"/>
        <v>109082</v>
      </c>
      <c r="CB43" s="414">
        <f t="shared" si="96"/>
        <v>1167018</v>
      </c>
      <c r="CC43" s="415">
        <f t="shared" si="97"/>
        <v>1167018</v>
      </c>
      <c r="CD43" s="300">
        <v>21</v>
      </c>
      <c r="CE43" s="414">
        <f t="shared" si="98"/>
        <v>0</v>
      </c>
      <c r="CF43" s="414">
        <f t="shared" si="99"/>
        <v>0</v>
      </c>
      <c r="CG43" s="414">
        <f t="shared" si="100"/>
        <v>0</v>
      </c>
      <c r="CH43" s="414">
        <f t="shared" si="101"/>
        <v>0</v>
      </c>
      <c r="CI43" s="416">
        <f t="shared" si="102"/>
        <v>0</v>
      </c>
      <c r="CJ43" s="414">
        <f t="shared" si="103"/>
        <v>3005096</v>
      </c>
      <c r="CK43" s="414">
        <f t="shared" si="104"/>
        <v>2837525</v>
      </c>
      <c r="CL43" s="414">
        <f t="shared" si="105"/>
        <v>2776790</v>
      </c>
      <c r="CM43" s="414">
        <f t="shared" si="106"/>
        <v>2347317</v>
      </c>
      <c r="CN43" s="416">
        <f t="shared" si="107"/>
        <v>10966728</v>
      </c>
      <c r="CO43" s="414">
        <f t="shared" si="108"/>
        <v>3005096</v>
      </c>
      <c r="CP43" s="414">
        <f t="shared" si="109"/>
        <v>2837525</v>
      </c>
      <c r="CQ43" s="414">
        <f t="shared" si="110"/>
        <v>2776790</v>
      </c>
      <c r="CR43" s="414">
        <f t="shared" si="111"/>
        <v>2347317</v>
      </c>
      <c r="CS43" s="416">
        <f t="shared" si="112"/>
        <v>10966728</v>
      </c>
    </row>
    <row r="44" spans="1:102" ht="15.75" customHeight="1">
      <c r="A44" s="88" t="s">
        <v>207</v>
      </c>
      <c r="B44" s="300">
        <v>22</v>
      </c>
      <c r="C44" s="231">
        <v>12568.519999999995</v>
      </c>
      <c r="D44" s="231">
        <v>0</v>
      </c>
      <c r="E44" s="231">
        <v>25173.154093636756</v>
      </c>
      <c r="F44" s="231">
        <v>3261.0192272666432</v>
      </c>
      <c r="G44" s="231">
        <v>43738.015666661282</v>
      </c>
      <c r="H44" s="231">
        <v>11.366635263910341</v>
      </c>
      <c r="I44" s="231">
        <v>28195.219999999976</v>
      </c>
      <c r="J44" s="231">
        <v>0</v>
      </c>
      <c r="K44" s="412">
        <f t="shared" si="86"/>
        <v>112947.29562282856</v>
      </c>
      <c r="L44" s="417">
        <v>0</v>
      </c>
      <c r="M44" s="417">
        <v>187652.9412067784</v>
      </c>
      <c r="N44" s="417">
        <v>0</v>
      </c>
      <c r="O44" s="417">
        <v>124691.19732443348</v>
      </c>
      <c r="P44" s="417">
        <v>0</v>
      </c>
      <c r="Q44" s="417">
        <v>85884.265720532319</v>
      </c>
      <c r="R44" s="417">
        <v>0</v>
      </c>
      <c r="S44" s="417">
        <v>20407.200000000244</v>
      </c>
      <c r="T44" s="414">
        <f t="shared" si="87"/>
        <v>418635.60425174446</v>
      </c>
      <c r="U44" s="415">
        <f t="shared" si="88"/>
        <v>531582.89987457299</v>
      </c>
      <c r="V44" s="300">
        <v>22</v>
      </c>
      <c r="W44" s="231">
        <v>666.12</v>
      </c>
      <c r="X44" s="231">
        <v>0</v>
      </c>
      <c r="Y44" s="231">
        <v>132.17000000000002</v>
      </c>
      <c r="Z44" s="231">
        <v>349.04530565946516</v>
      </c>
      <c r="AA44" s="231">
        <v>706.18000000000006</v>
      </c>
      <c r="AB44" s="231">
        <v>0</v>
      </c>
      <c r="AC44" s="231">
        <v>2116.1000000000008</v>
      </c>
      <c r="AD44" s="231">
        <v>0</v>
      </c>
      <c r="AE44" s="412">
        <f t="shared" si="89"/>
        <v>3969.6153056594658</v>
      </c>
      <c r="AF44" s="417">
        <v>0</v>
      </c>
      <c r="AG44" s="417">
        <v>68959.271732764988</v>
      </c>
      <c r="AH44" s="417">
        <v>0</v>
      </c>
      <c r="AI44" s="417">
        <v>86178.409999999887</v>
      </c>
      <c r="AJ44" s="417">
        <v>0</v>
      </c>
      <c r="AK44" s="417">
        <v>160652.19999999998</v>
      </c>
      <c r="AL44" s="417">
        <v>0</v>
      </c>
      <c r="AM44" s="417">
        <v>90299.909999999916</v>
      </c>
      <c r="AN44" s="414">
        <f t="shared" si="90"/>
        <v>406089.7917327648</v>
      </c>
      <c r="AO44" s="415">
        <f t="shared" si="91"/>
        <v>410059.40703842428</v>
      </c>
      <c r="AP44" s="300">
        <v>22</v>
      </c>
      <c r="AQ44" s="231">
        <v>269404.84000000037</v>
      </c>
      <c r="AR44" s="231">
        <v>0</v>
      </c>
      <c r="AS44" s="231">
        <v>300720.37100581534</v>
      </c>
      <c r="AT44" s="231">
        <v>28248.487220607734</v>
      </c>
      <c r="AU44" s="231">
        <v>388528.58</v>
      </c>
      <c r="AV44" s="231">
        <v>79.86794910901456</v>
      </c>
      <c r="AW44" s="231">
        <v>426500.43000000005</v>
      </c>
      <c r="AX44" s="231">
        <v>11.396911252547257</v>
      </c>
      <c r="AY44" s="412">
        <f t="shared" si="92"/>
        <v>1413493.9730867853</v>
      </c>
      <c r="AZ44" s="417">
        <v>0</v>
      </c>
      <c r="BA44" s="417">
        <v>724822.03779743449</v>
      </c>
      <c r="BB44" s="417">
        <v>0</v>
      </c>
      <c r="BC44" s="417">
        <v>841119.78099844872</v>
      </c>
      <c r="BD44" s="417">
        <v>0</v>
      </c>
      <c r="BE44" s="417">
        <v>1181460.730314591</v>
      </c>
      <c r="BF44" s="417">
        <v>0</v>
      </c>
      <c r="BG44" s="417">
        <v>1559468.0417267838</v>
      </c>
      <c r="BH44" s="414">
        <f t="shared" si="93"/>
        <v>4306870.5908372579</v>
      </c>
      <c r="BI44" s="415">
        <f t="shared" si="94"/>
        <v>5720364.5639240434</v>
      </c>
      <c r="BJ44" s="300">
        <v>22</v>
      </c>
      <c r="BK44" s="231">
        <v>1338.44</v>
      </c>
      <c r="BL44" s="231">
        <v>0</v>
      </c>
      <c r="BM44" s="231">
        <v>471.50000000000011</v>
      </c>
      <c r="BN44" s="231">
        <v>811.43624796976144</v>
      </c>
      <c r="BO44" s="231">
        <v>331.81</v>
      </c>
      <c r="BP44" s="231">
        <v>0</v>
      </c>
      <c r="BQ44" s="231">
        <v>415.88</v>
      </c>
      <c r="BR44" s="231">
        <v>0</v>
      </c>
      <c r="BS44" s="412">
        <f t="shared" si="95"/>
        <v>3369.0662479697617</v>
      </c>
      <c r="BT44" s="417">
        <v>0</v>
      </c>
      <c r="BU44" s="417">
        <v>-314597.12000000058</v>
      </c>
      <c r="BV44" s="417">
        <v>0</v>
      </c>
      <c r="BW44" s="417">
        <v>-59994.290443054146</v>
      </c>
      <c r="BX44" s="417">
        <v>0</v>
      </c>
      <c r="BY44" s="417">
        <v>-2321.2099999999627</v>
      </c>
      <c r="BZ44" s="417">
        <v>0</v>
      </c>
      <c r="CA44" s="417">
        <v>36206.360000000219</v>
      </c>
      <c r="CB44" s="414">
        <f t="shared" si="96"/>
        <v>-340706.26044305449</v>
      </c>
      <c r="CC44" s="415">
        <f t="shared" si="97"/>
        <v>-337337.19419508474</v>
      </c>
      <c r="CD44" s="300">
        <v>22</v>
      </c>
      <c r="CE44" s="414">
        <f t="shared" si="98"/>
        <v>283977.92000000039</v>
      </c>
      <c r="CF44" s="414">
        <f t="shared" si="99"/>
        <v>359167.18310095568</v>
      </c>
      <c r="CG44" s="414">
        <f t="shared" si="100"/>
        <v>433395.82025103422</v>
      </c>
      <c r="CH44" s="414">
        <f t="shared" si="101"/>
        <v>457239.02691125253</v>
      </c>
      <c r="CI44" s="416">
        <f t="shared" si="102"/>
        <v>1533779.9502632432</v>
      </c>
      <c r="CJ44" s="414">
        <f t="shared" si="103"/>
        <v>666837.13073697733</v>
      </c>
      <c r="CK44" s="414">
        <f t="shared" si="104"/>
        <v>991995.09787982795</v>
      </c>
      <c r="CL44" s="414">
        <f t="shared" si="105"/>
        <v>1425675.9860351232</v>
      </c>
      <c r="CM44" s="414">
        <f t="shared" si="106"/>
        <v>1706381.5117267841</v>
      </c>
      <c r="CN44" s="416">
        <f t="shared" si="107"/>
        <v>4790889.7263787128</v>
      </c>
      <c r="CO44" s="414">
        <f t="shared" si="108"/>
        <v>950815.05073697772</v>
      </c>
      <c r="CP44" s="414">
        <f t="shared" si="109"/>
        <v>1351162.2809807835</v>
      </c>
      <c r="CQ44" s="414">
        <f t="shared" si="110"/>
        <v>1859071.8062861576</v>
      </c>
      <c r="CR44" s="414">
        <f t="shared" si="111"/>
        <v>2163620.5386380367</v>
      </c>
      <c r="CS44" s="416">
        <f t="shared" si="112"/>
        <v>6324669.676641955</v>
      </c>
      <c r="CU44" s="319"/>
      <c r="CV44" s="319"/>
    </row>
    <row r="45" spans="1:102" ht="15.75" customHeight="1">
      <c r="A45" s="88" t="s">
        <v>209</v>
      </c>
      <c r="B45" s="300">
        <v>23</v>
      </c>
      <c r="C45" s="231">
        <v>9159.6449668611294</v>
      </c>
      <c r="D45" s="231">
        <v>0</v>
      </c>
      <c r="E45" s="231">
        <v>19376.627938716734</v>
      </c>
      <c r="F45" s="231">
        <v>3261.0192272666432</v>
      </c>
      <c r="G45" s="231">
        <v>34630.125140256656</v>
      </c>
      <c r="H45" s="231">
        <v>11.366635263910341</v>
      </c>
      <c r="I45" s="231">
        <v>22702.177616220106</v>
      </c>
      <c r="J45" s="231">
        <v>0</v>
      </c>
      <c r="K45" s="412">
        <f t="shared" si="86"/>
        <v>89140.961524585175</v>
      </c>
      <c r="L45" s="417">
        <v>0</v>
      </c>
      <c r="M45" s="417">
        <v>97814.765716493712</v>
      </c>
      <c r="N45" s="417">
        <v>0</v>
      </c>
      <c r="O45" s="417">
        <v>36462.385347941105</v>
      </c>
      <c r="P45" s="417">
        <v>0</v>
      </c>
      <c r="Q45" s="417">
        <v>-15317.587655702908</v>
      </c>
      <c r="R45" s="417">
        <v>0</v>
      </c>
      <c r="S45" s="417">
        <v>-58986.796633454098</v>
      </c>
      <c r="T45" s="414">
        <f t="shared" si="87"/>
        <v>59972.766775277807</v>
      </c>
      <c r="U45" s="415">
        <f t="shared" si="88"/>
        <v>149113.728299863</v>
      </c>
      <c r="V45" s="300">
        <v>23</v>
      </c>
      <c r="W45" s="231">
        <v>485.45275858458581</v>
      </c>
      <c r="X45" s="231">
        <v>0</v>
      </c>
      <c r="Y45" s="231">
        <v>100.08923426362844</v>
      </c>
      <c r="Z45" s="231">
        <v>349.04530565946516</v>
      </c>
      <c r="AA45" s="231">
        <v>558.73743983523138</v>
      </c>
      <c r="AB45" s="231">
        <v>0</v>
      </c>
      <c r="AC45" s="231">
        <v>1703.8376736795608</v>
      </c>
      <c r="AD45" s="231">
        <v>0</v>
      </c>
      <c r="AE45" s="412">
        <f t="shared" si="89"/>
        <v>3197.1624120224715</v>
      </c>
      <c r="AF45" s="417">
        <v>0</v>
      </c>
      <c r="AG45" s="231">
        <v>27444.283236905259</v>
      </c>
      <c r="AH45" s="231">
        <v>0</v>
      </c>
      <c r="AI45" s="231">
        <v>37837.699540650283</v>
      </c>
      <c r="AJ45" s="231">
        <v>0</v>
      </c>
      <c r="AK45" s="231">
        <v>97506.196331437328</v>
      </c>
      <c r="AL45" s="231">
        <v>0</v>
      </c>
      <c r="AM45" s="231">
        <v>44947.037473561126</v>
      </c>
      <c r="AN45" s="414">
        <f t="shared" si="90"/>
        <v>207735.21658255399</v>
      </c>
      <c r="AO45" s="415">
        <f t="shared" si="91"/>
        <v>210932.37899457646</v>
      </c>
      <c r="AP45" s="300">
        <v>23</v>
      </c>
      <c r="AQ45" s="231">
        <v>196335.9796343589</v>
      </c>
      <c r="AR45" s="231">
        <v>0</v>
      </c>
      <c r="AS45" s="231">
        <v>229919.0021119687</v>
      </c>
      <c r="AT45" s="231">
        <v>28248.487220607734</v>
      </c>
      <c r="AU45" s="231">
        <v>307408.11704100634</v>
      </c>
      <c r="AV45" s="231">
        <v>79.86794910901456</v>
      </c>
      <c r="AW45" s="231">
        <v>343408.86558977939</v>
      </c>
      <c r="AX45" s="231">
        <v>11.396911252547257</v>
      </c>
      <c r="AY45" s="412">
        <f t="shared" si="92"/>
        <v>1105411.7164580827</v>
      </c>
      <c r="AZ45" s="417">
        <v>0</v>
      </c>
      <c r="BA45" s="417">
        <v>-179780.55351147495</v>
      </c>
      <c r="BB45" s="417">
        <v>0</v>
      </c>
      <c r="BC45" s="417">
        <v>-48019.668002228362</v>
      </c>
      <c r="BD45" s="417">
        <v>0</v>
      </c>
      <c r="BE45" s="417">
        <v>276611.79137008125</v>
      </c>
      <c r="BF45" s="417">
        <v>0</v>
      </c>
      <c r="BG45" s="417">
        <v>690613.30048674799</v>
      </c>
      <c r="BH45" s="414">
        <f t="shared" si="93"/>
        <v>739424.87034312589</v>
      </c>
      <c r="BI45" s="415">
        <f t="shared" si="94"/>
        <v>1844836.5868012086</v>
      </c>
      <c r="BJ45" s="300">
        <v>23</v>
      </c>
      <c r="BK45" s="231">
        <v>975.42393292492795</v>
      </c>
      <c r="BL45" s="231">
        <v>0</v>
      </c>
      <c r="BM45" s="231">
        <v>357.05586710524943</v>
      </c>
      <c r="BN45" s="231">
        <v>811.43624796976144</v>
      </c>
      <c r="BO45" s="231">
        <v>262.53174815447636</v>
      </c>
      <c r="BP45" s="231">
        <v>0</v>
      </c>
      <c r="BQ45" s="231">
        <v>334.85752645425805</v>
      </c>
      <c r="BR45" s="231">
        <v>0</v>
      </c>
      <c r="BS45" s="412">
        <f t="shared" si="95"/>
        <v>2741.3053226086731</v>
      </c>
      <c r="BT45" s="417">
        <v>0</v>
      </c>
      <c r="BU45" s="231">
        <v>-377765.62616346451</v>
      </c>
      <c r="BV45" s="231">
        <v>0</v>
      </c>
      <c r="BW45" s="231">
        <v>-140649.91325921775</v>
      </c>
      <c r="BX45" s="231">
        <v>0</v>
      </c>
      <c r="BY45" s="231">
        <v>-53340.386469794961</v>
      </c>
      <c r="BZ45" s="231">
        <v>0</v>
      </c>
      <c r="CA45" s="231">
        <v>-730.74911474368128</v>
      </c>
      <c r="CB45" s="414">
        <f t="shared" si="96"/>
        <v>-572486.67500722082</v>
      </c>
      <c r="CC45" s="415">
        <f t="shared" si="97"/>
        <v>-569745.36968461215</v>
      </c>
      <c r="CD45" s="300">
        <v>23</v>
      </c>
      <c r="CE45" s="414">
        <f t="shared" si="98"/>
        <v>206956.50129272955</v>
      </c>
      <c r="CF45" s="414">
        <f t="shared" si="99"/>
        <v>282422.7631535579</v>
      </c>
      <c r="CG45" s="414">
        <f t="shared" si="100"/>
        <v>342950.74595362565</v>
      </c>
      <c r="CH45" s="414">
        <f t="shared" si="101"/>
        <v>368161.13531738584</v>
      </c>
      <c r="CI45" s="416">
        <f t="shared" si="102"/>
        <v>1200491.1457172991</v>
      </c>
      <c r="CJ45" s="414">
        <f t="shared" si="103"/>
        <v>-432287.13072154048</v>
      </c>
      <c r="CK45" s="414">
        <f t="shared" si="104"/>
        <v>-114369.49637285472</v>
      </c>
      <c r="CL45" s="414">
        <f t="shared" si="105"/>
        <v>305460.01357602072</v>
      </c>
      <c r="CM45" s="414">
        <f t="shared" si="106"/>
        <v>675842.79221211141</v>
      </c>
      <c r="CN45" s="416">
        <f t="shared" si="107"/>
        <v>434646.1786937369</v>
      </c>
      <c r="CO45" s="414">
        <f t="shared" si="108"/>
        <v>-225330.62942881093</v>
      </c>
      <c r="CP45" s="414">
        <f t="shared" si="109"/>
        <v>168053.26678070321</v>
      </c>
      <c r="CQ45" s="414">
        <f t="shared" si="110"/>
        <v>648410.75952964625</v>
      </c>
      <c r="CR45" s="414">
        <f t="shared" si="111"/>
        <v>1044003.9275294972</v>
      </c>
      <c r="CS45" s="416">
        <f t="shared" si="112"/>
        <v>1635137.3244110357</v>
      </c>
      <c r="CU45" s="319"/>
    </row>
    <row r="46" spans="1:102" ht="15.75" customHeight="1">
      <c r="A46" s="88" t="s">
        <v>211</v>
      </c>
      <c r="B46" s="300">
        <v>24</v>
      </c>
      <c r="C46" s="231">
        <v>654.5</v>
      </c>
      <c r="D46" s="231">
        <v>0</v>
      </c>
      <c r="E46" s="231">
        <v>516.4</v>
      </c>
      <c r="F46" s="231">
        <v>0</v>
      </c>
      <c r="G46" s="231">
        <v>1458.46</v>
      </c>
      <c r="H46" s="231">
        <v>0</v>
      </c>
      <c r="I46" s="231">
        <v>1378.33</v>
      </c>
      <c r="J46" s="231">
        <v>0</v>
      </c>
      <c r="K46" s="412">
        <f t="shared" si="86"/>
        <v>4007.69</v>
      </c>
      <c r="L46" s="417">
        <v>0</v>
      </c>
      <c r="M46" s="231">
        <v>7694.5500000000011</v>
      </c>
      <c r="N46" s="231">
        <v>0</v>
      </c>
      <c r="O46" s="231">
        <v>8472.5899999999965</v>
      </c>
      <c r="P46" s="231">
        <v>0</v>
      </c>
      <c r="Q46" s="231">
        <v>12178.529999999999</v>
      </c>
      <c r="R46" s="231">
        <v>0</v>
      </c>
      <c r="S46" s="231">
        <v>13102.899999999998</v>
      </c>
      <c r="T46" s="414">
        <f t="shared" si="87"/>
        <v>41448.569999999992</v>
      </c>
      <c r="U46" s="415">
        <f t="shared" si="88"/>
        <v>45456.259999999995</v>
      </c>
      <c r="V46" s="300">
        <v>24</v>
      </c>
      <c r="W46" s="231">
        <v>0</v>
      </c>
      <c r="X46" s="231">
        <v>0</v>
      </c>
      <c r="Y46" s="231">
        <v>0</v>
      </c>
      <c r="Z46" s="231">
        <v>0</v>
      </c>
      <c r="AA46" s="231">
        <v>0</v>
      </c>
      <c r="AB46" s="231">
        <v>0</v>
      </c>
      <c r="AC46" s="231">
        <v>0</v>
      </c>
      <c r="AD46" s="231">
        <v>0</v>
      </c>
      <c r="AE46" s="412">
        <f t="shared" si="89"/>
        <v>0</v>
      </c>
      <c r="AF46" s="417">
        <v>0</v>
      </c>
      <c r="AG46" s="231">
        <v>2325.41</v>
      </c>
      <c r="AH46" s="231">
        <v>0</v>
      </c>
      <c r="AI46" s="231">
        <v>2725.01</v>
      </c>
      <c r="AJ46" s="231">
        <v>0</v>
      </c>
      <c r="AK46" s="231">
        <v>5967.010000000002</v>
      </c>
      <c r="AL46" s="231">
        <v>0</v>
      </c>
      <c r="AM46" s="231">
        <v>6017.68</v>
      </c>
      <c r="AN46" s="414">
        <f t="shared" si="90"/>
        <v>17035.11</v>
      </c>
      <c r="AO46" s="415">
        <f t="shared" si="91"/>
        <v>17035.11</v>
      </c>
      <c r="AP46" s="300">
        <v>24</v>
      </c>
      <c r="AQ46" s="231">
        <v>4258.1100000000006</v>
      </c>
      <c r="AR46" s="231">
        <v>0</v>
      </c>
      <c r="AS46" s="231">
        <v>5140.4299999999985</v>
      </c>
      <c r="AT46" s="231">
        <v>0</v>
      </c>
      <c r="AU46" s="231">
        <v>5773.8099999999986</v>
      </c>
      <c r="AV46" s="231">
        <v>0</v>
      </c>
      <c r="AW46" s="231">
        <v>8775.93</v>
      </c>
      <c r="AX46" s="231">
        <v>0</v>
      </c>
      <c r="AY46" s="412">
        <f t="shared" si="92"/>
        <v>23948.28</v>
      </c>
      <c r="AZ46" s="417">
        <v>0</v>
      </c>
      <c r="BA46" s="231">
        <v>145446.88999999981</v>
      </c>
      <c r="BB46" s="231">
        <v>0</v>
      </c>
      <c r="BC46" s="231">
        <v>142254.74999999988</v>
      </c>
      <c r="BD46" s="231">
        <v>0</v>
      </c>
      <c r="BE46" s="231">
        <v>156192.09000000029</v>
      </c>
      <c r="BF46" s="231">
        <v>0</v>
      </c>
      <c r="BG46" s="231">
        <v>182885.61999999994</v>
      </c>
      <c r="BH46" s="414">
        <f t="shared" si="93"/>
        <v>626779.34999999986</v>
      </c>
      <c r="BI46" s="415">
        <f t="shared" si="94"/>
        <v>650727.62999999989</v>
      </c>
      <c r="BJ46" s="300">
        <v>24</v>
      </c>
      <c r="BK46" s="231">
        <v>0</v>
      </c>
      <c r="BL46" s="231">
        <v>0</v>
      </c>
      <c r="BM46" s="231">
        <v>0</v>
      </c>
      <c r="BN46" s="231">
        <v>0</v>
      </c>
      <c r="BO46" s="231">
        <v>0</v>
      </c>
      <c r="BP46" s="231">
        <v>0</v>
      </c>
      <c r="BQ46" s="231">
        <v>0</v>
      </c>
      <c r="BR46" s="231">
        <v>0</v>
      </c>
      <c r="BS46" s="412">
        <f t="shared" si="95"/>
        <v>0</v>
      </c>
      <c r="BT46" s="417">
        <v>0</v>
      </c>
      <c r="BU46" s="231">
        <v>15.88</v>
      </c>
      <c r="BV46" s="231">
        <v>0</v>
      </c>
      <c r="BW46" s="231">
        <v>1330.49</v>
      </c>
      <c r="BX46" s="231">
        <v>0</v>
      </c>
      <c r="BY46" s="231">
        <v>2906.2100000000005</v>
      </c>
      <c r="BZ46" s="231">
        <v>0</v>
      </c>
      <c r="CA46" s="231">
        <v>4584.29</v>
      </c>
      <c r="CB46" s="414">
        <f t="shared" si="96"/>
        <v>8836.8700000000008</v>
      </c>
      <c r="CC46" s="415">
        <f t="shared" si="97"/>
        <v>8836.8700000000008</v>
      </c>
      <c r="CD46" s="300">
        <v>24</v>
      </c>
      <c r="CE46" s="414">
        <f t="shared" si="98"/>
        <v>4912.6100000000006</v>
      </c>
      <c r="CF46" s="414">
        <f t="shared" si="99"/>
        <v>5656.8299999999981</v>
      </c>
      <c r="CG46" s="414">
        <f t="shared" si="100"/>
        <v>7232.2699999999986</v>
      </c>
      <c r="CH46" s="414">
        <f t="shared" si="101"/>
        <v>10154.26</v>
      </c>
      <c r="CI46" s="416">
        <f t="shared" si="102"/>
        <v>27955.969999999998</v>
      </c>
      <c r="CJ46" s="414">
        <f t="shared" si="103"/>
        <v>155482.72999999981</v>
      </c>
      <c r="CK46" s="414">
        <f t="shared" si="104"/>
        <v>154782.83999999988</v>
      </c>
      <c r="CL46" s="414">
        <f t="shared" si="105"/>
        <v>177243.84000000029</v>
      </c>
      <c r="CM46" s="414">
        <f t="shared" si="106"/>
        <v>206590.48999999993</v>
      </c>
      <c r="CN46" s="416">
        <f t="shared" si="107"/>
        <v>694099.89999999979</v>
      </c>
      <c r="CO46" s="414">
        <f t="shared" si="108"/>
        <v>160395.33999999982</v>
      </c>
      <c r="CP46" s="414">
        <f t="shared" si="109"/>
        <v>160439.66999999987</v>
      </c>
      <c r="CQ46" s="414">
        <f t="shared" si="110"/>
        <v>184476.11000000028</v>
      </c>
      <c r="CR46" s="414">
        <f t="shared" si="111"/>
        <v>216744.74999999994</v>
      </c>
      <c r="CS46" s="416">
        <f t="shared" si="112"/>
        <v>722055.86999999988</v>
      </c>
    </row>
    <row r="47" spans="1:102" ht="15.75" customHeight="1">
      <c r="A47" s="88" t="s">
        <v>212</v>
      </c>
      <c r="B47" s="300">
        <v>25</v>
      </c>
      <c r="C47" s="231">
        <v>476.98437292621657</v>
      </c>
      <c r="D47" s="231">
        <v>0</v>
      </c>
      <c r="E47" s="231">
        <v>391.05758170339504</v>
      </c>
      <c r="F47" s="231">
        <v>0</v>
      </c>
      <c r="G47" s="231">
        <v>1153.9497104167372</v>
      </c>
      <c r="H47" s="231">
        <v>0</v>
      </c>
      <c r="I47" s="231">
        <v>1109.8013235493349</v>
      </c>
      <c r="J47" s="231">
        <v>0</v>
      </c>
      <c r="K47" s="412">
        <f t="shared" si="86"/>
        <v>3131.7929885956837</v>
      </c>
      <c r="L47" s="417">
        <v>0</v>
      </c>
      <c r="M47" s="231">
        <v>5117.3520536738961</v>
      </c>
      <c r="N47" s="231">
        <v>0</v>
      </c>
      <c r="O47" s="231">
        <v>5635.4099571706765</v>
      </c>
      <c r="P47" s="231">
        <v>0</v>
      </c>
      <c r="Q47" s="231">
        <v>9543.9706862152925</v>
      </c>
      <c r="R47" s="231">
        <v>0</v>
      </c>
      <c r="S47" s="231">
        <v>10539.947309416417</v>
      </c>
      <c r="T47" s="414">
        <f t="shared" si="87"/>
        <v>30836.680006476283</v>
      </c>
      <c r="U47" s="415">
        <f t="shared" si="88"/>
        <v>33968.472995071963</v>
      </c>
      <c r="V47" s="300">
        <v>25</v>
      </c>
      <c r="W47" s="231">
        <v>0</v>
      </c>
      <c r="X47" s="231">
        <v>0</v>
      </c>
      <c r="Y47" s="231">
        <v>0</v>
      </c>
      <c r="Z47" s="231">
        <v>0</v>
      </c>
      <c r="AA47" s="231">
        <v>0</v>
      </c>
      <c r="AB47" s="231">
        <v>0</v>
      </c>
      <c r="AC47" s="231">
        <v>0</v>
      </c>
      <c r="AD47" s="231">
        <v>0</v>
      </c>
      <c r="AE47" s="412">
        <f t="shared" si="89"/>
        <v>0</v>
      </c>
      <c r="AF47" s="417">
        <v>0</v>
      </c>
      <c r="AG47" s="231">
        <v>1546.5415962121001</v>
      </c>
      <c r="AH47" s="231">
        <v>0</v>
      </c>
      <c r="AI47" s="231">
        <v>1812.4975346841607</v>
      </c>
      <c r="AJ47" s="231">
        <v>0</v>
      </c>
      <c r="AK47" s="231">
        <v>4676.1775455948737</v>
      </c>
      <c r="AL47" s="231">
        <v>0</v>
      </c>
      <c r="AM47" s="231">
        <v>4840.6101034831227</v>
      </c>
      <c r="AN47" s="414">
        <f t="shared" si="90"/>
        <v>12875.826779974257</v>
      </c>
      <c r="AO47" s="415">
        <f t="shared" si="91"/>
        <v>12875.826779974257</v>
      </c>
      <c r="AP47" s="300">
        <v>25</v>
      </c>
      <c r="AQ47" s="231">
        <v>3103.2115022167341</v>
      </c>
      <c r="AR47" s="231">
        <v>0</v>
      </c>
      <c r="AS47" s="231">
        <v>3892.7268100611591</v>
      </c>
      <c r="AT47" s="231">
        <v>0</v>
      </c>
      <c r="AU47" s="231">
        <v>4568.3024405888809</v>
      </c>
      <c r="AV47" s="231">
        <v>0</v>
      </c>
      <c r="AW47" s="231">
        <v>7066.1878718277312</v>
      </c>
      <c r="AX47" s="231">
        <v>0</v>
      </c>
      <c r="AY47" s="412">
        <f t="shared" si="92"/>
        <v>18630.428624694505</v>
      </c>
      <c r="AZ47" s="417">
        <v>0</v>
      </c>
      <c r="BA47" s="231">
        <v>96731.185220965534</v>
      </c>
      <c r="BB47" s="231">
        <v>0</v>
      </c>
      <c r="BC47" s="231">
        <v>94618.509169548503</v>
      </c>
      <c r="BD47" s="231">
        <v>0</v>
      </c>
      <c r="BE47" s="231">
        <v>122403.33836503286</v>
      </c>
      <c r="BF47" s="231">
        <v>0</v>
      </c>
      <c r="BG47" s="231">
        <v>147112.83749780225</v>
      </c>
      <c r="BH47" s="414">
        <f t="shared" si="93"/>
        <v>460865.87025334919</v>
      </c>
      <c r="BI47" s="415">
        <f t="shared" si="94"/>
        <v>479496.29887804372</v>
      </c>
      <c r="BJ47" s="300">
        <v>25</v>
      </c>
      <c r="BK47" s="231">
        <v>0</v>
      </c>
      <c r="BL47" s="231">
        <v>0</v>
      </c>
      <c r="BM47" s="231">
        <v>0</v>
      </c>
      <c r="BN47" s="231">
        <v>0</v>
      </c>
      <c r="BO47" s="231">
        <v>0</v>
      </c>
      <c r="BP47" s="231">
        <v>0</v>
      </c>
      <c r="BQ47" s="231">
        <v>0</v>
      </c>
      <c r="BR47" s="231">
        <v>0</v>
      </c>
      <c r="BS47" s="412">
        <f t="shared" si="95"/>
        <v>0</v>
      </c>
      <c r="BT47" s="417">
        <v>0</v>
      </c>
      <c r="BU47" s="231">
        <v>10.561182994761419</v>
      </c>
      <c r="BV47" s="231">
        <v>0</v>
      </c>
      <c r="BW47" s="231">
        <v>884.95449371632719</v>
      </c>
      <c r="BX47" s="231">
        <v>0</v>
      </c>
      <c r="BY47" s="231">
        <v>2277.5148600024595</v>
      </c>
      <c r="BZ47" s="231">
        <v>0</v>
      </c>
      <c r="CA47" s="231">
        <v>3687.5939716463226</v>
      </c>
      <c r="CB47" s="414">
        <f t="shared" si="96"/>
        <v>6860.6245083598706</v>
      </c>
      <c r="CC47" s="415">
        <f t="shared" si="97"/>
        <v>6860.6245083598706</v>
      </c>
      <c r="CD47" s="300">
        <v>25</v>
      </c>
      <c r="CE47" s="414">
        <f t="shared" si="98"/>
        <v>3580.1958751429506</v>
      </c>
      <c r="CF47" s="414">
        <f t="shared" si="99"/>
        <v>4283.7843917645541</v>
      </c>
      <c r="CG47" s="414">
        <f t="shared" si="100"/>
        <v>5722.2521510056176</v>
      </c>
      <c r="CH47" s="414">
        <f t="shared" si="101"/>
        <v>8175.9891953770657</v>
      </c>
      <c r="CI47" s="416">
        <f t="shared" si="102"/>
        <v>21762.221613290189</v>
      </c>
      <c r="CJ47" s="414">
        <f t="shared" si="103"/>
        <v>103405.64005384629</v>
      </c>
      <c r="CK47" s="414">
        <f t="shared" si="104"/>
        <v>102951.37115511968</v>
      </c>
      <c r="CL47" s="414">
        <f t="shared" si="105"/>
        <v>138901.00145684549</v>
      </c>
      <c r="CM47" s="414">
        <f t="shared" si="106"/>
        <v>166180.98888234812</v>
      </c>
      <c r="CN47" s="416">
        <f t="shared" si="107"/>
        <v>511439.00154815958</v>
      </c>
      <c r="CO47" s="414">
        <f t="shared" si="108"/>
        <v>106985.83592898924</v>
      </c>
      <c r="CP47" s="414">
        <f t="shared" si="109"/>
        <v>107235.15554688423</v>
      </c>
      <c r="CQ47" s="414">
        <f t="shared" si="110"/>
        <v>144623.2536078511</v>
      </c>
      <c r="CR47" s="414">
        <f t="shared" si="111"/>
        <v>174356.97807772519</v>
      </c>
      <c r="CS47" s="416">
        <f t="shared" si="112"/>
        <v>533201.22316144989</v>
      </c>
    </row>
    <row r="48" spans="1:102" ht="15.75" customHeight="1">
      <c r="A48" s="88" t="s">
        <v>213</v>
      </c>
      <c r="B48" s="300">
        <v>26</v>
      </c>
      <c r="C48" s="231">
        <v>3502.3762525349766</v>
      </c>
      <c r="D48" s="231">
        <v>1097.2208801646841</v>
      </c>
      <c r="E48" s="231">
        <v>5725.2458542516379</v>
      </c>
      <c r="F48" s="231">
        <v>1642.1104254381894</v>
      </c>
      <c r="G48" s="231">
        <v>4222.6095248265055</v>
      </c>
      <c r="H48" s="231">
        <v>396.00312051623263</v>
      </c>
      <c r="I48" s="231">
        <v>2519.1541668342084</v>
      </c>
      <c r="J48" s="231">
        <v>709.12760103638936</v>
      </c>
      <c r="K48" s="412">
        <f t="shared" si="86"/>
        <v>19813.847825602825</v>
      </c>
      <c r="L48" s="417">
        <v>0</v>
      </c>
      <c r="M48" s="231">
        <v>14527.098007449242</v>
      </c>
      <c r="N48" s="231">
        <v>0</v>
      </c>
      <c r="O48" s="231">
        <v>26889.003306544946</v>
      </c>
      <c r="P48" s="231">
        <v>0</v>
      </c>
      <c r="Q48" s="231">
        <v>29339.544942164266</v>
      </c>
      <c r="R48" s="231">
        <v>0</v>
      </c>
      <c r="S48" s="231">
        <v>20822.066071922629</v>
      </c>
      <c r="T48" s="414">
        <f t="shared" si="87"/>
        <v>91577.712328081077</v>
      </c>
      <c r="U48" s="415">
        <f t="shared" si="88"/>
        <v>111391.56015368391</v>
      </c>
      <c r="V48" s="300">
        <v>26</v>
      </c>
      <c r="W48" s="231">
        <v>352.40276512093277</v>
      </c>
      <c r="X48" s="231">
        <v>3054.437315803842</v>
      </c>
      <c r="Y48" s="231">
        <v>135.53631807567152</v>
      </c>
      <c r="Z48" s="231">
        <v>793.83984835547653</v>
      </c>
      <c r="AA48" s="231">
        <v>75.355465259769886</v>
      </c>
      <c r="AB48" s="231">
        <v>65.838043867264943</v>
      </c>
      <c r="AC48" s="231">
        <v>189.25779898169381</v>
      </c>
      <c r="AD48" s="231">
        <v>0</v>
      </c>
      <c r="AE48" s="412">
        <f t="shared" si="89"/>
        <v>4666.6675554646508</v>
      </c>
      <c r="AF48" s="417">
        <v>0</v>
      </c>
      <c r="AG48" s="231">
        <v>16908.428621133586</v>
      </c>
      <c r="AH48" s="231">
        <v>0</v>
      </c>
      <c r="AI48" s="231">
        <v>14735.557935024523</v>
      </c>
      <c r="AJ48" s="231">
        <v>0</v>
      </c>
      <c r="AK48" s="231">
        <v>4838.4127793901816</v>
      </c>
      <c r="AL48" s="231">
        <v>0</v>
      </c>
      <c r="AM48" s="231">
        <v>8234.0565518447002</v>
      </c>
      <c r="AN48" s="414">
        <f t="shared" si="90"/>
        <v>44716.455887392993</v>
      </c>
      <c r="AO48" s="415">
        <f t="shared" si="91"/>
        <v>49383.123442857643</v>
      </c>
      <c r="AP48" s="300">
        <v>26</v>
      </c>
      <c r="AQ48" s="231">
        <v>34180.328039715801</v>
      </c>
      <c r="AR48" s="231">
        <v>11506.473314986297</v>
      </c>
      <c r="AS48" s="231">
        <v>24241.312586261178</v>
      </c>
      <c r="AT48" s="231">
        <v>10025.803918117132</v>
      </c>
      <c r="AU48" s="231">
        <v>8886.7289115264393</v>
      </c>
      <c r="AV48" s="231">
        <v>7058.9719510745745</v>
      </c>
      <c r="AW48" s="231">
        <v>12377.441769587929</v>
      </c>
      <c r="AX48" s="231">
        <v>5013.7978641030022</v>
      </c>
      <c r="AY48" s="412">
        <f t="shared" si="92"/>
        <v>113290.85835537236</v>
      </c>
      <c r="AZ48" s="417">
        <v>0</v>
      </c>
      <c r="BA48" s="231">
        <v>119430.38856745006</v>
      </c>
      <c r="BB48" s="231">
        <v>0</v>
      </c>
      <c r="BC48" s="231">
        <v>122316.83345132544</v>
      </c>
      <c r="BD48" s="231">
        <v>0</v>
      </c>
      <c r="BE48" s="231">
        <v>116165.72688581256</v>
      </c>
      <c r="BF48" s="231">
        <v>0</v>
      </c>
      <c r="BG48" s="231">
        <v>106932.82407651877</v>
      </c>
      <c r="BH48" s="414">
        <f t="shared" si="93"/>
        <v>464845.77298110683</v>
      </c>
      <c r="BI48" s="415">
        <f t="shared" si="94"/>
        <v>578136.63133647921</v>
      </c>
      <c r="BJ48" s="300">
        <v>26</v>
      </c>
      <c r="BK48" s="231">
        <v>0</v>
      </c>
      <c r="BL48" s="231">
        <v>1292.8435173328139</v>
      </c>
      <c r="BM48" s="231">
        <v>0</v>
      </c>
      <c r="BN48" s="231">
        <v>414.89667827742863</v>
      </c>
      <c r="BO48" s="231">
        <v>0</v>
      </c>
      <c r="BP48" s="231">
        <v>484.55433476054219</v>
      </c>
      <c r="BQ48" s="231">
        <v>0</v>
      </c>
      <c r="BR48" s="231">
        <v>584.46245682737663</v>
      </c>
      <c r="BS48" s="412">
        <f t="shared" si="95"/>
        <v>2776.7569871981614</v>
      </c>
      <c r="BT48" s="417">
        <v>0</v>
      </c>
      <c r="BU48" s="231">
        <v>5871.2094434806886</v>
      </c>
      <c r="BV48" s="231">
        <v>0</v>
      </c>
      <c r="BW48" s="231">
        <v>4529.0918876283331</v>
      </c>
      <c r="BX48" s="231">
        <v>0</v>
      </c>
      <c r="BY48" s="231">
        <v>4867.948588372733</v>
      </c>
      <c r="BZ48" s="231">
        <v>0</v>
      </c>
      <c r="CA48" s="231">
        <v>9120.9271666018376</v>
      </c>
      <c r="CB48" s="414">
        <f t="shared" si="96"/>
        <v>24389.17708608359</v>
      </c>
      <c r="CC48" s="415">
        <f t="shared" si="97"/>
        <v>27165.934073281751</v>
      </c>
      <c r="CD48" s="300">
        <v>26</v>
      </c>
      <c r="CE48" s="414">
        <f t="shared" si="98"/>
        <v>54986.082085659342</v>
      </c>
      <c r="CF48" s="414">
        <f t="shared" si="99"/>
        <v>42978.745628776713</v>
      </c>
      <c r="CG48" s="414">
        <f t="shared" si="100"/>
        <v>21190.061351831326</v>
      </c>
      <c r="CH48" s="414">
        <f t="shared" si="101"/>
        <v>21393.2416573706</v>
      </c>
      <c r="CI48" s="416">
        <f t="shared" si="102"/>
        <v>140548.13072363799</v>
      </c>
      <c r="CJ48" s="414">
        <f t="shared" si="103"/>
        <v>156737.12463951358</v>
      </c>
      <c r="CK48" s="414">
        <f t="shared" si="104"/>
        <v>168470.48658052325</v>
      </c>
      <c r="CL48" s="414">
        <f t="shared" si="105"/>
        <v>155211.63319573973</v>
      </c>
      <c r="CM48" s="414">
        <f t="shared" si="106"/>
        <v>145109.87386688794</v>
      </c>
      <c r="CN48" s="416">
        <f t="shared" si="107"/>
        <v>625529.11828266445</v>
      </c>
      <c r="CO48" s="414">
        <f t="shared" si="108"/>
        <v>211723.2067251729</v>
      </c>
      <c r="CP48" s="414">
        <f t="shared" si="109"/>
        <v>211449.23220929998</v>
      </c>
      <c r="CQ48" s="414">
        <f t="shared" si="110"/>
        <v>176401.6945475711</v>
      </c>
      <c r="CR48" s="414">
        <f t="shared" si="111"/>
        <v>166503.11552425852</v>
      </c>
      <c r="CS48" s="416">
        <f t="shared" si="112"/>
        <v>766077.24900630245</v>
      </c>
    </row>
    <row r="49" spans="1:97" ht="15.75" customHeight="1">
      <c r="A49" s="88" t="s">
        <v>214</v>
      </c>
      <c r="B49" s="300">
        <v>27</v>
      </c>
      <c r="C49" s="231">
        <v>0</v>
      </c>
      <c r="D49" s="231">
        <v>50465.520058605609</v>
      </c>
      <c r="E49" s="231">
        <v>25210.125507231744</v>
      </c>
      <c r="F49" s="231">
        <v>299873.26796348824</v>
      </c>
      <c r="G49" s="231">
        <v>16622.603590213879</v>
      </c>
      <c r="H49" s="231">
        <v>342212.79547185241</v>
      </c>
      <c r="I49" s="231">
        <v>0</v>
      </c>
      <c r="J49" s="231">
        <v>119152.15756897835</v>
      </c>
      <c r="K49" s="412">
        <f t="shared" si="86"/>
        <v>853536.47016037023</v>
      </c>
      <c r="L49" s="417">
        <v>0</v>
      </c>
      <c r="M49" s="231">
        <v>5402.453341052018</v>
      </c>
      <c r="N49" s="231">
        <v>0</v>
      </c>
      <c r="O49" s="231">
        <v>218879.8539518347</v>
      </c>
      <c r="P49" s="231">
        <v>0</v>
      </c>
      <c r="Q49" s="231">
        <v>121798.44339585547</v>
      </c>
      <c r="R49" s="231">
        <v>0</v>
      </c>
      <c r="S49" s="231">
        <v>74348.413383689156</v>
      </c>
      <c r="T49" s="414">
        <f t="shared" si="87"/>
        <v>420429.16407243139</v>
      </c>
      <c r="U49" s="415">
        <f t="shared" si="88"/>
        <v>1273965.6342328016</v>
      </c>
      <c r="V49" s="300">
        <v>27</v>
      </c>
      <c r="W49" s="231">
        <v>0</v>
      </c>
      <c r="X49" s="231">
        <v>193.11247501235067</v>
      </c>
      <c r="Y49" s="231">
        <v>0</v>
      </c>
      <c r="Z49" s="231">
        <v>0</v>
      </c>
      <c r="AA49" s="231">
        <v>0</v>
      </c>
      <c r="AB49" s="231">
        <v>0</v>
      </c>
      <c r="AC49" s="231">
        <v>0</v>
      </c>
      <c r="AD49" s="231">
        <v>0</v>
      </c>
      <c r="AE49" s="412">
        <f t="shared" si="89"/>
        <v>193.11247501235067</v>
      </c>
      <c r="AF49" s="417">
        <v>0</v>
      </c>
      <c r="AG49" s="231">
        <v>14648.3406235331</v>
      </c>
      <c r="AH49" s="231">
        <v>0</v>
      </c>
      <c r="AI49" s="231">
        <v>0</v>
      </c>
      <c r="AJ49" s="231">
        <v>0</v>
      </c>
      <c r="AK49" s="231">
        <v>105.53108284487713</v>
      </c>
      <c r="AL49" s="231">
        <v>0</v>
      </c>
      <c r="AM49" s="231">
        <v>0</v>
      </c>
      <c r="AN49" s="414">
        <f t="shared" si="90"/>
        <v>14753.871706377977</v>
      </c>
      <c r="AO49" s="415">
        <f t="shared" si="91"/>
        <v>14946.984181390328</v>
      </c>
      <c r="AP49" s="300">
        <v>27</v>
      </c>
      <c r="AQ49" s="231">
        <v>14291.923254280184</v>
      </c>
      <c r="AR49" s="231">
        <v>240840.98826107517</v>
      </c>
      <c r="AS49" s="231">
        <v>23151.677060203008</v>
      </c>
      <c r="AT49" s="231">
        <v>38814.294414715005</v>
      </c>
      <c r="AU49" s="231">
        <v>5249.7573797137102</v>
      </c>
      <c r="AV49" s="231">
        <v>51330.428392094036</v>
      </c>
      <c r="AW49" s="231">
        <v>31839.638322245522</v>
      </c>
      <c r="AX49" s="231">
        <v>47691.340115400744</v>
      </c>
      <c r="AY49" s="412">
        <f t="shared" si="92"/>
        <v>453210.04719972733</v>
      </c>
      <c r="AZ49" s="417">
        <v>0</v>
      </c>
      <c r="BA49" s="231">
        <v>433780.24339751544</v>
      </c>
      <c r="BB49" s="231">
        <v>0</v>
      </c>
      <c r="BC49" s="231">
        <v>300381.34082048555</v>
      </c>
      <c r="BD49" s="231">
        <v>0</v>
      </c>
      <c r="BE49" s="231">
        <v>248665.73327863051</v>
      </c>
      <c r="BF49" s="231">
        <v>0</v>
      </c>
      <c r="BG49" s="231">
        <v>404508.03347851604</v>
      </c>
      <c r="BH49" s="414">
        <f t="shared" si="93"/>
        <v>1387335.3509751474</v>
      </c>
      <c r="BI49" s="415">
        <f t="shared" si="94"/>
        <v>1840545.3981748747</v>
      </c>
      <c r="BJ49" s="300">
        <v>27</v>
      </c>
      <c r="BK49" s="231">
        <v>26006.239995894215</v>
      </c>
      <c r="BL49" s="231">
        <v>1151616.7441224153</v>
      </c>
      <c r="BM49" s="231">
        <v>0</v>
      </c>
      <c r="BN49" s="231">
        <v>907401.33617677516</v>
      </c>
      <c r="BO49" s="231">
        <v>8656.4314340087476</v>
      </c>
      <c r="BP49" s="231">
        <v>1067501.7416915759</v>
      </c>
      <c r="BQ49" s="231">
        <v>36972.341928881775</v>
      </c>
      <c r="BR49" s="231">
        <v>1324922.0765399029</v>
      </c>
      <c r="BS49" s="412">
        <f t="shared" si="95"/>
        <v>4523076.9118894543</v>
      </c>
      <c r="BT49" s="417">
        <v>0</v>
      </c>
      <c r="BU49" s="231">
        <v>90487.922609614907</v>
      </c>
      <c r="BV49" s="231">
        <v>0</v>
      </c>
      <c r="BW49" s="231">
        <v>188574.76197119401</v>
      </c>
      <c r="BX49" s="231">
        <v>0</v>
      </c>
      <c r="BY49" s="231">
        <v>76250.085693234156</v>
      </c>
      <c r="BZ49" s="231">
        <v>0</v>
      </c>
      <c r="CA49" s="231">
        <v>104474.45232514571</v>
      </c>
      <c r="CB49" s="414">
        <f t="shared" si="96"/>
        <v>459787.2225991888</v>
      </c>
      <c r="CC49" s="415">
        <f t="shared" si="97"/>
        <v>4982864.1344886431</v>
      </c>
      <c r="CD49" s="300">
        <v>27</v>
      </c>
      <c r="CE49" s="414">
        <f t="shared" si="98"/>
        <v>1483414.5281672827</v>
      </c>
      <c r="CF49" s="414">
        <f t="shared" si="99"/>
        <v>1294450.7011224132</v>
      </c>
      <c r="CG49" s="414">
        <f t="shared" si="100"/>
        <v>1491573.7579594585</v>
      </c>
      <c r="CH49" s="414">
        <f t="shared" si="101"/>
        <v>1560577.5544754094</v>
      </c>
      <c r="CI49" s="416">
        <f t="shared" si="102"/>
        <v>5830016.5417245645</v>
      </c>
      <c r="CJ49" s="414">
        <f t="shared" si="103"/>
        <v>544318.95997171546</v>
      </c>
      <c r="CK49" s="414">
        <f t="shared" si="104"/>
        <v>707835.95674351417</v>
      </c>
      <c r="CL49" s="414">
        <f t="shared" si="105"/>
        <v>446819.79345056502</v>
      </c>
      <c r="CM49" s="414">
        <f t="shared" si="106"/>
        <v>583330.89918735088</v>
      </c>
      <c r="CN49" s="416">
        <f t="shared" si="107"/>
        <v>2282305.6093531456</v>
      </c>
      <c r="CO49" s="414">
        <f t="shared" si="108"/>
        <v>2027733.4881389984</v>
      </c>
      <c r="CP49" s="414">
        <f t="shared" si="109"/>
        <v>2002286.6578659276</v>
      </c>
      <c r="CQ49" s="414">
        <f t="shared" si="110"/>
        <v>1938393.5514100236</v>
      </c>
      <c r="CR49" s="414">
        <f t="shared" si="111"/>
        <v>2143908.4536627606</v>
      </c>
      <c r="CS49" s="416">
        <f t="shared" si="112"/>
        <v>8112322.1510777092</v>
      </c>
    </row>
    <row r="50" spans="1:97" ht="15.75" customHeight="1">
      <c r="A50" s="88" t="s">
        <v>215</v>
      </c>
      <c r="B50" s="300">
        <v>28</v>
      </c>
      <c r="C50" s="231">
        <v>10884.863159142551</v>
      </c>
      <c r="D50" s="231">
        <v>17404.354316463963</v>
      </c>
      <c r="E50" s="231">
        <v>58827.756699794503</v>
      </c>
      <c r="F50" s="231">
        <v>94308.544329787415</v>
      </c>
      <c r="G50" s="231">
        <v>34555.174206810727</v>
      </c>
      <c r="H50" s="231">
        <v>86009.851680927517</v>
      </c>
      <c r="I50" s="231">
        <v>27139.489144110576</v>
      </c>
      <c r="J50" s="231">
        <v>35383.326053844132</v>
      </c>
      <c r="K50" s="412">
        <f t="shared" si="86"/>
        <v>364513.35959088139</v>
      </c>
      <c r="L50" s="417">
        <v>0</v>
      </c>
      <c r="M50" s="231">
        <v>0</v>
      </c>
      <c r="N50" s="231">
        <v>0</v>
      </c>
      <c r="O50" s="231">
        <v>0</v>
      </c>
      <c r="P50" s="231">
        <v>0</v>
      </c>
      <c r="Q50" s="231">
        <v>0</v>
      </c>
      <c r="R50" s="231">
        <v>0</v>
      </c>
      <c r="S50" s="231">
        <v>0</v>
      </c>
      <c r="T50" s="414">
        <f t="shared" si="87"/>
        <v>0</v>
      </c>
      <c r="U50" s="415">
        <f t="shared" si="88"/>
        <v>364513.35959088139</v>
      </c>
      <c r="V50" s="300">
        <v>28</v>
      </c>
      <c r="W50" s="231">
        <v>0</v>
      </c>
      <c r="X50" s="231">
        <v>1580.5721045197818</v>
      </c>
      <c r="Y50" s="231">
        <v>0</v>
      </c>
      <c r="Z50" s="231">
        <v>0</v>
      </c>
      <c r="AA50" s="231">
        <v>0</v>
      </c>
      <c r="AB50" s="231">
        <v>0</v>
      </c>
      <c r="AC50" s="231">
        <v>0</v>
      </c>
      <c r="AD50" s="231">
        <v>0</v>
      </c>
      <c r="AE50" s="412">
        <f t="shared" si="89"/>
        <v>1580.5721045197818</v>
      </c>
      <c r="AF50" s="417">
        <v>0</v>
      </c>
      <c r="AG50" s="231">
        <v>0</v>
      </c>
      <c r="AH50" s="231">
        <v>0</v>
      </c>
      <c r="AI50" s="231">
        <v>0</v>
      </c>
      <c r="AJ50" s="231">
        <v>0</v>
      </c>
      <c r="AK50" s="231">
        <v>0</v>
      </c>
      <c r="AL50" s="231">
        <v>0</v>
      </c>
      <c r="AM50" s="231">
        <v>0</v>
      </c>
      <c r="AN50" s="414">
        <f t="shared" si="90"/>
        <v>0</v>
      </c>
      <c r="AO50" s="415">
        <f t="shared" si="91"/>
        <v>1580.5721045197818</v>
      </c>
      <c r="AP50" s="300">
        <v>28</v>
      </c>
      <c r="AQ50" s="231">
        <v>589617.70914055628</v>
      </c>
      <c r="AR50" s="231">
        <v>2459350.0733329342</v>
      </c>
      <c r="AS50" s="231">
        <v>509769.25828108797</v>
      </c>
      <c r="AT50" s="231">
        <v>2375823.0259851408</v>
      </c>
      <c r="AU50" s="231">
        <v>487891.98489707301</v>
      </c>
      <c r="AV50" s="231">
        <v>2510306.3028212981</v>
      </c>
      <c r="AW50" s="231">
        <v>489615.48221382109</v>
      </c>
      <c r="AX50" s="231">
        <v>2548544.4748469107</v>
      </c>
      <c r="AY50" s="412">
        <f t="shared" si="92"/>
        <v>11970918.311518822</v>
      </c>
      <c r="AZ50" s="417">
        <v>0</v>
      </c>
      <c r="BA50" s="231">
        <v>0</v>
      </c>
      <c r="BB50" s="231">
        <v>0</v>
      </c>
      <c r="BC50" s="231">
        <v>0</v>
      </c>
      <c r="BD50" s="231">
        <v>0</v>
      </c>
      <c r="BE50" s="231">
        <v>0</v>
      </c>
      <c r="BF50" s="231">
        <v>0</v>
      </c>
      <c r="BG50" s="231">
        <v>0</v>
      </c>
      <c r="BH50" s="414">
        <f t="shared" si="93"/>
        <v>0</v>
      </c>
      <c r="BI50" s="415">
        <f t="shared" si="94"/>
        <v>11970918.311518822</v>
      </c>
      <c r="BJ50" s="300">
        <v>28</v>
      </c>
      <c r="BK50" s="231">
        <v>0</v>
      </c>
      <c r="BL50" s="231">
        <v>4856.9837598044178</v>
      </c>
      <c r="BM50" s="231">
        <v>0</v>
      </c>
      <c r="BN50" s="231">
        <v>59.045029194918122</v>
      </c>
      <c r="BO50" s="231">
        <v>0</v>
      </c>
      <c r="BP50" s="231">
        <v>5235.9485761304968</v>
      </c>
      <c r="BQ50" s="231">
        <v>0</v>
      </c>
      <c r="BR50" s="231">
        <v>20131.80064060694</v>
      </c>
      <c r="BS50" s="412">
        <f t="shared" si="95"/>
        <v>30283.778005736771</v>
      </c>
      <c r="BT50" s="417">
        <v>0</v>
      </c>
      <c r="BU50" s="231">
        <v>0</v>
      </c>
      <c r="BV50" s="231">
        <v>0</v>
      </c>
      <c r="BW50" s="231">
        <v>0</v>
      </c>
      <c r="BX50" s="231">
        <v>0</v>
      </c>
      <c r="BY50" s="231">
        <v>0</v>
      </c>
      <c r="BZ50" s="231">
        <v>0</v>
      </c>
      <c r="CA50" s="231">
        <v>0</v>
      </c>
      <c r="CB50" s="414">
        <f t="shared" si="96"/>
        <v>0</v>
      </c>
      <c r="CC50" s="415">
        <f t="shared" si="97"/>
        <v>30283.778005736771</v>
      </c>
      <c r="CD50" s="300">
        <v>28</v>
      </c>
      <c r="CE50" s="414">
        <f t="shared" si="98"/>
        <v>3083694.5558134215</v>
      </c>
      <c r="CF50" s="414">
        <f t="shared" si="99"/>
        <v>3038787.6303250059</v>
      </c>
      <c r="CG50" s="414">
        <f t="shared" si="100"/>
        <v>3123999.2621822399</v>
      </c>
      <c r="CH50" s="414">
        <f t="shared" si="101"/>
        <v>3120814.5728992932</v>
      </c>
      <c r="CI50" s="416">
        <f t="shared" si="102"/>
        <v>12367296.021219959</v>
      </c>
      <c r="CJ50" s="414">
        <f t="shared" si="103"/>
        <v>0</v>
      </c>
      <c r="CK50" s="414">
        <f t="shared" si="104"/>
        <v>0</v>
      </c>
      <c r="CL50" s="414">
        <f t="shared" si="105"/>
        <v>0</v>
      </c>
      <c r="CM50" s="414">
        <f t="shared" si="106"/>
        <v>0</v>
      </c>
      <c r="CN50" s="416">
        <f t="shared" si="107"/>
        <v>0</v>
      </c>
      <c r="CO50" s="414">
        <f t="shared" si="108"/>
        <v>3083694.5558134215</v>
      </c>
      <c r="CP50" s="414">
        <f t="shared" si="109"/>
        <v>3038787.6303250059</v>
      </c>
      <c r="CQ50" s="414">
        <f t="shared" si="110"/>
        <v>3123999.2621822399</v>
      </c>
      <c r="CR50" s="414">
        <f t="shared" si="111"/>
        <v>3120814.5728992932</v>
      </c>
      <c r="CS50" s="416">
        <f t="shared" si="112"/>
        <v>12367296.021219958</v>
      </c>
    </row>
    <row r="51" spans="1:97" ht="15.75" customHeight="1">
      <c r="A51" s="88" t="s">
        <v>216</v>
      </c>
      <c r="B51" s="300">
        <v>29</v>
      </c>
      <c r="C51" s="231">
        <v>2066.3334845702689</v>
      </c>
      <c r="D51" s="231">
        <v>4705.0439445344718</v>
      </c>
      <c r="E51" s="231">
        <v>3355.2470463615687</v>
      </c>
      <c r="F51" s="231">
        <v>19068.641724675199</v>
      </c>
      <c r="G51" s="231">
        <v>6385.9887528630561</v>
      </c>
      <c r="H51" s="231">
        <v>607.40645630434415</v>
      </c>
      <c r="I51" s="231">
        <v>2294.2530865822937</v>
      </c>
      <c r="J51" s="231">
        <v>438.50682600041449</v>
      </c>
      <c r="K51" s="412">
        <f t="shared" si="86"/>
        <v>38921.421321891612</v>
      </c>
      <c r="L51" s="417">
        <v>0</v>
      </c>
      <c r="M51" s="231">
        <v>14239.420617912761</v>
      </c>
      <c r="N51" s="231">
        <v>0</v>
      </c>
      <c r="O51" s="231">
        <v>20329.50243007407</v>
      </c>
      <c r="P51" s="231">
        <v>0</v>
      </c>
      <c r="Q51" s="231">
        <v>15903.723568491356</v>
      </c>
      <c r="R51" s="231">
        <v>0</v>
      </c>
      <c r="S51" s="231">
        <v>6841.9989811811483</v>
      </c>
      <c r="T51" s="414">
        <f t="shared" si="87"/>
        <v>57314.645597659328</v>
      </c>
      <c r="U51" s="415">
        <f t="shared" si="88"/>
        <v>96236.06691955094</v>
      </c>
      <c r="V51" s="300">
        <v>29</v>
      </c>
      <c r="W51" s="231">
        <v>0</v>
      </c>
      <c r="X51" s="231">
        <v>145.39939276046434</v>
      </c>
      <c r="Y51" s="231">
        <v>0</v>
      </c>
      <c r="Z51" s="231">
        <v>316.67513708574666</v>
      </c>
      <c r="AA51" s="231">
        <v>0</v>
      </c>
      <c r="AB51" s="231">
        <v>0</v>
      </c>
      <c r="AC51" s="231">
        <v>0</v>
      </c>
      <c r="AD51" s="231">
        <v>0</v>
      </c>
      <c r="AE51" s="412">
        <f t="shared" si="89"/>
        <v>462.07452984621102</v>
      </c>
      <c r="AF51" s="417">
        <v>0</v>
      </c>
      <c r="AG51" s="231">
        <v>1332.0783490734686</v>
      </c>
      <c r="AH51" s="231">
        <v>0</v>
      </c>
      <c r="AI51" s="231">
        <v>3454.8034842934917</v>
      </c>
      <c r="AJ51" s="231">
        <v>0</v>
      </c>
      <c r="AK51" s="231">
        <v>2175.9993514052985</v>
      </c>
      <c r="AL51" s="231">
        <v>0</v>
      </c>
      <c r="AM51" s="231">
        <v>4452.6392762416153</v>
      </c>
      <c r="AN51" s="414">
        <f t="shared" si="90"/>
        <v>11415.520461013875</v>
      </c>
      <c r="AO51" s="415">
        <f t="shared" si="91"/>
        <v>11877.594990860087</v>
      </c>
      <c r="AP51" s="300">
        <v>29</v>
      </c>
      <c r="AQ51" s="231">
        <v>22575.128347032882</v>
      </c>
      <c r="AR51" s="231">
        <v>50465.980088323398</v>
      </c>
      <c r="AS51" s="231">
        <v>29028.223925017519</v>
      </c>
      <c r="AT51" s="231">
        <v>37818.946763723128</v>
      </c>
      <c r="AU51" s="231">
        <v>28556.937462570291</v>
      </c>
      <c r="AV51" s="231">
        <v>50786.417811337662</v>
      </c>
      <c r="AW51" s="231">
        <v>23654.980026555921</v>
      </c>
      <c r="AX51" s="231">
        <v>64666.9784800204</v>
      </c>
      <c r="AY51" s="412">
        <f t="shared" si="92"/>
        <v>307553.59290458116</v>
      </c>
      <c r="AZ51" s="417">
        <v>0</v>
      </c>
      <c r="BA51" s="231">
        <v>146571.59996076697</v>
      </c>
      <c r="BB51" s="231">
        <v>0</v>
      </c>
      <c r="BC51" s="231">
        <v>148179.01782038997</v>
      </c>
      <c r="BD51" s="231">
        <v>0</v>
      </c>
      <c r="BE51" s="231">
        <v>138039.60250100709</v>
      </c>
      <c r="BF51" s="231">
        <v>0</v>
      </c>
      <c r="BG51" s="231">
        <v>128984.67808101678</v>
      </c>
      <c r="BH51" s="414">
        <f t="shared" si="93"/>
        <v>561774.89836318081</v>
      </c>
      <c r="BI51" s="415">
        <f t="shared" si="94"/>
        <v>869328.49126776191</v>
      </c>
      <c r="BJ51" s="300">
        <v>29</v>
      </c>
      <c r="BK51" s="231">
        <v>0</v>
      </c>
      <c r="BL51" s="231">
        <v>1045.8475614625381</v>
      </c>
      <c r="BM51" s="231">
        <v>0</v>
      </c>
      <c r="BN51" s="231">
        <v>618.05602012676798</v>
      </c>
      <c r="BO51" s="231">
        <v>0</v>
      </c>
      <c r="BP51" s="231">
        <v>5202.361224183559</v>
      </c>
      <c r="BQ51" s="231">
        <v>0</v>
      </c>
      <c r="BR51" s="231">
        <v>4711.0382056418393</v>
      </c>
      <c r="BS51" s="412">
        <f t="shared" si="95"/>
        <v>11577.303011414704</v>
      </c>
      <c r="BT51" s="417">
        <v>0</v>
      </c>
      <c r="BU51" s="231">
        <v>11430.885079690383</v>
      </c>
      <c r="BV51" s="231">
        <v>0</v>
      </c>
      <c r="BW51" s="231">
        <v>11504.539075472558</v>
      </c>
      <c r="BX51" s="231">
        <v>0</v>
      </c>
      <c r="BY51" s="231">
        <v>7374.2211434962564</v>
      </c>
      <c r="BZ51" s="231">
        <v>0</v>
      </c>
      <c r="CA51" s="231">
        <v>27443.640801290225</v>
      </c>
      <c r="CB51" s="414">
        <f t="shared" si="96"/>
        <v>57753.286099949415</v>
      </c>
      <c r="CC51" s="415">
        <f t="shared" si="97"/>
        <v>69330.589111364126</v>
      </c>
      <c r="CD51" s="300">
        <v>29</v>
      </c>
      <c r="CE51" s="414">
        <f t="shared" si="98"/>
        <v>81003.732818684017</v>
      </c>
      <c r="CF51" s="414">
        <f t="shared" si="99"/>
        <v>90205.790616989922</v>
      </c>
      <c r="CG51" s="414">
        <f t="shared" si="100"/>
        <v>91539.111707258926</v>
      </c>
      <c r="CH51" s="414">
        <f t="shared" si="101"/>
        <v>95765.756624800881</v>
      </c>
      <c r="CI51" s="416">
        <f t="shared" si="102"/>
        <v>358514.39176773373</v>
      </c>
      <c r="CJ51" s="414">
        <f t="shared" si="103"/>
        <v>173573.98400744356</v>
      </c>
      <c r="CK51" s="414">
        <f t="shared" si="104"/>
        <v>183467.86281023009</v>
      </c>
      <c r="CL51" s="414">
        <f t="shared" si="105"/>
        <v>163493.54656439999</v>
      </c>
      <c r="CM51" s="414">
        <f t="shared" si="106"/>
        <v>167722.95713972978</v>
      </c>
      <c r="CN51" s="416">
        <f t="shared" si="107"/>
        <v>688258.35052180337</v>
      </c>
      <c r="CO51" s="414">
        <f t="shared" si="108"/>
        <v>254577.71682612761</v>
      </c>
      <c r="CP51" s="414">
        <f t="shared" si="109"/>
        <v>273673.65342722007</v>
      </c>
      <c r="CQ51" s="414">
        <f t="shared" si="110"/>
        <v>255032.6582716589</v>
      </c>
      <c r="CR51" s="414">
        <f t="shared" si="111"/>
        <v>263488.71376453061</v>
      </c>
      <c r="CS51" s="416">
        <f t="shared" si="112"/>
        <v>1046772.7422895371</v>
      </c>
    </row>
    <row r="52" spans="1:97" ht="15.75" customHeight="1">
      <c r="A52" s="88" t="s">
        <v>217</v>
      </c>
      <c r="B52" s="300">
        <v>30</v>
      </c>
      <c r="C52" s="231">
        <v>8205.3900659235405</v>
      </c>
      <c r="D52" s="231">
        <v>28209.302313109169</v>
      </c>
      <c r="E52" s="231">
        <v>88837.875738214847</v>
      </c>
      <c r="F52" s="231">
        <v>104248.09786367463</v>
      </c>
      <c r="G52" s="231">
        <v>87398.922850690098</v>
      </c>
      <c r="H52" s="231">
        <v>80226.797100821117</v>
      </c>
      <c r="I52" s="231">
        <v>34665.899632403714</v>
      </c>
      <c r="J52" s="231">
        <v>42872.549294280267</v>
      </c>
      <c r="K52" s="412">
        <f t="shared" si="86"/>
        <v>474664.83485911728</v>
      </c>
      <c r="L52" s="417">
        <v>0</v>
      </c>
      <c r="M52" s="231">
        <v>0</v>
      </c>
      <c r="N52" s="231">
        <v>0</v>
      </c>
      <c r="O52" s="231">
        <v>0</v>
      </c>
      <c r="P52" s="231">
        <v>0</v>
      </c>
      <c r="Q52" s="231">
        <v>0</v>
      </c>
      <c r="R52" s="231">
        <v>0</v>
      </c>
      <c r="S52" s="231">
        <v>0</v>
      </c>
      <c r="T52" s="414">
        <f t="shared" si="87"/>
        <v>0</v>
      </c>
      <c r="U52" s="415">
        <f t="shared" si="88"/>
        <v>474664.83485911728</v>
      </c>
      <c r="V52" s="300">
        <v>30</v>
      </c>
      <c r="W52" s="231">
        <v>0</v>
      </c>
      <c r="X52" s="231">
        <v>0</v>
      </c>
      <c r="Y52" s="231">
        <v>0</v>
      </c>
      <c r="Z52" s="231">
        <v>4952.2854652792093</v>
      </c>
      <c r="AA52" s="231">
        <v>0</v>
      </c>
      <c r="AB52" s="231">
        <v>1693.9100564335067</v>
      </c>
      <c r="AC52" s="231">
        <v>0</v>
      </c>
      <c r="AD52" s="231">
        <v>0</v>
      </c>
      <c r="AE52" s="412">
        <f t="shared" si="89"/>
        <v>6646.1955217127161</v>
      </c>
      <c r="AF52" s="417">
        <v>0</v>
      </c>
      <c r="AG52" s="231">
        <v>0</v>
      </c>
      <c r="AH52" s="231">
        <v>0</v>
      </c>
      <c r="AI52" s="231">
        <v>0</v>
      </c>
      <c r="AJ52" s="231">
        <v>0</v>
      </c>
      <c r="AK52" s="231">
        <v>0</v>
      </c>
      <c r="AL52" s="231">
        <v>0</v>
      </c>
      <c r="AM52" s="231">
        <v>0</v>
      </c>
      <c r="AN52" s="414">
        <f t="shared" si="90"/>
        <v>0</v>
      </c>
      <c r="AO52" s="415">
        <f t="shared" si="91"/>
        <v>6646.1955217127161</v>
      </c>
      <c r="AP52" s="300">
        <v>30</v>
      </c>
      <c r="AQ52" s="231">
        <v>747916.58520406252</v>
      </c>
      <c r="AR52" s="231">
        <v>1586423.2725035974</v>
      </c>
      <c r="AS52" s="231">
        <v>739973.74585249461</v>
      </c>
      <c r="AT52" s="231">
        <v>1644189.5031113646</v>
      </c>
      <c r="AU52" s="231">
        <v>777523.94169719284</v>
      </c>
      <c r="AV52" s="231">
        <v>1843202.2379106369</v>
      </c>
      <c r="AW52" s="231">
        <v>971549.92365413264</v>
      </c>
      <c r="AX52" s="231">
        <v>2013660.6338184797</v>
      </c>
      <c r="AY52" s="412">
        <f t="shared" si="92"/>
        <v>10324439.84375196</v>
      </c>
      <c r="AZ52" s="417">
        <v>0</v>
      </c>
      <c r="BA52" s="231">
        <v>0</v>
      </c>
      <c r="BB52" s="231">
        <v>0</v>
      </c>
      <c r="BC52" s="231">
        <v>-274.38933913154654</v>
      </c>
      <c r="BD52" s="231">
        <v>0</v>
      </c>
      <c r="BE52" s="231">
        <v>0</v>
      </c>
      <c r="BF52" s="231">
        <v>0</v>
      </c>
      <c r="BG52" s="231">
        <v>0</v>
      </c>
      <c r="BH52" s="414">
        <f t="shared" si="93"/>
        <v>-274.38933913154654</v>
      </c>
      <c r="BI52" s="415">
        <f t="shared" si="94"/>
        <v>10324165.454412827</v>
      </c>
      <c r="BJ52" s="300">
        <v>30</v>
      </c>
      <c r="BK52" s="231">
        <v>0</v>
      </c>
      <c r="BL52" s="231">
        <v>0</v>
      </c>
      <c r="BM52" s="231">
        <v>0</v>
      </c>
      <c r="BN52" s="231">
        <v>0</v>
      </c>
      <c r="BO52" s="231">
        <v>0</v>
      </c>
      <c r="BP52" s="231">
        <v>0</v>
      </c>
      <c r="BQ52" s="231">
        <v>2689.742159325544</v>
      </c>
      <c r="BR52" s="231">
        <v>0</v>
      </c>
      <c r="BS52" s="412">
        <f t="shared" si="95"/>
        <v>2689.742159325544</v>
      </c>
      <c r="BT52" s="417">
        <v>0</v>
      </c>
      <c r="BU52" s="231">
        <v>0</v>
      </c>
      <c r="BV52" s="231">
        <v>0</v>
      </c>
      <c r="BW52" s="231">
        <v>0</v>
      </c>
      <c r="BX52" s="231">
        <v>0</v>
      </c>
      <c r="BY52" s="231">
        <v>0</v>
      </c>
      <c r="BZ52" s="231">
        <v>0</v>
      </c>
      <c r="CA52" s="231">
        <v>0</v>
      </c>
      <c r="CB52" s="414">
        <f t="shared" si="96"/>
        <v>0</v>
      </c>
      <c r="CC52" s="415">
        <f t="shared" si="97"/>
        <v>2689.742159325544</v>
      </c>
      <c r="CD52" s="300">
        <v>30</v>
      </c>
      <c r="CE52" s="414">
        <f t="shared" si="98"/>
        <v>2370754.5500866929</v>
      </c>
      <c r="CF52" s="414">
        <f t="shared" si="99"/>
        <v>2582201.5080310279</v>
      </c>
      <c r="CG52" s="414">
        <f t="shared" si="100"/>
        <v>2790045.8096157745</v>
      </c>
      <c r="CH52" s="414">
        <f t="shared" si="101"/>
        <v>3065438.7485586219</v>
      </c>
      <c r="CI52" s="416">
        <f t="shared" si="102"/>
        <v>10808440.616292115</v>
      </c>
      <c r="CJ52" s="414">
        <f t="shared" si="103"/>
        <v>0</v>
      </c>
      <c r="CK52" s="414">
        <f t="shared" si="104"/>
        <v>-274.38933913154654</v>
      </c>
      <c r="CL52" s="414">
        <f t="shared" si="105"/>
        <v>0</v>
      </c>
      <c r="CM52" s="414">
        <f t="shared" si="106"/>
        <v>0</v>
      </c>
      <c r="CN52" s="416">
        <f t="shared" si="107"/>
        <v>-274.38933913154654</v>
      </c>
      <c r="CO52" s="414">
        <f t="shared" si="108"/>
        <v>2370754.5500866929</v>
      </c>
      <c r="CP52" s="414">
        <f t="shared" si="109"/>
        <v>2581927.1186918961</v>
      </c>
      <c r="CQ52" s="414">
        <f t="shared" si="110"/>
        <v>2790045.8096157745</v>
      </c>
      <c r="CR52" s="414">
        <f t="shared" si="111"/>
        <v>3065438.7485586219</v>
      </c>
      <c r="CS52" s="416">
        <f t="shared" si="112"/>
        <v>10808166.226952983</v>
      </c>
    </row>
    <row r="53" spans="1:97" ht="15.75" customHeight="1">
      <c r="A53" s="88" t="s">
        <v>218</v>
      </c>
      <c r="B53" s="300">
        <v>31</v>
      </c>
      <c r="C53" s="231">
        <v>1029.9065316764329</v>
      </c>
      <c r="D53" s="231">
        <v>3671.0371479820656</v>
      </c>
      <c r="E53" s="231">
        <v>17992.048353735001</v>
      </c>
      <c r="F53" s="231">
        <v>9767.5031852125612</v>
      </c>
      <c r="G53" s="231">
        <v>18114.738283081046</v>
      </c>
      <c r="H53" s="231">
        <v>1256.6614265246233</v>
      </c>
      <c r="I53" s="231">
        <v>11953.226792190311</v>
      </c>
      <c r="J53" s="231">
        <v>6162.0519093095072</v>
      </c>
      <c r="K53" s="412">
        <f t="shared" si="86"/>
        <v>69947.173629711557</v>
      </c>
      <c r="L53" s="417">
        <v>0</v>
      </c>
      <c r="M53" s="231">
        <v>0</v>
      </c>
      <c r="N53" s="231">
        <v>0</v>
      </c>
      <c r="O53" s="231">
        <v>0</v>
      </c>
      <c r="P53" s="231">
        <v>0</v>
      </c>
      <c r="Q53" s="231">
        <v>0</v>
      </c>
      <c r="R53" s="231">
        <v>0</v>
      </c>
      <c r="S53" s="231">
        <v>0</v>
      </c>
      <c r="T53" s="414">
        <f t="shared" si="87"/>
        <v>0</v>
      </c>
      <c r="U53" s="415">
        <f t="shared" si="88"/>
        <v>69947.173629711557</v>
      </c>
      <c r="V53" s="300">
        <v>31</v>
      </c>
      <c r="W53" s="231">
        <v>0</v>
      </c>
      <c r="X53" s="231">
        <v>0</v>
      </c>
      <c r="Y53" s="231">
        <v>0</v>
      </c>
      <c r="Z53" s="231">
        <v>0</v>
      </c>
      <c r="AA53" s="231">
        <v>0</v>
      </c>
      <c r="AB53" s="231">
        <v>0</v>
      </c>
      <c r="AC53" s="231">
        <v>0</v>
      </c>
      <c r="AD53" s="231">
        <v>0</v>
      </c>
      <c r="AE53" s="412">
        <f t="shared" si="89"/>
        <v>0</v>
      </c>
      <c r="AF53" s="417">
        <v>0</v>
      </c>
      <c r="AG53" s="231">
        <v>0</v>
      </c>
      <c r="AH53" s="231">
        <v>0</v>
      </c>
      <c r="AI53" s="231">
        <v>0</v>
      </c>
      <c r="AJ53" s="231">
        <v>0</v>
      </c>
      <c r="AK53" s="231">
        <v>0</v>
      </c>
      <c r="AL53" s="231">
        <v>0</v>
      </c>
      <c r="AM53" s="231">
        <v>0</v>
      </c>
      <c r="AN53" s="414">
        <f t="shared" si="90"/>
        <v>0</v>
      </c>
      <c r="AO53" s="415">
        <f t="shared" si="91"/>
        <v>0</v>
      </c>
      <c r="AP53" s="300">
        <v>31</v>
      </c>
      <c r="AQ53" s="231">
        <v>352190.39140164928</v>
      </c>
      <c r="AR53" s="231">
        <v>556357.2805260889</v>
      </c>
      <c r="AS53" s="231">
        <v>320549.24770617246</v>
      </c>
      <c r="AT53" s="231">
        <v>680992.93650964368</v>
      </c>
      <c r="AU53" s="231">
        <v>317761.57510727004</v>
      </c>
      <c r="AV53" s="231">
        <v>746339.18087268341</v>
      </c>
      <c r="AW53" s="231">
        <v>329252.3170244784</v>
      </c>
      <c r="AX53" s="231">
        <v>713182.56517706951</v>
      </c>
      <c r="AY53" s="412">
        <f t="shared" si="92"/>
        <v>4016625.4943250557</v>
      </c>
      <c r="AZ53" s="417">
        <v>0</v>
      </c>
      <c r="BA53" s="231">
        <v>0</v>
      </c>
      <c r="BB53" s="231">
        <v>0</v>
      </c>
      <c r="BC53" s="231">
        <v>0</v>
      </c>
      <c r="BD53" s="231">
        <v>0</v>
      </c>
      <c r="BE53" s="231">
        <v>1122.0383859865099</v>
      </c>
      <c r="BF53" s="231">
        <v>0</v>
      </c>
      <c r="BG53" s="231">
        <v>3497.236219690993</v>
      </c>
      <c r="BH53" s="414">
        <f t="shared" si="93"/>
        <v>4619.2746056775031</v>
      </c>
      <c r="BI53" s="415">
        <f t="shared" si="94"/>
        <v>4021244.7689307332</v>
      </c>
      <c r="BJ53" s="300">
        <v>31</v>
      </c>
      <c r="BK53" s="231">
        <v>0</v>
      </c>
      <c r="BL53" s="231">
        <v>0</v>
      </c>
      <c r="BM53" s="231">
        <v>0</v>
      </c>
      <c r="BN53" s="231">
        <v>0</v>
      </c>
      <c r="BO53" s="231">
        <v>0</v>
      </c>
      <c r="BP53" s="231">
        <v>0</v>
      </c>
      <c r="BQ53" s="231">
        <v>0</v>
      </c>
      <c r="BR53" s="231">
        <v>0</v>
      </c>
      <c r="BS53" s="412">
        <f t="shared" si="95"/>
        <v>0</v>
      </c>
      <c r="BT53" s="417">
        <v>0</v>
      </c>
      <c r="BU53" s="231">
        <v>0</v>
      </c>
      <c r="BV53" s="231">
        <v>0</v>
      </c>
      <c r="BW53" s="231">
        <v>0</v>
      </c>
      <c r="BX53" s="231">
        <v>0</v>
      </c>
      <c r="BY53" s="231">
        <v>0</v>
      </c>
      <c r="BZ53" s="231">
        <v>0</v>
      </c>
      <c r="CA53" s="231">
        <v>0</v>
      </c>
      <c r="CB53" s="414">
        <f t="shared" si="96"/>
        <v>0</v>
      </c>
      <c r="CC53" s="415">
        <f t="shared" si="97"/>
        <v>0</v>
      </c>
      <c r="CD53" s="300">
        <v>31</v>
      </c>
      <c r="CE53" s="414">
        <f t="shared" si="98"/>
        <v>913248.6156073967</v>
      </c>
      <c r="CF53" s="414">
        <f t="shared" si="99"/>
        <v>1029301.7357547637</v>
      </c>
      <c r="CG53" s="414">
        <f t="shared" si="100"/>
        <v>1083472.1556895592</v>
      </c>
      <c r="CH53" s="414">
        <f t="shared" si="101"/>
        <v>1060550.1609030478</v>
      </c>
      <c r="CI53" s="416">
        <f t="shared" si="102"/>
        <v>4086572.6679547671</v>
      </c>
      <c r="CJ53" s="414">
        <f t="shared" si="103"/>
        <v>0</v>
      </c>
      <c r="CK53" s="414">
        <f t="shared" si="104"/>
        <v>0</v>
      </c>
      <c r="CL53" s="414">
        <f t="shared" si="105"/>
        <v>1122.0383859865099</v>
      </c>
      <c r="CM53" s="414">
        <f t="shared" si="106"/>
        <v>3497.236219690993</v>
      </c>
      <c r="CN53" s="416">
        <f t="shared" si="107"/>
        <v>4619.2746056775031</v>
      </c>
      <c r="CO53" s="414">
        <f t="shared" si="108"/>
        <v>913248.6156073967</v>
      </c>
      <c r="CP53" s="414">
        <f t="shared" si="109"/>
        <v>1029301.7357547637</v>
      </c>
      <c r="CQ53" s="414">
        <f t="shared" si="110"/>
        <v>1084594.1940755458</v>
      </c>
      <c r="CR53" s="414">
        <f t="shared" si="111"/>
        <v>1064047.3971227387</v>
      </c>
      <c r="CS53" s="416">
        <f t="shared" si="112"/>
        <v>4091191.9425604446</v>
      </c>
    </row>
    <row r="54" spans="1:97" ht="15.75" customHeight="1">
      <c r="A54" s="88" t="s">
        <v>219</v>
      </c>
      <c r="B54" s="300">
        <v>32</v>
      </c>
      <c r="C54" s="231">
        <v>0</v>
      </c>
      <c r="D54" s="231">
        <v>0</v>
      </c>
      <c r="E54" s="231">
        <v>0</v>
      </c>
      <c r="F54" s="231">
        <v>0</v>
      </c>
      <c r="G54" s="231">
        <v>0</v>
      </c>
      <c r="H54" s="231">
        <v>0</v>
      </c>
      <c r="I54" s="231">
        <v>0</v>
      </c>
      <c r="J54" s="231">
        <v>0</v>
      </c>
      <c r="K54" s="412">
        <f t="shared" si="86"/>
        <v>0</v>
      </c>
      <c r="L54" s="417">
        <v>0</v>
      </c>
      <c r="M54" s="231">
        <v>0</v>
      </c>
      <c r="N54" s="231">
        <v>0</v>
      </c>
      <c r="O54" s="231">
        <v>0</v>
      </c>
      <c r="P54" s="231">
        <v>0</v>
      </c>
      <c r="Q54" s="231">
        <v>0</v>
      </c>
      <c r="R54" s="231">
        <v>0</v>
      </c>
      <c r="S54" s="231">
        <v>0</v>
      </c>
      <c r="T54" s="414">
        <f t="shared" si="87"/>
        <v>0</v>
      </c>
      <c r="U54" s="415">
        <f t="shared" si="88"/>
        <v>0</v>
      </c>
      <c r="V54" s="300">
        <v>32</v>
      </c>
      <c r="W54" s="231">
        <v>0</v>
      </c>
      <c r="X54" s="231">
        <v>0</v>
      </c>
      <c r="Y54" s="231">
        <v>0</v>
      </c>
      <c r="Z54" s="231">
        <v>0</v>
      </c>
      <c r="AA54" s="231">
        <v>0</v>
      </c>
      <c r="AB54" s="231">
        <v>0</v>
      </c>
      <c r="AC54" s="231">
        <v>0</v>
      </c>
      <c r="AD54" s="231">
        <v>0</v>
      </c>
      <c r="AE54" s="412">
        <f t="shared" si="89"/>
        <v>0</v>
      </c>
      <c r="AF54" s="417">
        <v>0</v>
      </c>
      <c r="AG54" s="231">
        <v>0</v>
      </c>
      <c r="AH54" s="231">
        <v>0</v>
      </c>
      <c r="AI54" s="231">
        <v>0</v>
      </c>
      <c r="AJ54" s="231">
        <v>0</v>
      </c>
      <c r="AK54" s="231">
        <v>0</v>
      </c>
      <c r="AL54" s="231">
        <v>0</v>
      </c>
      <c r="AM54" s="231">
        <v>0</v>
      </c>
      <c r="AN54" s="414">
        <f t="shared" si="90"/>
        <v>0</v>
      </c>
      <c r="AO54" s="415">
        <f t="shared" si="91"/>
        <v>0</v>
      </c>
      <c r="AP54" s="300">
        <v>32</v>
      </c>
      <c r="AQ54" s="231">
        <v>0</v>
      </c>
      <c r="AR54" s="231">
        <v>0</v>
      </c>
      <c r="AS54" s="231">
        <v>0</v>
      </c>
      <c r="AT54" s="231">
        <v>0</v>
      </c>
      <c r="AU54" s="231">
        <v>0</v>
      </c>
      <c r="AV54" s="231">
        <v>0</v>
      </c>
      <c r="AW54" s="231">
        <v>0</v>
      </c>
      <c r="AX54" s="231">
        <v>0</v>
      </c>
      <c r="AY54" s="412">
        <f t="shared" si="92"/>
        <v>0</v>
      </c>
      <c r="AZ54" s="417">
        <v>0</v>
      </c>
      <c r="BA54" s="231">
        <v>0</v>
      </c>
      <c r="BB54" s="231">
        <v>0</v>
      </c>
      <c r="BC54" s="231">
        <v>0</v>
      </c>
      <c r="BD54" s="231">
        <v>0</v>
      </c>
      <c r="BE54" s="231">
        <v>0</v>
      </c>
      <c r="BF54" s="231">
        <v>0</v>
      </c>
      <c r="BG54" s="231">
        <v>0</v>
      </c>
      <c r="BH54" s="414">
        <f t="shared" si="93"/>
        <v>0</v>
      </c>
      <c r="BI54" s="415">
        <f t="shared" si="94"/>
        <v>0</v>
      </c>
      <c r="BJ54" s="300">
        <v>32</v>
      </c>
      <c r="BK54" s="231">
        <v>0</v>
      </c>
      <c r="BL54" s="231">
        <v>0</v>
      </c>
      <c r="BM54" s="231">
        <v>0</v>
      </c>
      <c r="BN54" s="231">
        <v>0</v>
      </c>
      <c r="BO54" s="231">
        <v>0</v>
      </c>
      <c r="BP54" s="231">
        <v>0</v>
      </c>
      <c r="BQ54" s="231">
        <v>0</v>
      </c>
      <c r="BR54" s="231">
        <v>0</v>
      </c>
      <c r="BS54" s="412">
        <f t="shared" si="95"/>
        <v>0</v>
      </c>
      <c r="BT54" s="417">
        <v>0</v>
      </c>
      <c r="BU54" s="231">
        <v>0</v>
      </c>
      <c r="BV54" s="231">
        <v>0</v>
      </c>
      <c r="BW54" s="231">
        <v>0</v>
      </c>
      <c r="BX54" s="231">
        <v>0</v>
      </c>
      <c r="BY54" s="231">
        <v>0</v>
      </c>
      <c r="BZ54" s="231">
        <v>0</v>
      </c>
      <c r="CA54" s="231">
        <v>0</v>
      </c>
      <c r="CB54" s="414">
        <f t="shared" si="96"/>
        <v>0</v>
      </c>
      <c r="CC54" s="415">
        <f t="shared" si="97"/>
        <v>0</v>
      </c>
      <c r="CD54" s="300">
        <v>32</v>
      </c>
      <c r="CE54" s="414">
        <f t="shared" si="98"/>
        <v>0</v>
      </c>
      <c r="CF54" s="414">
        <f t="shared" si="99"/>
        <v>0</v>
      </c>
      <c r="CG54" s="414">
        <f t="shared" si="100"/>
        <v>0</v>
      </c>
      <c r="CH54" s="414">
        <f t="shared" si="101"/>
        <v>0</v>
      </c>
      <c r="CI54" s="416">
        <f t="shared" si="102"/>
        <v>0</v>
      </c>
      <c r="CJ54" s="414">
        <f t="shared" si="103"/>
        <v>0</v>
      </c>
      <c r="CK54" s="414">
        <f t="shared" si="104"/>
        <v>0</v>
      </c>
      <c r="CL54" s="414">
        <f t="shared" si="105"/>
        <v>0</v>
      </c>
      <c r="CM54" s="414">
        <f t="shared" si="106"/>
        <v>0</v>
      </c>
      <c r="CN54" s="416">
        <f t="shared" si="107"/>
        <v>0</v>
      </c>
      <c r="CO54" s="414">
        <f t="shared" si="108"/>
        <v>0</v>
      </c>
      <c r="CP54" s="414">
        <f t="shared" si="109"/>
        <v>0</v>
      </c>
      <c r="CQ54" s="414">
        <f t="shared" si="110"/>
        <v>0</v>
      </c>
      <c r="CR54" s="414">
        <f t="shared" si="111"/>
        <v>0</v>
      </c>
      <c r="CS54" s="416">
        <f t="shared" si="112"/>
        <v>0</v>
      </c>
    </row>
    <row r="55" spans="1:97" ht="15.75" customHeight="1">
      <c r="A55" s="88" t="s">
        <v>220</v>
      </c>
      <c r="B55" s="300">
        <v>33</v>
      </c>
      <c r="C55" s="231">
        <v>6110.1047110704767</v>
      </c>
      <c r="D55" s="231">
        <v>79531.977743714175</v>
      </c>
      <c r="E55" s="231">
        <v>6788.8871540309174</v>
      </c>
      <c r="F55" s="231">
        <v>221653.39806783825</v>
      </c>
      <c r="G55" s="231">
        <v>10704.898100058077</v>
      </c>
      <c r="H55" s="231">
        <v>170478.2830992848</v>
      </c>
      <c r="I55" s="231">
        <v>4333.6297942439842</v>
      </c>
      <c r="J55" s="231">
        <v>108066.74157531759</v>
      </c>
      <c r="K55" s="412">
        <f t="shared" si="86"/>
        <v>607667.92024555826</v>
      </c>
      <c r="L55" s="417">
        <v>0</v>
      </c>
      <c r="M55" s="231">
        <v>26836.199340495852</v>
      </c>
      <c r="N55" s="231">
        <v>0</v>
      </c>
      <c r="O55" s="231">
        <v>68401.296606925534</v>
      </c>
      <c r="P55" s="231">
        <v>0</v>
      </c>
      <c r="Q55" s="231">
        <v>36961.063007458768</v>
      </c>
      <c r="R55" s="231">
        <v>0</v>
      </c>
      <c r="S55" s="231">
        <v>31166.760602211067</v>
      </c>
      <c r="T55" s="414">
        <f t="shared" si="87"/>
        <v>163365.31955709122</v>
      </c>
      <c r="U55" s="415">
        <f t="shared" si="88"/>
        <v>771033.23980264948</v>
      </c>
      <c r="V55" s="300">
        <v>33</v>
      </c>
      <c r="W55" s="231">
        <v>0</v>
      </c>
      <c r="X55" s="231">
        <v>28970.101460523187</v>
      </c>
      <c r="Y55" s="231">
        <v>0</v>
      </c>
      <c r="Z55" s="231">
        <v>28935.797785063984</v>
      </c>
      <c r="AA55" s="231">
        <v>0</v>
      </c>
      <c r="AB55" s="231">
        <v>38570.701928265982</v>
      </c>
      <c r="AC55" s="231">
        <v>0</v>
      </c>
      <c r="AD55" s="231">
        <v>43751.127228217716</v>
      </c>
      <c r="AE55" s="412">
        <f t="shared" si="89"/>
        <v>140227.72840207088</v>
      </c>
      <c r="AF55" s="417">
        <v>0</v>
      </c>
      <c r="AG55" s="231">
        <v>10946.114669172421</v>
      </c>
      <c r="AH55" s="231">
        <v>0</v>
      </c>
      <c r="AI55" s="231">
        <v>9358.1158740273331</v>
      </c>
      <c r="AJ55" s="231">
        <v>0</v>
      </c>
      <c r="AK55" s="231">
        <v>8389.8016750053521</v>
      </c>
      <c r="AL55" s="231">
        <v>0</v>
      </c>
      <c r="AM55" s="231">
        <v>10228.936337956</v>
      </c>
      <c r="AN55" s="414">
        <f t="shared" si="90"/>
        <v>38922.968556161104</v>
      </c>
      <c r="AO55" s="415">
        <f t="shared" si="91"/>
        <v>179150.69695823197</v>
      </c>
      <c r="AP55" s="300">
        <v>33</v>
      </c>
      <c r="AQ55" s="231">
        <v>109927.46128352458</v>
      </c>
      <c r="AR55" s="231">
        <v>1166902.1315542073</v>
      </c>
      <c r="AS55" s="231">
        <v>118348.93966379749</v>
      </c>
      <c r="AT55" s="231">
        <v>1187842.0932943274</v>
      </c>
      <c r="AU55" s="231">
        <v>88483.627487324702</v>
      </c>
      <c r="AV55" s="231">
        <v>1253437.7643431465</v>
      </c>
      <c r="AW55" s="231">
        <v>89561.682414375697</v>
      </c>
      <c r="AX55" s="231">
        <v>1241189.7415507298</v>
      </c>
      <c r="AY55" s="412">
        <f t="shared" si="92"/>
        <v>5255693.4415914332</v>
      </c>
      <c r="AZ55" s="417">
        <v>0</v>
      </c>
      <c r="BA55" s="231">
        <v>768493.95641114214</v>
      </c>
      <c r="BB55" s="231">
        <v>0</v>
      </c>
      <c r="BC55" s="231">
        <v>656232.79090406466</v>
      </c>
      <c r="BD55" s="231">
        <v>0</v>
      </c>
      <c r="BE55" s="231">
        <v>648352.77233203338</v>
      </c>
      <c r="BF55" s="231">
        <v>0</v>
      </c>
      <c r="BG55" s="231">
        <v>704545.38003853324</v>
      </c>
      <c r="BH55" s="414">
        <f t="shared" si="93"/>
        <v>2777624.8996857735</v>
      </c>
      <c r="BI55" s="415">
        <f t="shared" si="94"/>
        <v>8033318.3412772063</v>
      </c>
      <c r="BJ55" s="300">
        <v>33</v>
      </c>
      <c r="BK55" s="231">
        <v>60.003876233770278</v>
      </c>
      <c r="BL55" s="231">
        <v>11407.836943104016</v>
      </c>
      <c r="BM55" s="231">
        <v>0</v>
      </c>
      <c r="BN55" s="231">
        <v>10035.903330637502</v>
      </c>
      <c r="BO55" s="231">
        <v>0</v>
      </c>
      <c r="BP55" s="231">
        <v>5965.1418459875085</v>
      </c>
      <c r="BQ55" s="231">
        <v>17.796246447827798</v>
      </c>
      <c r="BR55" s="231">
        <v>7826.3564708033673</v>
      </c>
      <c r="BS55" s="412">
        <f t="shared" si="95"/>
        <v>35313.038713213995</v>
      </c>
      <c r="BT55" s="417">
        <v>0</v>
      </c>
      <c r="BU55" s="231">
        <v>16311.237967882658</v>
      </c>
      <c r="BV55" s="231">
        <v>0</v>
      </c>
      <c r="BW55" s="231">
        <v>13001.134438169229</v>
      </c>
      <c r="BX55" s="231">
        <v>0</v>
      </c>
      <c r="BY55" s="231">
        <v>7348.4629362764799</v>
      </c>
      <c r="BZ55" s="231">
        <v>0</v>
      </c>
      <c r="CA55" s="231">
        <v>11706.088017034584</v>
      </c>
      <c r="CB55" s="414">
        <f t="shared" si="96"/>
        <v>48366.923359362954</v>
      </c>
      <c r="CC55" s="415">
        <f t="shared" si="97"/>
        <v>83679.962072576949</v>
      </c>
      <c r="CD55" s="300">
        <v>33</v>
      </c>
      <c r="CE55" s="414">
        <f t="shared" si="98"/>
        <v>1402909.6175723774</v>
      </c>
      <c r="CF55" s="414">
        <f t="shared" si="99"/>
        <v>1573605.0192956957</v>
      </c>
      <c r="CG55" s="414">
        <f t="shared" si="100"/>
        <v>1567640.4168040676</v>
      </c>
      <c r="CH55" s="414">
        <f t="shared" si="101"/>
        <v>1494747.075280136</v>
      </c>
      <c r="CI55" s="416">
        <f t="shared" si="102"/>
        <v>6038902.1289522769</v>
      </c>
      <c r="CJ55" s="414">
        <f t="shared" si="103"/>
        <v>822587.5083886931</v>
      </c>
      <c r="CK55" s="414">
        <f t="shared" si="104"/>
        <v>746993.33782318677</v>
      </c>
      <c r="CL55" s="414">
        <f t="shared" si="105"/>
        <v>701052.09995077399</v>
      </c>
      <c r="CM55" s="414">
        <f t="shared" si="106"/>
        <v>757647.16499573493</v>
      </c>
      <c r="CN55" s="416">
        <f t="shared" si="107"/>
        <v>3028280.1111583887</v>
      </c>
      <c r="CO55" s="414">
        <f t="shared" si="108"/>
        <v>2225497.1259610709</v>
      </c>
      <c r="CP55" s="414">
        <f t="shared" si="109"/>
        <v>2320598.3571188822</v>
      </c>
      <c r="CQ55" s="414">
        <f t="shared" si="110"/>
        <v>2268692.5167548419</v>
      </c>
      <c r="CR55" s="414">
        <f t="shared" si="111"/>
        <v>2252394.240275871</v>
      </c>
      <c r="CS55" s="416">
        <f t="shared" si="112"/>
        <v>9067182.2401106656</v>
      </c>
    </row>
    <row r="56" spans="1:97" ht="15.75" customHeight="1">
      <c r="A56" s="88" t="s">
        <v>221</v>
      </c>
      <c r="B56" s="300">
        <v>34</v>
      </c>
      <c r="C56" s="231">
        <v>2525.9331745828326</v>
      </c>
      <c r="D56" s="231">
        <v>26430.987434460993</v>
      </c>
      <c r="E56" s="231">
        <v>6908.6387609622616</v>
      </c>
      <c r="F56" s="231">
        <v>36319.028859855229</v>
      </c>
      <c r="G56" s="231">
        <v>6720.8974650951941</v>
      </c>
      <c r="H56" s="231">
        <v>25890.029357440508</v>
      </c>
      <c r="I56" s="231">
        <v>4001.8191855312321</v>
      </c>
      <c r="J56" s="231">
        <v>25029.45564975305</v>
      </c>
      <c r="K56" s="412">
        <f t="shared" si="86"/>
        <v>133826.78988768131</v>
      </c>
      <c r="L56" s="417">
        <v>0</v>
      </c>
      <c r="M56" s="231">
        <v>11358.185522418091</v>
      </c>
      <c r="N56" s="231">
        <v>0</v>
      </c>
      <c r="O56" s="231">
        <v>34633.287559517674</v>
      </c>
      <c r="P56" s="231">
        <v>0</v>
      </c>
      <c r="Q56" s="231">
        <v>29733.181119450139</v>
      </c>
      <c r="R56" s="231">
        <v>0</v>
      </c>
      <c r="S56" s="231">
        <v>21009.989456089985</v>
      </c>
      <c r="T56" s="414">
        <f t="shared" si="87"/>
        <v>96734.643657475885</v>
      </c>
      <c r="U56" s="415">
        <f t="shared" si="88"/>
        <v>230561.4335451572</v>
      </c>
      <c r="V56" s="300">
        <v>34</v>
      </c>
      <c r="W56" s="231">
        <v>298.15926100560449</v>
      </c>
      <c r="X56" s="231">
        <v>14081.229643531336</v>
      </c>
      <c r="Y56" s="231">
        <v>0</v>
      </c>
      <c r="Z56" s="231">
        <v>11601.152122038096</v>
      </c>
      <c r="AA56" s="231">
        <v>0</v>
      </c>
      <c r="AB56" s="231">
        <v>10710.445741672291</v>
      </c>
      <c r="AC56" s="231">
        <v>342.0292296753754</v>
      </c>
      <c r="AD56" s="231">
        <v>9180.5675325487755</v>
      </c>
      <c r="AE56" s="412">
        <f t="shared" si="89"/>
        <v>46213.583530471478</v>
      </c>
      <c r="AF56" s="417">
        <v>0</v>
      </c>
      <c r="AG56" s="231">
        <v>4900.1782215045578</v>
      </c>
      <c r="AH56" s="231">
        <v>0</v>
      </c>
      <c r="AI56" s="231">
        <v>2615.3582181085121</v>
      </c>
      <c r="AJ56" s="231">
        <v>0</v>
      </c>
      <c r="AK56" s="231">
        <v>2823.1881590085795</v>
      </c>
      <c r="AL56" s="231">
        <v>0</v>
      </c>
      <c r="AM56" s="231">
        <v>4381.0353238794178</v>
      </c>
      <c r="AN56" s="414">
        <f t="shared" si="90"/>
        <v>14719.759922501067</v>
      </c>
      <c r="AO56" s="415">
        <f t="shared" si="91"/>
        <v>60933.343452972549</v>
      </c>
      <c r="AP56" s="300">
        <v>34</v>
      </c>
      <c r="AQ56" s="231">
        <v>25490.136655761522</v>
      </c>
      <c r="AR56" s="231">
        <v>228310.04876585747</v>
      </c>
      <c r="AS56" s="231">
        <v>25460.739075799695</v>
      </c>
      <c r="AT56" s="231">
        <v>238416.28085534266</v>
      </c>
      <c r="AU56" s="231">
        <v>34060.760748094472</v>
      </c>
      <c r="AV56" s="231">
        <v>235778.70823374015</v>
      </c>
      <c r="AW56" s="231">
        <v>41185.054760959698</v>
      </c>
      <c r="AX56" s="231">
        <v>238132.55901285031</v>
      </c>
      <c r="AY56" s="412">
        <f t="shared" si="92"/>
        <v>1066834.2881084059</v>
      </c>
      <c r="AZ56" s="417">
        <v>0</v>
      </c>
      <c r="BA56" s="231">
        <v>171618.33790928466</v>
      </c>
      <c r="BB56" s="231">
        <v>0</v>
      </c>
      <c r="BC56" s="231">
        <v>154283.95774297448</v>
      </c>
      <c r="BD56" s="231">
        <v>0</v>
      </c>
      <c r="BE56" s="231">
        <v>149727.83478398781</v>
      </c>
      <c r="BF56" s="231">
        <v>0</v>
      </c>
      <c r="BG56" s="231">
        <v>152047.54887163301</v>
      </c>
      <c r="BH56" s="414">
        <f t="shared" si="93"/>
        <v>627677.67930788</v>
      </c>
      <c r="BI56" s="415">
        <f t="shared" si="94"/>
        <v>1694511.967416286</v>
      </c>
      <c r="BJ56" s="300">
        <v>34</v>
      </c>
      <c r="BK56" s="231">
        <v>0</v>
      </c>
      <c r="BL56" s="231">
        <v>5188.4751740578804</v>
      </c>
      <c r="BM56" s="231">
        <v>0</v>
      </c>
      <c r="BN56" s="231">
        <v>4897.4543634094407</v>
      </c>
      <c r="BO56" s="231">
        <v>0</v>
      </c>
      <c r="BP56" s="231">
        <v>3369.3279741529595</v>
      </c>
      <c r="BQ56" s="231">
        <v>288.42717915871594</v>
      </c>
      <c r="BR56" s="231">
        <v>3030.603256385908</v>
      </c>
      <c r="BS56" s="412">
        <f t="shared" si="95"/>
        <v>16774.287947164903</v>
      </c>
      <c r="BT56" s="417">
        <v>0</v>
      </c>
      <c r="BU56" s="231">
        <v>13848.925568882338</v>
      </c>
      <c r="BV56" s="231">
        <v>0</v>
      </c>
      <c r="BW56" s="231">
        <v>16185.044435532429</v>
      </c>
      <c r="BX56" s="231">
        <v>0</v>
      </c>
      <c r="BY56" s="231">
        <v>11536.120851999322</v>
      </c>
      <c r="BZ56" s="231">
        <v>0</v>
      </c>
      <c r="CA56" s="231">
        <v>12565.274219256647</v>
      </c>
      <c r="CB56" s="414">
        <f t="shared" si="96"/>
        <v>54135.365075670736</v>
      </c>
      <c r="CC56" s="415">
        <f t="shared" si="97"/>
        <v>70909.653022835642</v>
      </c>
      <c r="CD56" s="300">
        <v>34</v>
      </c>
      <c r="CE56" s="414">
        <f t="shared" si="98"/>
        <v>302324.97010925761</v>
      </c>
      <c r="CF56" s="414">
        <f t="shared" si="99"/>
        <v>323603.29403740738</v>
      </c>
      <c r="CG56" s="414">
        <f t="shared" si="100"/>
        <v>316530.16952019557</v>
      </c>
      <c r="CH56" s="414">
        <f t="shared" si="101"/>
        <v>321190.51580686303</v>
      </c>
      <c r="CI56" s="416">
        <f t="shared" si="102"/>
        <v>1263648.9494737235</v>
      </c>
      <c r="CJ56" s="414">
        <f t="shared" si="103"/>
        <v>201725.62722208965</v>
      </c>
      <c r="CK56" s="414">
        <f t="shared" si="104"/>
        <v>207717.64795613312</v>
      </c>
      <c r="CL56" s="414">
        <f t="shared" si="105"/>
        <v>193820.32491444587</v>
      </c>
      <c r="CM56" s="414">
        <f t="shared" si="106"/>
        <v>190003.84787085908</v>
      </c>
      <c r="CN56" s="416">
        <f t="shared" si="107"/>
        <v>793267.44796352775</v>
      </c>
      <c r="CO56" s="414">
        <f t="shared" si="108"/>
        <v>504050.59733134724</v>
      </c>
      <c r="CP56" s="414">
        <f t="shared" si="109"/>
        <v>531320.9419935405</v>
      </c>
      <c r="CQ56" s="414">
        <f t="shared" si="110"/>
        <v>510350.4944346415</v>
      </c>
      <c r="CR56" s="414">
        <f t="shared" si="111"/>
        <v>511194.36367772211</v>
      </c>
      <c r="CS56" s="416">
        <f t="shared" si="112"/>
        <v>2056916.3974372516</v>
      </c>
    </row>
    <row r="57" spans="1:97" ht="15.75" customHeight="1">
      <c r="A57" s="88" t="s">
        <v>222</v>
      </c>
      <c r="B57" s="300">
        <v>35</v>
      </c>
      <c r="C57" s="231">
        <v>3100.2602759543647</v>
      </c>
      <c r="D57" s="231">
        <v>9813.9239767682593</v>
      </c>
      <c r="E57" s="231">
        <v>4847.5278325356912</v>
      </c>
      <c r="F57" s="231">
        <v>9885.3830477025658</v>
      </c>
      <c r="G57" s="231">
        <v>5606.3541546333099</v>
      </c>
      <c r="H57" s="231">
        <v>11805.260754147388</v>
      </c>
      <c r="I57" s="231">
        <v>4302.821566232421</v>
      </c>
      <c r="J57" s="231">
        <v>5619.8656954706348</v>
      </c>
      <c r="K57" s="412">
        <f t="shared" si="86"/>
        <v>54981.397303444639</v>
      </c>
      <c r="L57" s="417">
        <v>0</v>
      </c>
      <c r="M57" s="231">
        <v>10415.241856416176</v>
      </c>
      <c r="N57" s="231">
        <v>0</v>
      </c>
      <c r="O57" s="231">
        <v>15038.274695434253</v>
      </c>
      <c r="P57" s="231">
        <v>0</v>
      </c>
      <c r="Q57" s="231">
        <v>15169.73050918186</v>
      </c>
      <c r="R57" s="231">
        <v>0</v>
      </c>
      <c r="S57" s="231">
        <v>8750.7846321805864</v>
      </c>
      <c r="T57" s="414">
        <f t="shared" si="87"/>
        <v>49374.031693212877</v>
      </c>
      <c r="U57" s="415">
        <f t="shared" si="88"/>
        <v>104355.42899665752</v>
      </c>
      <c r="V57" s="300">
        <v>35</v>
      </c>
      <c r="W57" s="231">
        <v>228.40475488384655</v>
      </c>
      <c r="X57" s="231">
        <v>2482.6303772341284</v>
      </c>
      <c r="Y57" s="231">
        <v>228.6030550572529</v>
      </c>
      <c r="Z57" s="231">
        <v>969.96399375533724</v>
      </c>
      <c r="AA57" s="231">
        <v>279.12074375294594</v>
      </c>
      <c r="AB57" s="231">
        <v>1900.7607080708212</v>
      </c>
      <c r="AC57" s="231">
        <v>327.21933965201185</v>
      </c>
      <c r="AD57" s="231">
        <v>1644.0501577170508</v>
      </c>
      <c r="AE57" s="412">
        <f t="shared" si="89"/>
        <v>8060.7531301233939</v>
      </c>
      <c r="AF57" s="417">
        <v>0</v>
      </c>
      <c r="AG57" s="231">
        <v>2759.4723394853631</v>
      </c>
      <c r="AH57" s="231">
        <v>0</v>
      </c>
      <c r="AI57" s="231">
        <v>1179.8150593328676</v>
      </c>
      <c r="AJ57" s="231">
        <v>0</v>
      </c>
      <c r="AK57" s="231">
        <v>2872.3977179716585</v>
      </c>
      <c r="AL57" s="231">
        <v>0</v>
      </c>
      <c r="AM57" s="231">
        <v>2601.0286209790156</v>
      </c>
      <c r="AN57" s="414">
        <f t="shared" si="90"/>
        <v>9412.713737768905</v>
      </c>
      <c r="AO57" s="415">
        <f t="shared" si="91"/>
        <v>17473.466867892297</v>
      </c>
      <c r="AP57" s="300">
        <v>35</v>
      </c>
      <c r="AQ57" s="231">
        <v>39939.420075464783</v>
      </c>
      <c r="AR57" s="231">
        <v>158447.94569336646</v>
      </c>
      <c r="AS57" s="231">
        <v>23728.995113077148</v>
      </c>
      <c r="AT57" s="231">
        <v>83265.762601653099</v>
      </c>
      <c r="AU57" s="231">
        <v>44779.33700075571</v>
      </c>
      <c r="AV57" s="231">
        <v>116988.19400704766</v>
      </c>
      <c r="AW57" s="231">
        <v>30786.094437929176</v>
      </c>
      <c r="AX57" s="231">
        <v>106126.08731013666</v>
      </c>
      <c r="AY57" s="412">
        <f t="shared" si="92"/>
        <v>604061.8362394307</v>
      </c>
      <c r="AZ57" s="417">
        <v>0</v>
      </c>
      <c r="BA57" s="231">
        <v>176751.40878240875</v>
      </c>
      <c r="BB57" s="231">
        <v>0</v>
      </c>
      <c r="BC57" s="231">
        <v>163896.21906702407</v>
      </c>
      <c r="BD57" s="231">
        <v>0</v>
      </c>
      <c r="BE57" s="231">
        <v>167824.99511362141</v>
      </c>
      <c r="BF57" s="231">
        <v>0</v>
      </c>
      <c r="BG57" s="231">
        <v>165569.51189605054</v>
      </c>
      <c r="BH57" s="414">
        <f t="shared" si="93"/>
        <v>674042.13485910476</v>
      </c>
      <c r="BI57" s="415">
        <f t="shared" si="94"/>
        <v>1278103.9710985355</v>
      </c>
      <c r="BJ57" s="300">
        <v>35</v>
      </c>
      <c r="BK57" s="231">
        <v>705.0155438086839</v>
      </c>
      <c r="BL57" s="231">
        <v>2792.1203702018761</v>
      </c>
      <c r="BM57" s="231">
        <v>0</v>
      </c>
      <c r="BN57" s="231">
        <v>1375.8522763257945</v>
      </c>
      <c r="BO57" s="231">
        <v>206.17729658631356</v>
      </c>
      <c r="BP57" s="231">
        <v>1973.8348062174987</v>
      </c>
      <c r="BQ57" s="231">
        <v>62.398596991441885</v>
      </c>
      <c r="BR57" s="231">
        <v>2382.8381694998202</v>
      </c>
      <c r="BS57" s="412">
        <f t="shared" si="95"/>
        <v>9498.2370596314286</v>
      </c>
      <c r="BT57" s="417">
        <v>0</v>
      </c>
      <c r="BU57" s="231">
        <v>877.91617262998204</v>
      </c>
      <c r="BV57" s="231">
        <v>0</v>
      </c>
      <c r="BW57" s="231">
        <v>1191.0238232684908</v>
      </c>
      <c r="BX57" s="231">
        <v>0</v>
      </c>
      <c r="BY57" s="231">
        <v>2941.8955168020161</v>
      </c>
      <c r="BZ57" s="231">
        <v>0</v>
      </c>
      <c r="CA57" s="231">
        <v>3789.5909631963768</v>
      </c>
      <c r="CB57" s="414">
        <f t="shared" si="96"/>
        <v>8800.4264758968657</v>
      </c>
      <c r="CC57" s="415">
        <f t="shared" si="97"/>
        <v>18298.663535528292</v>
      </c>
      <c r="CD57" s="300">
        <v>35</v>
      </c>
      <c r="CE57" s="414">
        <f t="shared" si="98"/>
        <v>217509.72106768243</v>
      </c>
      <c r="CF57" s="414">
        <f t="shared" si="99"/>
        <v>124302.08792010689</v>
      </c>
      <c r="CG57" s="414">
        <f t="shared" si="100"/>
        <v>183539.03947121161</v>
      </c>
      <c r="CH57" s="414">
        <f t="shared" si="101"/>
        <v>151251.37527362921</v>
      </c>
      <c r="CI57" s="416">
        <f t="shared" si="102"/>
        <v>676602.22373263014</v>
      </c>
      <c r="CJ57" s="414">
        <f t="shared" si="103"/>
        <v>190804.03915094025</v>
      </c>
      <c r="CK57" s="414">
        <f t="shared" si="104"/>
        <v>181305.33264505968</v>
      </c>
      <c r="CL57" s="414">
        <f t="shared" si="105"/>
        <v>188809.01885757691</v>
      </c>
      <c r="CM57" s="414">
        <f t="shared" si="106"/>
        <v>180710.91611240653</v>
      </c>
      <c r="CN57" s="416">
        <f t="shared" si="107"/>
        <v>741629.30676598335</v>
      </c>
      <c r="CO57" s="414">
        <f t="shared" si="108"/>
        <v>408313.76021862269</v>
      </c>
      <c r="CP57" s="414">
        <f t="shared" si="109"/>
        <v>305607.42056516657</v>
      </c>
      <c r="CQ57" s="414">
        <f t="shared" si="110"/>
        <v>372348.05832878861</v>
      </c>
      <c r="CR57" s="414">
        <f t="shared" si="111"/>
        <v>331962.29138603568</v>
      </c>
      <c r="CS57" s="416">
        <f t="shared" si="112"/>
        <v>1418231.5304986136</v>
      </c>
    </row>
    <row r="58" spans="1:97" ht="15.75" customHeight="1">
      <c r="A58" s="88" t="s">
        <v>223</v>
      </c>
      <c r="B58" s="300">
        <v>36</v>
      </c>
      <c r="C58" s="231">
        <v>0</v>
      </c>
      <c r="D58" s="231">
        <v>0</v>
      </c>
      <c r="E58" s="231">
        <v>0</v>
      </c>
      <c r="F58" s="231">
        <v>0</v>
      </c>
      <c r="G58" s="231">
        <v>0</v>
      </c>
      <c r="H58" s="231">
        <v>0</v>
      </c>
      <c r="I58" s="231">
        <v>0</v>
      </c>
      <c r="J58" s="231">
        <v>0</v>
      </c>
      <c r="K58" s="412">
        <f t="shared" si="86"/>
        <v>0</v>
      </c>
      <c r="L58" s="417">
        <v>0</v>
      </c>
      <c r="M58" s="231">
        <v>0</v>
      </c>
      <c r="N58" s="231">
        <v>0</v>
      </c>
      <c r="O58" s="231">
        <v>0</v>
      </c>
      <c r="P58" s="231">
        <v>0</v>
      </c>
      <c r="Q58" s="231">
        <v>0</v>
      </c>
      <c r="R58" s="231">
        <v>0</v>
      </c>
      <c r="S58" s="231">
        <v>0</v>
      </c>
      <c r="T58" s="414">
        <f t="shared" si="87"/>
        <v>0</v>
      </c>
      <c r="U58" s="415">
        <f t="shared" si="88"/>
        <v>0</v>
      </c>
      <c r="V58" s="300">
        <v>36</v>
      </c>
      <c r="W58" s="231">
        <v>0</v>
      </c>
      <c r="X58" s="231">
        <v>0</v>
      </c>
      <c r="Y58" s="231">
        <v>0</v>
      </c>
      <c r="Z58" s="231">
        <v>0</v>
      </c>
      <c r="AA58" s="231">
        <v>0</v>
      </c>
      <c r="AB58" s="231">
        <v>0</v>
      </c>
      <c r="AC58" s="231">
        <v>0</v>
      </c>
      <c r="AD58" s="231">
        <v>0</v>
      </c>
      <c r="AE58" s="412">
        <f t="shared" si="89"/>
        <v>0</v>
      </c>
      <c r="AF58" s="417">
        <v>0</v>
      </c>
      <c r="AG58" s="231">
        <v>0</v>
      </c>
      <c r="AH58" s="231">
        <v>0</v>
      </c>
      <c r="AI58" s="231">
        <v>0</v>
      </c>
      <c r="AJ58" s="231">
        <v>0</v>
      </c>
      <c r="AK58" s="231">
        <v>0</v>
      </c>
      <c r="AL58" s="231">
        <v>0</v>
      </c>
      <c r="AM58" s="231">
        <v>0</v>
      </c>
      <c r="AN58" s="414">
        <f t="shared" si="90"/>
        <v>0</v>
      </c>
      <c r="AO58" s="415">
        <f t="shared" si="91"/>
        <v>0</v>
      </c>
      <c r="AP58" s="300">
        <v>36</v>
      </c>
      <c r="AQ58" s="231">
        <v>7041.8248999363832</v>
      </c>
      <c r="AR58" s="231">
        <v>0</v>
      </c>
      <c r="AS58" s="231">
        <v>16644.512467914788</v>
      </c>
      <c r="AT58" s="231">
        <v>0</v>
      </c>
      <c r="AU58" s="231">
        <v>29064.818022306546</v>
      </c>
      <c r="AV58" s="231">
        <v>0</v>
      </c>
      <c r="AW58" s="231">
        <v>28937.539811185794</v>
      </c>
      <c r="AX58" s="231">
        <v>0</v>
      </c>
      <c r="AY58" s="412">
        <f t="shared" si="92"/>
        <v>81688.695201343508</v>
      </c>
      <c r="AZ58" s="417">
        <v>0</v>
      </c>
      <c r="BA58" s="231">
        <v>0</v>
      </c>
      <c r="BB58" s="231">
        <v>0</v>
      </c>
      <c r="BC58" s="231">
        <v>0</v>
      </c>
      <c r="BD58" s="231">
        <v>0</v>
      </c>
      <c r="BE58" s="231">
        <v>0</v>
      </c>
      <c r="BF58" s="231">
        <v>0</v>
      </c>
      <c r="BG58" s="231">
        <v>0</v>
      </c>
      <c r="BH58" s="414">
        <f t="shared" si="93"/>
        <v>0</v>
      </c>
      <c r="BI58" s="415">
        <f t="shared" si="94"/>
        <v>81688.695201343508</v>
      </c>
      <c r="BJ58" s="300">
        <v>36</v>
      </c>
      <c r="BK58" s="231">
        <v>0</v>
      </c>
      <c r="BL58" s="231">
        <v>0</v>
      </c>
      <c r="BM58" s="231">
        <v>0</v>
      </c>
      <c r="BN58" s="231">
        <v>0</v>
      </c>
      <c r="BO58" s="231">
        <v>0</v>
      </c>
      <c r="BP58" s="231">
        <v>0</v>
      </c>
      <c r="BQ58" s="231">
        <v>0</v>
      </c>
      <c r="BR58" s="231">
        <v>0</v>
      </c>
      <c r="BS58" s="412">
        <f t="shared" si="95"/>
        <v>0</v>
      </c>
      <c r="BT58" s="417">
        <v>0</v>
      </c>
      <c r="BU58" s="231">
        <v>0</v>
      </c>
      <c r="BV58" s="231">
        <v>0</v>
      </c>
      <c r="BW58" s="231">
        <v>0</v>
      </c>
      <c r="BX58" s="231">
        <v>0</v>
      </c>
      <c r="BY58" s="231">
        <v>0</v>
      </c>
      <c r="BZ58" s="231">
        <v>0</v>
      </c>
      <c r="CA58" s="231">
        <v>0</v>
      </c>
      <c r="CB58" s="414">
        <f t="shared" si="96"/>
        <v>0</v>
      </c>
      <c r="CC58" s="415">
        <f t="shared" si="97"/>
        <v>0</v>
      </c>
      <c r="CD58" s="300">
        <v>36</v>
      </c>
      <c r="CE58" s="414">
        <f t="shared" si="98"/>
        <v>7041.8248999363832</v>
      </c>
      <c r="CF58" s="414">
        <f t="shared" si="99"/>
        <v>16644.512467914788</v>
      </c>
      <c r="CG58" s="414">
        <f t="shared" si="100"/>
        <v>29064.818022306546</v>
      </c>
      <c r="CH58" s="414">
        <f t="shared" si="101"/>
        <v>28937.539811185794</v>
      </c>
      <c r="CI58" s="416">
        <f t="shared" si="102"/>
        <v>81688.695201343508</v>
      </c>
      <c r="CJ58" s="414">
        <f t="shared" si="103"/>
        <v>0</v>
      </c>
      <c r="CK58" s="414">
        <f t="shared" si="104"/>
        <v>0</v>
      </c>
      <c r="CL58" s="414">
        <f t="shared" si="105"/>
        <v>0</v>
      </c>
      <c r="CM58" s="414">
        <f t="shared" si="106"/>
        <v>0</v>
      </c>
      <c r="CN58" s="416">
        <f t="shared" si="107"/>
        <v>0</v>
      </c>
      <c r="CO58" s="414">
        <f t="shared" si="108"/>
        <v>7041.8248999363832</v>
      </c>
      <c r="CP58" s="414">
        <f t="shared" si="109"/>
        <v>16644.512467914788</v>
      </c>
      <c r="CQ58" s="414">
        <f t="shared" si="110"/>
        <v>29064.818022306546</v>
      </c>
      <c r="CR58" s="414">
        <f t="shared" si="111"/>
        <v>28937.539811185794</v>
      </c>
      <c r="CS58" s="416">
        <f t="shared" si="112"/>
        <v>81688.695201343508</v>
      </c>
    </row>
    <row r="59" spans="1:97" ht="15.75" customHeight="1">
      <c r="A59" s="88" t="s">
        <v>468</v>
      </c>
      <c r="B59" s="300">
        <v>37</v>
      </c>
      <c r="C59" s="231">
        <v>275.01776607144711</v>
      </c>
      <c r="D59" s="231">
        <v>1952.6261391072744</v>
      </c>
      <c r="E59" s="231">
        <v>674.37851195246799</v>
      </c>
      <c r="F59" s="231">
        <v>2147.0009768282653</v>
      </c>
      <c r="G59" s="231">
        <v>221.10165853760168</v>
      </c>
      <c r="H59" s="231">
        <v>1553.7919053729956</v>
      </c>
      <c r="I59" s="231">
        <v>879.90858935107485</v>
      </c>
      <c r="J59" s="231">
        <v>1308.0545869400828</v>
      </c>
      <c r="K59" s="412">
        <f t="shared" si="86"/>
        <v>9011.8801341612088</v>
      </c>
      <c r="L59" s="417">
        <v>0</v>
      </c>
      <c r="M59" s="231">
        <v>0</v>
      </c>
      <c r="N59" s="231">
        <v>0</v>
      </c>
      <c r="O59" s="231">
        <v>0</v>
      </c>
      <c r="P59" s="231">
        <v>0</v>
      </c>
      <c r="Q59" s="231">
        <v>51.083249437416214</v>
      </c>
      <c r="R59" s="231">
        <v>0</v>
      </c>
      <c r="S59" s="231">
        <v>154.27962886761455</v>
      </c>
      <c r="T59" s="414">
        <f t="shared" si="87"/>
        <v>205.36287830503076</v>
      </c>
      <c r="U59" s="415">
        <f t="shared" si="88"/>
        <v>9217.2430124662387</v>
      </c>
      <c r="V59" s="300">
        <v>37</v>
      </c>
      <c r="W59" s="231">
        <v>0</v>
      </c>
      <c r="X59" s="231">
        <v>495.03197892860476</v>
      </c>
      <c r="Y59" s="231">
        <v>0</v>
      </c>
      <c r="Z59" s="231">
        <v>247.73088194172291</v>
      </c>
      <c r="AA59" s="231">
        <v>0</v>
      </c>
      <c r="AB59" s="231">
        <v>1216.0591219568091</v>
      </c>
      <c r="AC59" s="231">
        <v>284.41489756802423</v>
      </c>
      <c r="AD59" s="231">
        <v>516.77171120618686</v>
      </c>
      <c r="AE59" s="412">
        <f t="shared" si="89"/>
        <v>2760.0085916013477</v>
      </c>
      <c r="AF59" s="417">
        <v>0</v>
      </c>
      <c r="AG59" s="231">
        <v>0</v>
      </c>
      <c r="AH59" s="231">
        <v>0</v>
      </c>
      <c r="AI59" s="231">
        <v>0</v>
      </c>
      <c r="AJ59" s="231">
        <v>0</v>
      </c>
      <c r="AK59" s="231">
        <v>0</v>
      </c>
      <c r="AL59" s="231">
        <v>0</v>
      </c>
      <c r="AM59" s="231">
        <v>0</v>
      </c>
      <c r="AN59" s="414">
        <f t="shared" si="90"/>
        <v>0</v>
      </c>
      <c r="AO59" s="415">
        <f t="shared" si="91"/>
        <v>2760.0085916013477</v>
      </c>
      <c r="AP59" s="300">
        <v>37</v>
      </c>
      <c r="AQ59" s="231">
        <v>2598.917889375175</v>
      </c>
      <c r="AR59" s="231">
        <v>11440.739068572198</v>
      </c>
      <c r="AS59" s="231">
        <v>4238.95064655837</v>
      </c>
      <c r="AT59" s="231">
        <v>12716.651753103843</v>
      </c>
      <c r="AU59" s="231">
        <v>4131.8372439214309</v>
      </c>
      <c r="AV59" s="231">
        <v>13798.75350782396</v>
      </c>
      <c r="AW59" s="231">
        <v>4260.9922609400946</v>
      </c>
      <c r="AX59" s="231">
        <v>16301.798526231531</v>
      </c>
      <c r="AY59" s="412">
        <f t="shared" si="92"/>
        <v>69488.640896526602</v>
      </c>
      <c r="AZ59" s="417">
        <v>0</v>
      </c>
      <c r="BA59" s="231">
        <v>160.04305398413703</v>
      </c>
      <c r="BB59" s="231">
        <v>0</v>
      </c>
      <c r="BC59" s="231">
        <v>0</v>
      </c>
      <c r="BD59" s="231">
        <v>0</v>
      </c>
      <c r="BE59" s="231">
        <v>95.407110120639743</v>
      </c>
      <c r="BF59" s="231">
        <v>0</v>
      </c>
      <c r="BG59" s="231">
        <v>863.15569594714179</v>
      </c>
      <c r="BH59" s="414">
        <f t="shared" si="93"/>
        <v>1118.6058600519186</v>
      </c>
      <c r="BI59" s="415">
        <f t="shared" si="94"/>
        <v>70607.246756578519</v>
      </c>
      <c r="BJ59" s="300">
        <v>37</v>
      </c>
      <c r="BK59" s="231">
        <v>0</v>
      </c>
      <c r="BL59" s="231">
        <v>0</v>
      </c>
      <c r="BM59" s="231">
        <v>0</v>
      </c>
      <c r="BN59" s="231">
        <v>0</v>
      </c>
      <c r="BO59" s="231">
        <v>0</v>
      </c>
      <c r="BP59" s="231">
        <v>0</v>
      </c>
      <c r="BQ59" s="231">
        <v>0</v>
      </c>
      <c r="BR59" s="231">
        <v>0</v>
      </c>
      <c r="BS59" s="412">
        <f t="shared" si="95"/>
        <v>0</v>
      </c>
      <c r="BT59" s="417">
        <v>0</v>
      </c>
      <c r="BU59" s="231">
        <v>0</v>
      </c>
      <c r="BV59" s="231">
        <v>0</v>
      </c>
      <c r="BW59" s="231">
        <v>0</v>
      </c>
      <c r="BX59" s="231">
        <v>0</v>
      </c>
      <c r="BY59" s="231">
        <v>0</v>
      </c>
      <c r="BZ59" s="231">
        <v>0</v>
      </c>
      <c r="CA59" s="231">
        <v>0</v>
      </c>
      <c r="CB59" s="414">
        <f t="shared" si="96"/>
        <v>0</v>
      </c>
      <c r="CC59" s="415">
        <f t="shared" si="97"/>
        <v>0</v>
      </c>
      <c r="CD59" s="300">
        <v>37</v>
      </c>
      <c r="CE59" s="414">
        <f t="shared" si="98"/>
        <v>16762.3328420547</v>
      </c>
      <c r="CF59" s="414">
        <f t="shared" si="99"/>
        <v>20024.712770384671</v>
      </c>
      <c r="CG59" s="414">
        <f t="shared" si="100"/>
        <v>20921.543437612796</v>
      </c>
      <c r="CH59" s="414">
        <f t="shared" si="101"/>
        <v>23551.940572236992</v>
      </c>
      <c r="CI59" s="416">
        <f t="shared" si="102"/>
        <v>81260.529622289163</v>
      </c>
      <c r="CJ59" s="414">
        <f t="shared" si="103"/>
        <v>160.04305398413703</v>
      </c>
      <c r="CK59" s="414">
        <f t="shared" si="104"/>
        <v>0</v>
      </c>
      <c r="CL59" s="414">
        <f t="shared" si="105"/>
        <v>146.49035955805596</v>
      </c>
      <c r="CM59" s="414">
        <f t="shared" si="106"/>
        <v>1017.4353248147563</v>
      </c>
      <c r="CN59" s="416">
        <f t="shared" si="107"/>
        <v>1323.9687383569494</v>
      </c>
      <c r="CO59" s="414">
        <f t="shared" si="108"/>
        <v>16922.375896038837</v>
      </c>
      <c r="CP59" s="414">
        <f t="shared" si="109"/>
        <v>20024.712770384671</v>
      </c>
      <c r="CQ59" s="414">
        <f t="shared" si="110"/>
        <v>21068.033797170854</v>
      </c>
      <c r="CR59" s="414">
        <f t="shared" si="111"/>
        <v>24569.375897051752</v>
      </c>
      <c r="CS59" s="416">
        <f t="shared" si="112"/>
        <v>82584.498360646103</v>
      </c>
    </row>
    <row r="60" spans="1:97" ht="15.75" customHeight="1">
      <c r="A60" s="932" t="s">
        <v>372</v>
      </c>
      <c r="B60" s="933">
        <v>38</v>
      </c>
      <c r="C60" s="420">
        <v>8424.9787326510595</v>
      </c>
      <c r="D60" s="420">
        <v>72501.193130520114</v>
      </c>
      <c r="E60" s="420">
        <v>15314.760535269377</v>
      </c>
      <c r="F60" s="420">
        <v>99545.943479250942</v>
      </c>
      <c r="G60" s="420">
        <v>16753.438115741807</v>
      </c>
      <c r="H60" s="420">
        <v>91873.692892777661</v>
      </c>
      <c r="I60" s="420">
        <v>14772.066594552263</v>
      </c>
      <c r="J60" s="420">
        <v>82862.061053816593</v>
      </c>
      <c r="K60" s="412">
        <f>SUM(C60:J60)</f>
        <v>402048.13453457976</v>
      </c>
      <c r="L60" s="421">
        <v>0</v>
      </c>
      <c r="M60" s="420">
        <v>0</v>
      </c>
      <c r="N60" s="420">
        <v>0</v>
      </c>
      <c r="O60" s="420">
        <v>0</v>
      </c>
      <c r="P60" s="420">
        <v>0</v>
      </c>
      <c r="Q60" s="420">
        <v>0</v>
      </c>
      <c r="R60" s="420">
        <v>0</v>
      </c>
      <c r="S60" s="420">
        <v>0</v>
      </c>
      <c r="T60" s="414">
        <f>SUM(L60:S60)</f>
        <v>0</v>
      </c>
      <c r="U60" s="415">
        <f>SUM(T60,K60)</f>
        <v>402048.13453457976</v>
      </c>
      <c r="V60" s="933">
        <v>38</v>
      </c>
      <c r="W60" s="420">
        <v>463.76029721014999</v>
      </c>
      <c r="X60" s="420">
        <v>24038.242072059442</v>
      </c>
      <c r="Y60" s="420">
        <v>464.08365258392047</v>
      </c>
      <c r="Z60" s="420">
        <v>20651.722539984461</v>
      </c>
      <c r="AA60" s="420">
        <v>463.22870366106378</v>
      </c>
      <c r="AB60" s="420">
        <v>21308.520368408936</v>
      </c>
      <c r="AC60" s="420">
        <v>692.44062161963723</v>
      </c>
      <c r="AD60" s="420">
        <v>22850.540513448032</v>
      </c>
      <c r="AE60" s="412">
        <f>SUM(W60:AD60)</f>
        <v>90932.538768975646</v>
      </c>
      <c r="AF60" s="421">
        <v>0</v>
      </c>
      <c r="AG60" s="420">
        <v>0</v>
      </c>
      <c r="AH60" s="420">
        <v>0</v>
      </c>
      <c r="AI60" s="420">
        <v>0</v>
      </c>
      <c r="AJ60" s="420">
        <v>0</v>
      </c>
      <c r="AK60" s="420">
        <v>0</v>
      </c>
      <c r="AL60" s="420">
        <v>0</v>
      </c>
      <c r="AM60" s="420">
        <v>0</v>
      </c>
      <c r="AN60" s="414">
        <f>SUM(AF60:AM60)</f>
        <v>0</v>
      </c>
      <c r="AO60" s="415">
        <f>SUM(AN60,AE60)</f>
        <v>90932.538768975646</v>
      </c>
      <c r="AP60" s="933">
        <v>38</v>
      </c>
      <c r="AQ60" s="420">
        <v>36250.596565260057</v>
      </c>
      <c r="AR60" s="420">
        <v>274391.50918267207</v>
      </c>
      <c r="AS60" s="420">
        <v>33800.759363195539</v>
      </c>
      <c r="AT60" s="420">
        <v>258726.6363155357</v>
      </c>
      <c r="AU60" s="420">
        <v>39220.030243303401</v>
      </c>
      <c r="AV60" s="420">
        <v>271143.20120960934</v>
      </c>
      <c r="AW60" s="420">
        <v>44470.075477350038</v>
      </c>
      <c r="AX60" s="420">
        <v>286439.60380998993</v>
      </c>
      <c r="AY60" s="412">
        <f>SUM(AQ60:AX60)</f>
        <v>1244442.4121669161</v>
      </c>
      <c r="AZ60" s="421">
        <v>0</v>
      </c>
      <c r="BA60" s="420">
        <v>0</v>
      </c>
      <c r="BB60" s="420">
        <v>0</v>
      </c>
      <c r="BC60" s="420">
        <v>0</v>
      </c>
      <c r="BD60" s="420">
        <v>0</v>
      </c>
      <c r="BE60" s="420">
        <v>0</v>
      </c>
      <c r="BF60" s="420">
        <v>0</v>
      </c>
      <c r="BG60" s="420">
        <v>0</v>
      </c>
      <c r="BH60" s="414">
        <f>SUM(AZ60:BG60)</f>
        <v>0</v>
      </c>
      <c r="BI60" s="415">
        <f>SUM(BH60,AY60)</f>
        <v>1244442.4121669161</v>
      </c>
      <c r="BJ60" s="933">
        <v>38</v>
      </c>
      <c r="BK60" s="420">
        <v>463.76029721014999</v>
      </c>
      <c r="BL60" s="420">
        <v>11980.474344595543</v>
      </c>
      <c r="BM60" s="420">
        <v>232.04182629196023</v>
      </c>
      <c r="BN60" s="420">
        <v>11524.744039167359</v>
      </c>
      <c r="BO60" s="420">
        <v>308.81913577404254</v>
      </c>
      <c r="BP60" s="420">
        <v>12507.174998848723</v>
      </c>
      <c r="BQ60" s="420">
        <v>538.5649279263846</v>
      </c>
      <c r="BR60" s="420">
        <v>13925.750279239373</v>
      </c>
      <c r="BS60" s="412">
        <f>SUM(BK60:BR60)</f>
        <v>51481.329849053531</v>
      </c>
      <c r="BT60" s="421">
        <v>0</v>
      </c>
      <c r="BU60" s="420">
        <v>0</v>
      </c>
      <c r="BV60" s="420">
        <v>0</v>
      </c>
      <c r="BW60" s="420">
        <v>0</v>
      </c>
      <c r="BX60" s="420">
        <v>0</v>
      </c>
      <c r="BY60" s="420">
        <v>0</v>
      </c>
      <c r="BZ60" s="420">
        <v>0</v>
      </c>
      <c r="CA60" s="420">
        <v>0</v>
      </c>
      <c r="CB60" s="414">
        <f>SUM(BT60:CA60)</f>
        <v>0</v>
      </c>
      <c r="CC60" s="415">
        <f>SUM(CB60,BS60)</f>
        <v>51481.329849053531</v>
      </c>
      <c r="CD60" s="933">
        <v>38</v>
      </c>
      <c r="CE60" s="414">
        <f t="shared" si="98"/>
        <v>428514.51462217857</v>
      </c>
      <c r="CF60" s="414">
        <f t="shared" si="99"/>
        <v>440260.69175127923</v>
      </c>
      <c r="CG60" s="414">
        <f t="shared" si="100"/>
        <v>453578.10566812498</v>
      </c>
      <c r="CH60" s="414">
        <f t="shared" si="101"/>
        <v>466551.10327794228</v>
      </c>
      <c r="CI60" s="416">
        <f t="shared" si="102"/>
        <v>1788904.4153195252</v>
      </c>
      <c r="CJ60" s="414">
        <f t="shared" si="103"/>
        <v>0</v>
      </c>
      <c r="CK60" s="414">
        <f t="shared" si="104"/>
        <v>0</v>
      </c>
      <c r="CL60" s="414">
        <f t="shared" si="105"/>
        <v>0</v>
      </c>
      <c r="CM60" s="414">
        <f t="shared" si="106"/>
        <v>0</v>
      </c>
      <c r="CN60" s="416">
        <f t="shared" si="107"/>
        <v>0</v>
      </c>
      <c r="CO60" s="414">
        <f t="shared" si="108"/>
        <v>428514.51462217857</v>
      </c>
      <c r="CP60" s="414">
        <f t="shared" si="109"/>
        <v>440260.69175127923</v>
      </c>
      <c r="CQ60" s="414">
        <f t="shared" si="110"/>
        <v>453578.10566812498</v>
      </c>
      <c r="CR60" s="414">
        <f t="shared" si="111"/>
        <v>466551.10327794228</v>
      </c>
      <c r="CS60" s="416">
        <f t="shared" si="112"/>
        <v>1788904.4153195252</v>
      </c>
    </row>
    <row r="61" spans="1:97" ht="15.75" customHeight="1">
      <c r="A61" s="88" t="s">
        <v>226</v>
      </c>
      <c r="B61" s="933">
        <v>39</v>
      </c>
      <c r="C61" s="231">
        <v>2893.13</v>
      </c>
      <c r="D61" s="231">
        <v>24811.42</v>
      </c>
      <c r="E61" s="231">
        <v>5611.3</v>
      </c>
      <c r="F61" s="231">
        <v>35869.440000000002</v>
      </c>
      <c r="G61" s="231">
        <v>6202.59</v>
      </c>
      <c r="H61" s="231">
        <v>33648.31</v>
      </c>
      <c r="I61" s="231">
        <v>4245.3</v>
      </c>
      <c r="J61" s="231">
        <v>23502.080000000002</v>
      </c>
      <c r="K61" s="412">
        <f t="shared" si="86"/>
        <v>136783.57</v>
      </c>
      <c r="L61" s="417">
        <v>0</v>
      </c>
      <c r="M61" s="231">
        <v>128450.34</v>
      </c>
      <c r="N61" s="231">
        <v>0</v>
      </c>
      <c r="O61" s="231">
        <v>188576.71</v>
      </c>
      <c r="P61" s="231">
        <v>0</v>
      </c>
      <c r="Q61" s="231">
        <v>173884.26</v>
      </c>
      <c r="R61" s="231">
        <v>0</v>
      </c>
      <c r="S61" s="231">
        <v>160283.10999999999</v>
      </c>
      <c r="T61" s="414">
        <f t="shared" si="87"/>
        <v>651194.41999999993</v>
      </c>
      <c r="U61" s="415">
        <f t="shared" si="88"/>
        <v>787977.99</v>
      </c>
      <c r="V61" s="933">
        <v>39</v>
      </c>
      <c r="W61" s="231">
        <v>159.94</v>
      </c>
      <c r="X61" s="231">
        <v>8218.880000000001</v>
      </c>
      <c r="Y61" s="231">
        <v>164.65</v>
      </c>
      <c r="Z61" s="231">
        <v>7384.72</v>
      </c>
      <c r="AA61" s="231">
        <v>168.05</v>
      </c>
      <c r="AB61" s="231">
        <v>7744.24</v>
      </c>
      <c r="AC61" s="231">
        <v>199.12</v>
      </c>
      <c r="AD61" s="231">
        <v>6470.07</v>
      </c>
      <c r="AE61" s="412">
        <f t="shared" si="89"/>
        <v>30509.670000000002</v>
      </c>
      <c r="AF61" s="417">
        <v>0</v>
      </c>
      <c r="AG61" s="231">
        <v>42627.34</v>
      </c>
      <c r="AH61" s="231">
        <v>0</v>
      </c>
      <c r="AI61" s="231">
        <v>39148.78</v>
      </c>
      <c r="AJ61" s="231">
        <v>0</v>
      </c>
      <c r="AK61" s="231">
        <v>40289.07</v>
      </c>
      <c r="AL61" s="231">
        <v>0</v>
      </c>
      <c r="AM61" s="231">
        <v>44223.77</v>
      </c>
      <c r="AN61" s="414">
        <f t="shared" si="90"/>
        <v>166288.95999999999</v>
      </c>
      <c r="AO61" s="415">
        <f t="shared" si="91"/>
        <v>196798.63</v>
      </c>
      <c r="AP61" s="933">
        <v>39</v>
      </c>
      <c r="AQ61" s="231">
        <v>13656.71</v>
      </c>
      <c r="AR61" s="231">
        <v>96859.93</v>
      </c>
      <c r="AS61" s="231">
        <v>13222.67</v>
      </c>
      <c r="AT61" s="231">
        <v>95587.8</v>
      </c>
      <c r="AU61" s="231">
        <v>15484.45</v>
      </c>
      <c r="AV61" s="231">
        <v>101840.14</v>
      </c>
      <c r="AW61" s="231">
        <v>14087.03</v>
      </c>
      <c r="AX61" s="231">
        <v>84354.32</v>
      </c>
      <c r="AY61" s="412">
        <f t="shared" si="92"/>
        <v>435093.05000000005</v>
      </c>
      <c r="AZ61" s="417">
        <v>0</v>
      </c>
      <c r="BA61" s="231">
        <v>487718.7</v>
      </c>
      <c r="BB61" s="231">
        <v>0</v>
      </c>
      <c r="BC61" s="231">
        <v>491029.75</v>
      </c>
      <c r="BD61" s="231">
        <v>0</v>
      </c>
      <c r="BE61" s="231">
        <v>514130.69</v>
      </c>
      <c r="BF61" s="231">
        <v>0</v>
      </c>
      <c r="BG61" s="231">
        <v>555505.17000000004</v>
      </c>
      <c r="BH61" s="414">
        <f t="shared" si="93"/>
        <v>2048384.31</v>
      </c>
      <c r="BI61" s="415">
        <f t="shared" si="94"/>
        <v>2483477.3600000003</v>
      </c>
      <c r="BJ61" s="933">
        <v>39</v>
      </c>
      <c r="BK61" s="231">
        <v>170.94</v>
      </c>
      <c r="BL61" s="231">
        <v>4694.3600000000006</v>
      </c>
      <c r="BM61" s="231">
        <v>82.32</v>
      </c>
      <c r="BN61" s="231">
        <v>4588.6900000000005</v>
      </c>
      <c r="BO61" s="231">
        <v>116.37</v>
      </c>
      <c r="BP61" s="231">
        <v>5091.3100000000004</v>
      </c>
      <c r="BQ61" s="231">
        <v>173.98</v>
      </c>
      <c r="BR61" s="231">
        <v>4630.0300000000007</v>
      </c>
      <c r="BS61" s="412">
        <f t="shared" si="95"/>
        <v>19548</v>
      </c>
      <c r="BT61" s="417">
        <v>0</v>
      </c>
      <c r="BU61" s="231">
        <v>21339.33</v>
      </c>
      <c r="BV61" s="231">
        <v>0</v>
      </c>
      <c r="BW61" s="231">
        <v>21966.92</v>
      </c>
      <c r="BX61" s="231">
        <v>0</v>
      </c>
      <c r="BY61" s="231">
        <v>23735.22</v>
      </c>
      <c r="BZ61" s="231">
        <v>0</v>
      </c>
      <c r="CA61" s="231">
        <v>27066.400000000001</v>
      </c>
      <c r="CB61" s="414">
        <f t="shared" si="96"/>
        <v>94107.87</v>
      </c>
      <c r="CC61" s="415">
        <f t="shared" si="97"/>
        <v>113655.87</v>
      </c>
      <c r="CD61" s="933">
        <v>39</v>
      </c>
      <c r="CE61" s="414">
        <f t="shared" si="98"/>
        <v>151465.31</v>
      </c>
      <c r="CF61" s="414">
        <f t="shared" si="99"/>
        <v>162511.59000000003</v>
      </c>
      <c r="CG61" s="414">
        <f t="shared" si="100"/>
        <v>170295.46</v>
      </c>
      <c r="CH61" s="414">
        <f t="shared" si="101"/>
        <v>137661.93000000002</v>
      </c>
      <c r="CI61" s="416">
        <f t="shared" si="102"/>
        <v>621934.29</v>
      </c>
      <c r="CJ61" s="414">
        <f t="shared" si="103"/>
        <v>680135.71</v>
      </c>
      <c r="CK61" s="414">
        <f t="shared" si="104"/>
        <v>740722.16</v>
      </c>
      <c r="CL61" s="414">
        <f t="shared" si="105"/>
        <v>752039.24</v>
      </c>
      <c r="CM61" s="414">
        <f t="shared" si="106"/>
        <v>787078.45000000007</v>
      </c>
      <c r="CN61" s="416">
        <f t="shared" si="107"/>
        <v>2959975.56</v>
      </c>
      <c r="CO61" s="414">
        <f t="shared" si="108"/>
        <v>831601.01999999979</v>
      </c>
      <c r="CP61" s="414">
        <f t="shared" si="109"/>
        <v>903233.74999999988</v>
      </c>
      <c r="CQ61" s="414">
        <f t="shared" si="110"/>
        <v>922334.70000000007</v>
      </c>
      <c r="CR61" s="414">
        <f t="shared" si="111"/>
        <v>924740.38</v>
      </c>
      <c r="CS61" s="416">
        <f t="shared" si="112"/>
        <v>3581909.8500000006</v>
      </c>
    </row>
    <row r="62" spans="1:97" ht="15.75" customHeight="1">
      <c r="A62" s="88" t="s">
        <v>227</v>
      </c>
      <c r="B62" s="933">
        <v>40</v>
      </c>
      <c r="C62" s="231"/>
      <c r="D62" s="231"/>
      <c r="E62" s="231"/>
      <c r="F62" s="231"/>
      <c r="G62" s="231"/>
      <c r="H62" s="231"/>
      <c r="I62" s="231"/>
      <c r="J62" s="231"/>
      <c r="K62" s="412">
        <f t="shared" si="86"/>
        <v>0</v>
      </c>
      <c r="L62" s="417"/>
      <c r="M62" s="231"/>
      <c r="N62" s="231"/>
      <c r="O62" s="231"/>
      <c r="P62" s="231"/>
      <c r="Q62" s="231"/>
      <c r="R62" s="231"/>
      <c r="S62" s="231"/>
      <c r="T62" s="414">
        <f t="shared" si="87"/>
        <v>0</v>
      </c>
      <c r="U62" s="415">
        <f t="shared" si="88"/>
        <v>0</v>
      </c>
      <c r="V62" s="933">
        <v>40</v>
      </c>
      <c r="W62" s="231"/>
      <c r="X62" s="231"/>
      <c r="Y62" s="231"/>
      <c r="Z62" s="231"/>
      <c r="AA62" s="231"/>
      <c r="AB62" s="231"/>
      <c r="AC62" s="231"/>
      <c r="AD62" s="231"/>
      <c r="AE62" s="412">
        <f t="shared" si="89"/>
        <v>0</v>
      </c>
      <c r="AF62" s="417"/>
      <c r="AG62" s="231"/>
      <c r="AH62" s="231"/>
      <c r="AI62" s="231"/>
      <c r="AJ62" s="231"/>
      <c r="AK62" s="231"/>
      <c r="AL62" s="231"/>
      <c r="AM62" s="231"/>
      <c r="AN62" s="414">
        <f t="shared" si="90"/>
        <v>0</v>
      </c>
      <c r="AO62" s="415">
        <f t="shared" si="91"/>
        <v>0</v>
      </c>
      <c r="AP62" s="933">
        <v>40</v>
      </c>
      <c r="AQ62" s="231"/>
      <c r="AR62" s="231"/>
      <c r="AS62" s="231"/>
      <c r="AT62" s="231"/>
      <c r="AU62" s="231"/>
      <c r="AV62" s="231"/>
      <c r="AW62" s="231"/>
      <c r="AX62" s="231"/>
      <c r="AY62" s="412">
        <f t="shared" si="92"/>
        <v>0</v>
      </c>
      <c r="AZ62" s="417"/>
      <c r="BA62" s="231"/>
      <c r="BB62" s="231"/>
      <c r="BC62" s="231"/>
      <c r="BD62" s="231"/>
      <c r="BE62" s="231"/>
      <c r="BF62" s="231"/>
      <c r="BG62" s="231"/>
      <c r="BH62" s="414">
        <f t="shared" si="93"/>
        <v>0</v>
      </c>
      <c r="BI62" s="415">
        <f t="shared" si="94"/>
        <v>0</v>
      </c>
      <c r="BJ62" s="933">
        <v>40</v>
      </c>
      <c r="BK62" s="231"/>
      <c r="BL62" s="231"/>
      <c r="BM62" s="231"/>
      <c r="BN62" s="231"/>
      <c r="BO62" s="231"/>
      <c r="BP62" s="231"/>
      <c r="BQ62" s="231"/>
      <c r="BR62" s="231"/>
      <c r="BS62" s="412">
        <f t="shared" si="95"/>
        <v>0</v>
      </c>
      <c r="BT62" s="417"/>
      <c r="BU62" s="231"/>
      <c r="BV62" s="231"/>
      <c r="BW62" s="231"/>
      <c r="BX62" s="231"/>
      <c r="BY62" s="231"/>
      <c r="BZ62" s="231"/>
      <c r="CA62" s="231"/>
      <c r="CB62" s="414">
        <f t="shared" si="96"/>
        <v>0</v>
      </c>
      <c r="CC62" s="415">
        <f t="shared" si="97"/>
        <v>0</v>
      </c>
      <c r="CD62" s="933">
        <v>40</v>
      </c>
      <c r="CE62" s="414">
        <f t="shared" si="98"/>
        <v>0</v>
      </c>
      <c r="CF62" s="414">
        <f t="shared" si="99"/>
        <v>0</v>
      </c>
      <c r="CG62" s="414">
        <f t="shared" si="100"/>
        <v>0</v>
      </c>
      <c r="CH62" s="414">
        <f t="shared" si="101"/>
        <v>0</v>
      </c>
      <c r="CI62" s="416">
        <f t="shared" si="102"/>
        <v>0</v>
      </c>
      <c r="CJ62" s="414">
        <f t="shared" si="103"/>
        <v>0</v>
      </c>
      <c r="CK62" s="414">
        <f t="shared" si="104"/>
        <v>0</v>
      </c>
      <c r="CL62" s="414">
        <f t="shared" si="105"/>
        <v>0</v>
      </c>
      <c r="CM62" s="414">
        <f t="shared" si="106"/>
        <v>0</v>
      </c>
      <c r="CN62" s="416">
        <f t="shared" si="107"/>
        <v>0</v>
      </c>
      <c r="CO62" s="414">
        <f t="shared" si="108"/>
        <v>0</v>
      </c>
      <c r="CP62" s="414">
        <f t="shared" si="109"/>
        <v>0</v>
      </c>
      <c r="CQ62" s="414">
        <f t="shared" si="110"/>
        <v>0</v>
      </c>
      <c r="CR62" s="414">
        <f t="shared" si="111"/>
        <v>0</v>
      </c>
      <c r="CS62" s="416">
        <f t="shared" si="112"/>
        <v>0</v>
      </c>
    </row>
    <row r="63" spans="1:97" ht="15.75" customHeight="1">
      <c r="A63" s="88" t="s">
        <v>229</v>
      </c>
      <c r="B63" s="933">
        <v>41</v>
      </c>
      <c r="C63" s="231"/>
      <c r="D63" s="231"/>
      <c r="E63" s="231"/>
      <c r="F63" s="231"/>
      <c r="G63" s="231"/>
      <c r="H63" s="231"/>
      <c r="I63" s="231"/>
      <c r="J63" s="231"/>
      <c r="K63" s="412">
        <f t="shared" si="86"/>
        <v>0</v>
      </c>
      <c r="L63" s="417"/>
      <c r="M63" s="231"/>
      <c r="N63" s="231"/>
      <c r="O63" s="231"/>
      <c r="P63" s="231"/>
      <c r="Q63" s="231"/>
      <c r="R63" s="231"/>
      <c r="S63" s="231"/>
      <c r="T63" s="414">
        <f t="shared" si="87"/>
        <v>0</v>
      </c>
      <c r="U63" s="415">
        <f t="shared" si="88"/>
        <v>0</v>
      </c>
      <c r="V63" s="933">
        <v>41</v>
      </c>
      <c r="W63" s="231"/>
      <c r="X63" s="231"/>
      <c r="Y63" s="231"/>
      <c r="Z63" s="231"/>
      <c r="AA63" s="231"/>
      <c r="AB63" s="231"/>
      <c r="AC63" s="231"/>
      <c r="AD63" s="231"/>
      <c r="AE63" s="412">
        <f t="shared" si="89"/>
        <v>0</v>
      </c>
      <c r="AF63" s="417"/>
      <c r="AG63" s="231"/>
      <c r="AH63" s="231"/>
      <c r="AI63" s="231"/>
      <c r="AJ63" s="231"/>
      <c r="AK63" s="231"/>
      <c r="AL63" s="231"/>
      <c r="AM63" s="231"/>
      <c r="AN63" s="414">
        <f t="shared" si="90"/>
        <v>0</v>
      </c>
      <c r="AO63" s="415">
        <f t="shared" si="91"/>
        <v>0</v>
      </c>
      <c r="AP63" s="933">
        <v>41</v>
      </c>
      <c r="AQ63" s="231"/>
      <c r="AR63" s="231"/>
      <c r="AS63" s="231"/>
      <c r="AT63" s="231"/>
      <c r="AU63" s="231"/>
      <c r="AV63" s="231"/>
      <c r="AW63" s="231"/>
      <c r="AX63" s="231"/>
      <c r="AY63" s="412">
        <f t="shared" si="92"/>
        <v>0</v>
      </c>
      <c r="AZ63" s="417"/>
      <c r="BA63" s="231"/>
      <c r="BB63" s="231"/>
      <c r="BC63" s="231"/>
      <c r="BD63" s="231"/>
      <c r="BE63" s="231"/>
      <c r="BF63" s="231"/>
      <c r="BG63" s="231"/>
      <c r="BH63" s="414">
        <f t="shared" si="93"/>
        <v>0</v>
      </c>
      <c r="BI63" s="415">
        <f t="shared" si="94"/>
        <v>0</v>
      </c>
      <c r="BJ63" s="933">
        <v>41</v>
      </c>
      <c r="BK63" s="231"/>
      <c r="BL63" s="231"/>
      <c r="BM63" s="231"/>
      <c r="BN63" s="231"/>
      <c r="BO63" s="231"/>
      <c r="BP63" s="231"/>
      <c r="BQ63" s="231"/>
      <c r="BR63" s="231"/>
      <c r="BS63" s="412">
        <f t="shared" si="95"/>
        <v>0</v>
      </c>
      <c r="BT63" s="417"/>
      <c r="BU63" s="231"/>
      <c r="BV63" s="231"/>
      <c r="BW63" s="231"/>
      <c r="BX63" s="231"/>
      <c r="BY63" s="231"/>
      <c r="BZ63" s="231"/>
      <c r="CA63" s="231"/>
      <c r="CB63" s="414">
        <f t="shared" si="96"/>
        <v>0</v>
      </c>
      <c r="CC63" s="415">
        <f t="shared" si="97"/>
        <v>0</v>
      </c>
      <c r="CD63" s="933">
        <v>41</v>
      </c>
      <c r="CE63" s="414">
        <f t="shared" si="98"/>
        <v>0</v>
      </c>
      <c r="CF63" s="414">
        <f t="shared" si="99"/>
        <v>0</v>
      </c>
      <c r="CG63" s="414">
        <f t="shared" si="100"/>
        <v>0</v>
      </c>
      <c r="CH63" s="414">
        <f t="shared" si="101"/>
        <v>0</v>
      </c>
      <c r="CI63" s="416">
        <f t="shared" si="102"/>
        <v>0</v>
      </c>
      <c r="CJ63" s="414">
        <f t="shared" si="103"/>
        <v>0</v>
      </c>
      <c r="CK63" s="414">
        <f t="shared" si="104"/>
        <v>0</v>
      </c>
      <c r="CL63" s="414">
        <f t="shared" si="105"/>
        <v>0</v>
      </c>
      <c r="CM63" s="414">
        <f t="shared" si="106"/>
        <v>0</v>
      </c>
      <c r="CN63" s="416">
        <f t="shared" si="107"/>
        <v>0</v>
      </c>
      <c r="CO63" s="414">
        <f t="shared" si="108"/>
        <v>0</v>
      </c>
      <c r="CP63" s="414">
        <f t="shared" si="109"/>
        <v>0</v>
      </c>
      <c r="CQ63" s="414">
        <f t="shared" si="110"/>
        <v>0</v>
      </c>
      <c r="CR63" s="414">
        <f t="shared" si="111"/>
        <v>0</v>
      </c>
      <c r="CS63" s="416">
        <f t="shared" si="112"/>
        <v>0</v>
      </c>
    </row>
    <row r="64" spans="1:97" ht="15.75" customHeight="1">
      <c r="A64" s="932" t="s">
        <v>231</v>
      </c>
      <c r="B64" s="933">
        <v>42</v>
      </c>
      <c r="C64" s="231"/>
      <c r="D64" s="231"/>
      <c r="E64" s="231"/>
      <c r="F64" s="231"/>
      <c r="G64" s="231"/>
      <c r="H64" s="231"/>
      <c r="I64" s="231"/>
      <c r="J64" s="231"/>
      <c r="K64" s="412">
        <f t="shared" si="86"/>
        <v>0</v>
      </c>
      <c r="L64" s="417"/>
      <c r="M64" s="231"/>
      <c r="N64" s="231"/>
      <c r="O64" s="231"/>
      <c r="P64" s="231"/>
      <c r="Q64" s="231"/>
      <c r="R64" s="231"/>
      <c r="S64" s="231"/>
      <c r="T64" s="414">
        <f t="shared" si="87"/>
        <v>0</v>
      </c>
      <c r="U64" s="415">
        <f t="shared" si="88"/>
        <v>0</v>
      </c>
      <c r="V64" s="933">
        <v>42</v>
      </c>
      <c r="W64" s="231"/>
      <c r="X64" s="231"/>
      <c r="Y64" s="231"/>
      <c r="Z64" s="231"/>
      <c r="AA64" s="231"/>
      <c r="AB64" s="231"/>
      <c r="AC64" s="231"/>
      <c r="AD64" s="231"/>
      <c r="AE64" s="412">
        <f t="shared" si="89"/>
        <v>0</v>
      </c>
      <c r="AF64" s="417"/>
      <c r="AG64" s="231"/>
      <c r="AH64" s="231"/>
      <c r="AI64" s="231"/>
      <c r="AJ64" s="231"/>
      <c r="AK64" s="231"/>
      <c r="AL64" s="231"/>
      <c r="AM64" s="231"/>
      <c r="AN64" s="414">
        <f t="shared" si="90"/>
        <v>0</v>
      </c>
      <c r="AO64" s="415">
        <f t="shared" si="91"/>
        <v>0</v>
      </c>
      <c r="AP64" s="933">
        <v>42</v>
      </c>
      <c r="AQ64" s="231"/>
      <c r="AR64" s="231"/>
      <c r="AS64" s="231"/>
      <c r="AT64" s="231"/>
      <c r="AU64" s="231"/>
      <c r="AV64" s="231"/>
      <c r="AW64" s="231"/>
      <c r="AX64" s="231"/>
      <c r="AY64" s="412">
        <f t="shared" si="92"/>
        <v>0</v>
      </c>
      <c r="AZ64" s="417"/>
      <c r="BA64" s="231"/>
      <c r="BB64" s="231"/>
      <c r="BC64" s="231"/>
      <c r="BD64" s="231"/>
      <c r="BE64" s="231"/>
      <c r="BF64" s="231"/>
      <c r="BG64" s="231"/>
      <c r="BH64" s="414">
        <f t="shared" si="93"/>
        <v>0</v>
      </c>
      <c r="BI64" s="415">
        <f t="shared" si="94"/>
        <v>0</v>
      </c>
      <c r="BJ64" s="933">
        <v>42</v>
      </c>
      <c r="BK64" s="231"/>
      <c r="BL64" s="231"/>
      <c r="BM64" s="231"/>
      <c r="BN64" s="231"/>
      <c r="BO64" s="231"/>
      <c r="BP64" s="231"/>
      <c r="BQ64" s="231"/>
      <c r="BR64" s="231"/>
      <c r="BS64" s="412">
        <f t="shared" si="95"/>
        <v>0</v>
      </c>
      <c r="BT64" s="417"/>
      <c r="BU64" s="231"/>
      <c r="BV64" s="231"/>
      <c r="BW64" s="231"/>
      <c r="BX64" s="231"/>
      <c r="BY64" s="231"/>
      <c r="BZ64" s="231"/>
      <c r="CA64" s="231"/>
      <c r="CB64" s="414">
        <f t="shared" si="96"/>
        <v>0</v>
      </c>
      <c r="CC64" s="415">
        <f t="shared" si="97"/>
        <v>0</v>
      </c>
      <c r="CD64" s="933">
        <v>42</v>
      </c>
      <c r="CE64" s="414">
        <f t="shared" si="98"/>
        <v>0</v>
      </c>
      <c r="CF64" s="414">
        <f t="shared" si="99"/>
        <v>0</v>
      </c>
      <c r="CG64" s="414">
        <f t="shared" si="100"/>
        <v>0</v>
      </c>
      <c r="CH64" s="414">
        <f t="shared" si="101"/>
        <v>0</v>
      </c>
      <c r="CI64" s="416">
        <f t="shared" si="102"/>
        <v>0</v>
      </c>
      <c r="CJ64" s="414">
        <f t="shared" si="103"/>
        <v>0</v>
      </c>
      <c r="CK64" s="414">
        <f t="shared" si="104"/>
        <v>0</v>
      </c>
      <c r="CL64" s="414">
        <f t="shared" si="105"/>
        <v>0</v>
      </c>
      <c r="CM64" s="414">
        <f t="shared" si="106"/>
        <v>0</v>
      </c>
      <c r="CN64" s="416">
        <f t="shared" si="107"/>
        <v>0</v>
      </c>
      <c r="CO64" s="414">
        <f t="shared" si="108"/>
        <v>0</v>
      </c>
      <c r="CP64" s="414">
        <f t="shared" si="109"/>
        <v>0</v>
      </c>
      <c r="CQ64" s="414">
        <f t="shared" si="110"/>
        <v>0</v>
      </c>
      <c r="CR64" s="414">
        <f t="shared" si="111"/>
        <v>0</v>
      </c>
      <c r="CS64" s="416">
        <f t="shared" si="112"/>
        <v>0</v>
      </c>
    </row>
    <row r="65" spans="1:131" ht="15.75" customHeight="1">
      <c r="A65" s="88"/>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31" s="14" customFormat="1" ht="15.75" customHeight="1">
      <c r="A66" s="16" t="s">
        <v>233</v>
      </c>
      <c r="B66" s="933">
        <v>43</v>
      </c>
      <c r="C66" s="216">
        <f>SUM(C35:C64)-C44-C46</f>
        <v>101316.08616177745</v>
      </c>
      <c r="D66" s="216">
        <f t="shared" ref="D66:U66" si="118">SUM(D35:D64)-D44-D46</f>
        <v>622460.3549592566</v>
      </c>
      <c r="E66" s="216">
        <f t="shared" si="118"/>
        <v>377923.76326656394</v>
      </c>
      <c r="F66" s="216">
        <f t="shared" si="118"/>
        <v>1188067.8657611068</v>
      </c>
      <c r="G66" s="216">
        <f t="shared" si="118"/>
        <v>365506.29691146524</v>
      </c>
      <c r="H66" s="216">
        <f t="shared" si="118"/>
        <v>1108687.935629891</v>
      </c>
      <c r="I66" s="216">
        <f t="shared" si="118"/>
        <v>240058.62429702983</v>
      </c>
      <c r="J66" s="216">
        <f t="shared" si="118"/>
        <v>624910.08804364689</v>
      </c>
      <c r="K66" s="221">
        <f t="shared" si="118"/>
        <v>4628931.015030738</v>
      </c>
      <c r="L66" s="218">
        <f t="shared" si="118"/>
        <v>0</v>
      </c>
      <c r="M66" s="218">
        <f t="shared" si="118"/>
        <v>985152.20061846683</v>
      </c>
      <c r="N66" s="218">
        <f t="shared" si="118"/>
        <v>0</v>
      </c>
      <c r="O66" s="218">
        <f t="shared" si="118"/>
        <v>1876692.0948289048</v>
      </c>
      <c r="P66" s="218">
        <f t="shared" si="118"/>
        <v>0</v>
      </c>
      <c r="Q66" s="218">
        <f t="shared" si="118"/>
        <v>1786544.2684376333</v>
      </c>
      <c r="R66" s="218">
        <f t="shared" si="118"/>
        <v>0</v>
      </c>
      <c r="S66" s="218">
        <f t="shared" si="118"/>
        <v>1332590.2620389047</v>
      </c>
      <c r="T66" s="219">
        <f t="shared" si="118"/>
        <v>5980978.8259239085</v>
      </c>
      <c r="U66" s="218">
        <f t="shared" si="118"/>
        <v>10609909.840954646</v>
      </c>
      <c r="V66" s="933">
        <v>43</v>
      </c>
      <c r="W66" s="216">
        <f>SUM(W35:W64)-W44-W46</f>
        <v>6024.7606026795465</v>
      </c>
      <c r="X66" s="216">
        <f t="shared" ref="X66:AO66" si="119">SUM(X35:X64)-X44-X46</f>
        <v>191346.6233581682</v>
      </c>
      <c r="Y66" s="216">
        <f t="shared" si="119"/>
        <v>1556.0038086473842</v>
      </c>
      <c r="Z66" s="216">
        <f t="shared" si="119"/>
        <v>139317.75970676742</v>
      </c>
      <c r="AA66" s="216">
        <f t="shared" si="119"/>
        <v>2462.4662384555813</v>
      </c>
      <c r="AB66" s="216">
        <f t="shared" si="119"/>
        <v>142922.0189856037</v>
      </c>
      <c r="AC66" s="216">
        <f t="shared" si="119"/>
        <v>11843.128374373682</v>
      </c>
      <c r="AD66" s="216">
        <f t="shared" si="119"/>
        <v>151758.27966834203</v>
      </c>
      <c r="AE66" s="221">
        <f t="shared" si="119"/>
        <v>647231.04074303759</v>
      </c>
      <c r="AF66" s="218">
        <f t="shared" si="119"/>
        <v>0</v>
      </c>
      <c r="AG66" s="218">
        <f t="shared" si="119"/>
        <v>449687.81328223244</v>
      </c>
      <c r="AH66" s="218">
        <f t="shared" si="119"/>
        <v>0</v>
      </c>
      <c r="AI66" s="218">
        <f t="shared" si="119"/>
        <v>529944.45609624556</v>
      </c>
      <c r="AJ66" s="218">
        <f t="shared" si="119"/>
        <v>0</v>
      </c>
      <c r="AK66" s="218">
        <f t="shared" si="119"/>
        <v>424983.50434300432</v>
      </c>
      <c r="AL66" s="218">
        <f t="shared" si="119"/>
        <v>0</v>
      </c>
      <c r="AM66" s="218">
        <f t="shared" si="119"/>
        <v>494907.75805385405</v>
      </c>
      <c r="AN66" s="219">
        <f t="shared" si="119"/>
        <v>1899523.5317753365</v>
      </c>
      <c r="AO66" s="218">
        <f t="shared" si="119"/>
        <v>2546754.5725183724</v>
      </c>
      <c r="AP66" s="933">
        <v>43</v>
      </c>
      <c r="AQ66" s="216">
        <f>SUM(AQ35:AQ64)-AQ44-AQ46</f>
        <v>2892923.8552240557</v>
      </c>
      <c r="AR66" s="216">
        <f t="shared" ref="AR66:BI66" si="120">SUM(AR35:AR64)-AR44-AR46</f>
        <v>7963499.2276076479</v>
      </c>
      <c r="AS66" s="216">
        <f t="shared" si="120"/>
        <v>2613838.0073001534</v>
      </c>
      <c r="AT66" s="216">
        <f t="shared" si="120"/>
        <v>7582278.8590485668</v>
      </c>
      <c r="AU66" s="216">
        <f t="shared" si="120"/>
        <v>2919204.641644794</v>
      </c>
      <c r="AV66" s="216">
        <f t="shared" si="120"/>
        <v>8102427.6546192328</v>
      </c>
      <c r="AW66" s="216">
        <f t="shared" si="120"/>
        <v>3491411.2455858612</v>
      </c>
      <c r="AX66" s="216">
        <f t="shared" si="120"/>
        <v>8083017.1517105624</v>
      </c>
      <c r="AY66" s="221">
        <f t="shared" si="120"/>
        <v>43648600.642740875</v>
      </c>
      <c r="AZ66" s="218">
        <f t="shared" si="120"/>
        <v>0</v>
      </c>
      <c r="BA66" s="218">
        <f t="shared" si="120"/>
        <v>9059952.3748554438</v>
      </c>
      <c r="BB66" s="218">
        <f t="shared" si="120"/>
        <v>0</v>
      </c>
      <c r="BC66" s="218">
        <f t="shared" si="120"/>
        <v>8837982.638555754</v>
      </c>
      <c r="BD66" s="218">
        <f t="shared" si="120"/>
        <v>0</v>
      </c>
      <c r="BE66" s="218">
        <f t="shared" si="120"/>
        <v>9409981.5650221184</v>
      </c>
      <c r="BF66" s="218">
        <f t="shared" si="120"/>
        <v>0</v>
      </c>
      <c r="BG66" s="218">
        <f t="shared" si="120"/>
        <v>10037096.946868932</v>
      </c>
      <c r="BH66" s="219">
        <f t="shared" si="120"/>
        <v>37345013.525302254</v>
      </c>
      <c r="BI66" s="218">
        <f t="shared" si="120"/>
        <v>80993614.168043151</v>
      </c>
      <c r="BJ66" s="933">
        <v>43</v>
      </c>
      <c r="BK66" s="216">
        <f>SUM(BK35:BK64)-BK44-BK46</f>
        <v>29005.393956964843</v>
      </c>
      <c r="BL66" s="216">
        <f t="shared" ref="BL66:CR66" si="121">SUM(BL35:BL64)-BL44-BL46</f>
        <v>1234301.213420412</v>
      </c>
      <c r="BM66" s="216">
        <f t="shared" si="121"/>
        <v>671.41769339720952</v>
      </c>
      <c r="BN66" s="216">
        <f t="shared" si="121"/>
        <v>968132.75344102783</v>
      </c>
      <c r="BO66" s="216">
        <f t="shared" si="121"/>
        <v>9629.8659111447905</v>
      </c>
      <c r="BP66" s="216">
        <f t="shared" si="121"/>
        <v>1123412.333229396</v>
      </c>
      <c r="BQ66" s="216">
        <f t="shared" si="121"/>
        <v>44242.061777831608</v>
      </c>
      <c r="BR66" s="216">
        <f t="shared" si="121"/>
        <v>1399452.469987879</v>
      </c>
      <c r="BS66" s="221">
        <f t="shared" si="121"/>
        <v>4808847.5094180536</v>
      </c>
      <c r="BT66" s="218">
        <f t="shared" si="121"/>
        <v>0</v>
      </c>
      <c r="BU66" s="218">
        <f t="shared" si="121"/>
        <v>556713.81305748515</v>
      </c>
      <c r="BV66" s="218">
        <f t="shared" si="121"/>
        <v>0</v>
      </c>
      <c r="BW66" s="218">
        <f t="shared" si="121"/>
        <v>725847.06247763068</v>
      </c>
      <c r="BX66" s="218">
        <f t="shared" si="121"/>
        <v>0</v>
      </c>
      <c r="BY66" s="218">
        <f t="shared" si="121"/>
        <v>504191.16749651002</v>
      </c>
      <c r="BZ66" s="218">
        <f t="shared" si="121"/>
        <v>0</v>
      </c>
      <c r="CA66" s="218">
        <f t="shared" si="121"/>
        <v>618499.95098648744</v>
      </c>
      <c r="CB66" s="219">
        <f t="shared" si="121"/>
        <v>2405251.9940181137</v>
      </c>
      <c r="CC66" s="218">
        <f t="shared" si="121"/>
        <v>7214099.5034361677</v>
      </c>
      <c r="CD66" s="933">
        <v>43</v>
      </c>
      <c r="CE66" s="219">
        <f t="shared" ref="CE66:CH66" si="122">SUM(CE35:CE64)-CE44-CE46</f>
        <v>13040877.515290961</v>
      </c>
      <c r="CF66" s="219">
        <f t="shared" si="122"/>
        <v>12871786.430026231</v>
      </c>
      <c r="CG66" s="219">
        <f t="shared" si="122"/>
        <v>13774253.213169986</v>
      </c>
      <c r="CH66" s="219">
        <f t="shared" si="122"/>
        <v>14046693.049445529</v>
      </c>
      <c r="CI66" s="216">
        <f>SUM(BS66,AY66,AE66,K66)</f>
        <v>53733610.207932711</v>
      </c>
      <c r="CJ66" s="219">
        <f t="shared" ref="CJ66:CM66" si="123">SUM(CJ35:CJ64)-CJ44-CJ46</f>
        <v>11051506.201813627</v>
      </c>
      <c r="CK66" s="219">
        <f t="shared" si="123"/>
        <v>11970466.251958534</v>
      </c>
      <c r="CL66" s="219">
        <f t="shared" si="123"/>
        <v>12125700.505299265</v>
      </c>
      <c r="CM66" s="219">
        <f t="shared" si="123"/>
        <v>12483094.917948177</v>
      </c>
      <c r="CN66" s="216">
        <f>SUM(BX66,BD66,AJ66,P66)</f>
        <v>0</v>
      </c>
      <c r="CO66" s="219">
        <f t="shared" si="121"/>
        <v>24092383.717104588</v>
      </c>
      <c r="CP66" s="219">
        <f t="shared" si="121"/>
        <v>24842252.681984764</v>
      </c>
      <c r="CQ66" s="219">
        <f t="shared" si="121"/>
        <v>25899953.718469255</v>
      </c>
      <c r="CR66" s="219">
        <f t="shared" si="121"/>
        <v>26529787.9673937</v>
      </c>
      <c r="CS66" s="216">
        <f>SUM(CC66,BI66,AO66,U66)</f>
        <v>101364378.08495234</v>
      </c>
      <c r="CT66" s="318"/>
      <c r="CU66" s="318"/>
      <c r="CV66" s="318"/>
      <c r="CW66" s="318"/>
      <c r="CX66" s="318"/>
      <c r="CY66" s="318"/>
      <c r="CZ66" s="318"/>
      <c r="DA66" s="318"/>
      <c r="DB66" s="318"/>
      <c r="DC66" s="318"/>
      <c r="DD66" s="318"/>
      <c r="DE66" s="318"/>
      <c r="DF66" s="318"/>
      <c r="DG66" s="318"/>
      <c r="DH66" s="318"/>
      <c r="DI66" s="318"/>
      <c r="DJ66" s="318"/>
      <c r="DK66" s="318"/>
      <c r="DL66" s="318"/>
      <c r="DM66" s="318"/>
      <c r="DN66" s="318"/>
      <c r="DO66" s="318"/>
      <c r="DP66" s="318"/>
      <c r="DQ66" s="318"/>
      <c r="DR66" s="318"/>
      <c r="DS66" s="318"/>
      <c r="DT66" s="318"/>
      <c r="DU66" s="318"/>
      <c r="DV66" s="318"/>
      <c r="DW66" s="318"/>
      <c r="DX66" s="318"/>
      <c r="DY66" s="318"/>
      <c r="DZ66" s="318"/>
      <c r="EA66" s="318"/>
    </row>
    <row r="67" spans="1:131" ht="15.75" customHeight="1">
      <c r="B67" s="933"/>
      <c r="C67" s="178"/>
      <c r="D67" s="178"/>
      <c r="E67" s="178"/>
      <c r="F67" s="178"/>
      <c r="G67" s="178"/>
      <c r="H67" s="178"/>
      <c r="I67" s="178"/>
      <c r="J67" s="178"/>
      <c r="K67" s="381"/>
      <c r="L67" s="382"/>
      <c r="M67" s="178"/>
      <c r="N67" s="178"/>
      <c r="O67" s="178"/>
      <c r="P67" s="178"/>
      <c r="Q67" s="178"/>
      <c r="R67" s="178"/>
      <c r="S67" s="178"/>
      <c r="T67" s="178"/>
      <c r="U67" s="383"/>
      <c r="V67" s="933"/>
      <c r="W67" s="178"/>
      <c r="X67" s="178"/>
      <c r="Y67" s="178"/>
      <c r="Z67" s="178"/>
      <c r="AA67" s="178"/>
      <c r="AB67" s="178"/>
      <c r="AC67" s="178"/>
      <c r="AD67" s="178"/>
      <c r="AE67" s="381"/>
      <c r="AF67" s="382"/>
      <c r="AG67" s="178"/>
      <c r="AH67" s="178"/>
      <c r="AI67" s="178"/>
      <c r="AJ67" s="178"/>
      <c r="AK67" s="178"/>
      <c r="AL67" s="178"/>
      <c r="AM67" s="178"/>
      <c r="AN67" s="178"/>
      <c r="AO67" s="383"/>
      <c r="AP67" s="933"/>
      <c r="AQ67" s="178"/>
      <c r="AR67" s="178"/>
      <c r="AS67" s="178"/>
      <c r="AT67" s="178"/>
      <c r="AU67" s="178"/>
      <c r="AV67" s="178"/>
      <c r="AW67" s="178"/>
      <c r="AX67" s="178"/>
      <c r="AY67" s="381"/>
      <c r="AZ67" s="382"/>
      <c r="BA67" s="178"/>
      <c r="BB67" s="178"/>
      <c r="BC67" s="178"/>
      <c r="BD67" s="178"/>
      <c r="BE67" s="178"/>
      <c r="BF67" s="178"/>
      <c r="BG67" s="178"/>
      <c r="BH67" s="178"/>
      <c r="BI67" s="383"/>
      <c r="BJ67" s="933"/>
      <c r="BK67" s="178"/>
      <c r="BL67" s="178"/>
      <c r="BM67" s="178"/>
      <c r="BN67" s="178"/>
      <c r="BO67" s="178"/>
      <c r="BP67" s="178"/>
      <c r="BQ67" s="178"/>
      <c r="BR67" s="178"/>
      <c r="BS67" s="381"/>
      <c r="BT67" s="382"/>
      <c r="BU67" s="178"/>
      <c r="BV67" s="178"/>
      <c r="BW67" s="178"/>
      <c r="BX67" s="178"/>
      <c r="BY67" s="178"/>
      <c r="BZ67" s="178"/>
      <c r="CA67" s="178"/>
      <c r="CB67" s="178"/>
      <c r="CC67" s="383"/>
      <c r="CD67" s="933"/>
      <c r="CE67" s="178"/>
      <c r="CF67" s="178"/>
      <c r="CG67" s="178"/>
      <c r="CH67" s="178"/>
      <c r="CI67" s="419"/>
      <c r="CJ67" s="178"/>
      <c r="CK67" s="178"/>
      <c r="CL67" s="178"/>
      <c r="CM67" s="178"/>
      <c r="CN67" s="419"/>
      <c r="CO67" s="178"/>
      <c r="CP67" s="178"/>
      <c r="CQ67" s="178"/>
      <c r="CR67" s="178"/>
      <c r="CS67" s="419"/>
    </row>
    <row r="68" spans="1:131" ht="15.75" customHeight="1">
      <c r="A68" s="16"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31" ht="15.75" customHeight="1">
      <c r="A69" s="88" t="s">
        <v>236</v>
      </c>
      <c r="B69" s="933">
        <v>44</v>
      </c>
      <c r="C69" s="420">
        <v>385.61828227890459</v>
      </c>
      <c r="D69" s="420">
        <v>1369.8056076727644</v>
      </c>
      <c r="E69" s="420">
        <v>441.93376737220348</v>
      </c>
      <c r="F69" s="420">
        <v>1350.6733518111928</v>
      </c>
      <c r="G69" s="420">
        <v>995.7934839035222</v>
      </c>
      <c r="H69" s="420">
        <v>2535.7393548939476</v>
      </c>
      <c r="I69" s="420">
        <v>725.72999197262504</v>
      </c>
      <c r="J69" s="420">
        <v>1861.0181788097004</v>
      </c>
      <c r="K69" s="412">
        <f>SUM(C69:J69)</f>
        <v>9666.3120187148597</v>
      </c>
      <c r="L69" s="421">
        <v>0</v>
      </c>
      <c r="M69" s="420">
        <v>2392.9892276925325</v>
      </c>
      <c r="N69" s="420">
        <v>0</v>
      </c>
      <c r="O69" s="420">
        <v>2165.0473091899794</v>
      </c>
      <c r="P69" s="420">
        <v>0</v>
      </c>
      <c r="Q69" s="420">
        <v>5163.1891054712405</v>
      </c>
      <c r="R69" s="420">
        <v>0</v>
      </c>
      <c r="S69" s="420">
        <v>3455.6839012869168</v>
      </c>
      <c r="T69" s="414">
        <f>SUM(L69:S69)</f>
        <v>13176.909543640668</v>
      </c>
      <c r="U69" s="415">
        <f>SUM(T69,K69)</f>
        <v>22843.221562355528</v>
      </c>
      <c r="V69" s="933">
        <v>44</v>
      </c>
      <c r="W69" s="420">
        <v>79.870029198124399</v>
      </c>
      <c r="X69" s="420">
        <v>1075.4601868581503</v>
      </c>
      <c r="Y69" s="420">
        <v>58.036452575117607</v>
      </c>
      <c r="Z69" s="420">
        <v>1041.5253592448846</v>
      </c>
      <c r="AA69" s="420">
        <v>87.812390639752252</v>
      </c>
      <c r="AB69" s="420">
        <v>1944.8334509453052</v>
      </c>
      <c r="AC69" s="420">
        <v>129.1191197003532</v>
      </c>
      <c r="AD69" s="420">
        <v>1510.8672055097079</v>
      </c>
      <c r="AE69" s="412">
        <f>SUM(W69:AD69)</f>
        <v>5927.5241946713959</v>
      </c>
      <c r="AF69" s="421">
        <v>0</v>
      </c>
      <c r="AG69" s="420">
        <v>1018.6388172425877</v>
      </c>
      <c r="AH69" s="420">
        <v>0</v>
      </c>
      <c r="AI69" s="420">
        <v>957.53228646506739</v>
      </c>
      <c r="AJ69" s="420">
        <v>0</v>
      </c>
      <c r="AK69" s="420">
        <v>2371.8256401903764</v>
      </c>
      <c r="AL69" s="420">
        <v>0</v>
      </c>
      <c r="AM69" s="420">
        <v>1715.2784341732838</v>
      </c>
      <c r="AN69" s="414">
        <f>SUM(AF69:AM69)</f>
        <v>6063.2751780713152</v>
      </c>
      <c r="AO69" s="415">
        <f>SUM(AN69,AE69)</f>
        <v>11990.799372742711</v>
      </c>
      <c r="AP69" s="933">
        <v>44</v>
      </c>
      <c r="AQ69" s="420">
        <v>9860.3375120718774</v>
      </c>
      <c r="AR69" s="420">
        <v>31310.695326748333</v>
      </c>
      <c r="AS69" s="420">
        <v>10373.091234882046</v>
      </c>
      <c r="AT69" s="420">
        <v>31639.944817006064</v>
      </c>
      <c r="AU69" s="420">
        <v>19921.431812576739</v>
      </c>
      <c r="AV69" s="420">
        <v>61394.866929194162</v>
      </c>
      <c r="AW69" s="420">
        <v>15173.444676966647</v>
      </c>
      <c r="AX69" s="420">
        <v>45132.717597447903</v>
      </c>
      <c r="AY69" s="412">
        <f>SUM(AQ69:AX69)</f>
        <v>224806.52990689379</v>
      </c>
      <c r="AZ69" s="421">
        <v>0</v>
      </c>
      <c r="BA69" s="420">
        <v>21512.010094137484</v>
      </c>
      <c r="BB69" s="420">
        <v>0</v>
      </c>
      <c r="BC69" s="420">
        <v>17655.625719485412</v>
      </c>
      <c r="BD69" s="420">
        <v>0</v>
      </c>
      <c r="BE69" s="420">
        <v>45144.630317919371</v>
      </c>
      <c r="BF69" s="420">
        <v>0</v>
      </c>
      <c r="BG69" s="420">
        <v>30247.277819825871</v>
      </c>
      <c r="BH69" s="414">
        <f>SUM(AZ69:BG69)</f>
        <v>114559.54395136815</v>
      </c>
      <c r="BI69" s="415">
        <f>SUM(BH69,AY69)</f>
        <v>339366.07385826192</v>
      </c>
      <c r="BJ69" s="933">
        <v>44</v>
      </c>
      <c r="BK69" s="420">
        <v>137.10808905874367</v>
      </c>
      <c r="BL69" s="420">
        <v>4013.8926708365452</v>
      </c>
      <c r="BM69" s="420">
        <v>87.682833366616563</v>
      </c>
      <c r="BN69" s="420">
        <v>3964.5455774776328</v>
      </c>
      <c r="BO69" s="420">
        <v>369.03474364692795</v>
      </c>
      <c r="BP69" s="420">
        <v>7338.9509393027165</v>
      </c>
      <c r="BQ69" s="420">
        <v>399.43770360894428</v>
      </c>
      <c r="BR69" s="420">
        <v>5573.022397913126</v>
      </c>
      <c r="BS69" s="412">
        <f>SUM(BK69:BR69)</f>
        <v>21883.674955211252</v>
      </c>
      <c r="BT69" s="421">
        <v>0</v>
      </c>
      <c r="BU69" s="420">
        <v>809.00957983368608</v>
      </c>
      <c r="BV69" s="420">
        <v>0</v>
      </c>
      <c r="BW69" s="420">
        <v>821.99393473253758</v>
      </c>
      <c r="BX69" s="420">
        <v>0</v>
      </c>
      <c r="BY69" s="420">
        <v>1945.6567924110973</v>
      </c>
      <c r="BZ69" s="420">
        <v>0</v>
      </c>
      <c r="CA69" s="420">
        <v>1606.6894076403405</v>
      </c>
      <c r="CB69" s="414">
        <f>SUM(BT69:CA69)</f>
        <v>5183.3497146176614</v>
      </c>
      <c r="CC69" s="415">
        <f>SUM(CB69,BS69)</f>
        <v>27067.024669828912</v>
      </c>
      <c r="CD69" s="933">
        <v>44</v>
      </c>
      <c r="CE69" s="414">
        <f t="shared" ref="CE69:CE71" si="124">+C69+D69+W69+X69+AQ69+AR69+BK69+BL69</f>
        <v>48232.787704723451</v>
      </c>
      <c r="CF69" s="414">
        <f t="shared" ref="CF69:CF71" si="125">+E69+F69+Y69+Z69+AS69+AT69+BM69+BN69</f>
        <v>48957.433393735759</v>
      </c>
      <c r="CG69" s="414">
        <f t="shared" ref="CG69:CG71" si="126">+G69+H69+AA69+AB69+AU69+AV69+BO69+BP69</f>
        <v>94588.463105103074</v>
      </c>
      <c r="CH69" s="414">
        <f t="shared" ref="CH69:CH71" si="127">+I69+J69+AC69+AD69+AW69+AX69+BQ69+BR69</f>
        <v>70505.356871929005</v>
      </c>
      <c r="CI69" s="416">
        <f t="shared" ref="CI69:CI71" si="128">SUM(K69,AE69,AY69,BS69)</f>
        <v>262284.04107549129</v>
      </c>
      <c r="CJ69" s="414">
        <f t="shared" ref="CJ69:CJ71" si="129">L69+M69+AF69+AG69+AZ69+BA69+BT69+BU69</f>
        <v>25732.647718906293</v>
      </c>
      <c r="CK69" s="414">
        <f t="shared" ref="CK69:CK71" si="130">N69+O69+AH69+AI69+BB69+BC69+BV69+BW69</f>
        <v>21600.199249872996</v>
      </c>
      <c r="CL69" s="414">
        <f t="shared" ref="CL69:CL71" si="131">P69+Q69+AJ69+AK69+BD69+BE69+BX69+BY69</f>
        <v>54625.301855992089</v>
      </c>
      <c r="CM69" s="414">
        <f t="shared" ref="CM69:CM71" si="132">+R69+S69+AL69+AM69+BF69+BG69+BZ69+CA69</f>
        <v>37024.929562926409</v>
      </c>
      <c r="CN69" s="416">
        <f t="shared" ref="CN69:CN71" si="133">SUM(T69,AN69,BH69,CB69)</f>
        <v>138983.07838769778</v>
      </c>
      <c r="CO69" s="414">
        <f t="shared" ref="CO69:CO71" si="134">+C69+D69+L69+M69+W69+X69+AF69+AG69+AQ69+AR69+AZ69+BA69+BK69+BL69+BT69+BU69</f>
        <v>73965.435423629737</v>
      </c>
      <c r="CP69" s="414">
        <f t="shared" ref="CP69:CP71" si="135">+E69+F69+N69+O69+Y69+Z69+AH69+AI69+AS69+AT69+BB69+BC69+BM69+BN69+BV69+BW69</f>
        <v>70557.632643608755</v>
      </c>
      <c r="CQ69" s="414">
        <f t="shared" ref="CQ69:CQ71" si="136">+G69+H69+P69+Q69+AA69+AB69+AJ69+AK69+AU69+AV69+BD69+BE69+BO69+BP69+BX69+BY69</f>
        <v>149213.76496109512</v>
      </c>
      <c r="CR69" s="414">
        <f t="shared" ref="CR69:CR71" si="137">+I69+J69+R69+S69+AC69+AD69+AL69+AM69+AW69+AX69+BF69+BG69+BQ69+BR69+BZ69+CA69</f>
        <v>107530.28643485541</v>
      </c>
      <c r="CS69" s="416">
        <f t="shared" ref="CS69:CS71" si="138">SUM(CC69,BI69,AO69,U69)</f>
        <v>401267.1194631891</v>
      </c>
    </row>
    <row r="70" spans="1:131" ht="15.75" customHeight="1">
      <c r="A70" s="88" t="s">
        <v>238</v>
      </c>
      <c r="B70" s="933">
        <v>45</v>
      </c>
      <c r="C70" s="232">
        <f t="shared" ref="C70:J70" si="139">IF(ABS(C62)&lt;C83, -C62, C83)</f>
        <v>0</v>
      </c>
      <c r="D70" s="232">
        <f t="shared" si="139"/>
        <v>0</v>
      </c>
      <c r="E70" s="232">
        <f t="shared" si="139"/>
        <v>0</v>
      </c>
      <c r="F70" s="232">
        <f t="shared" si="139"/>
        <v>0</v>
      </c>
      <c r="G70" s="232">
        <f t="shared" si="139"/>
        <v>0</v>
      </c>
      <c r="H70" s="232">
        <f t="shared" si="139"/>
        <v>0</v>
      </c>
      <c r="I70" s="232">
        <f t="shared" si="139"/>
        <v>0</v>
      </c>
      <c r="J70" s="232">
        <f t="shared" si="139"/>
        <v>0</v>
      </c>
      <c r="K70" s="412">
        <f t="shared" ref="K70" si="140">SUM(C70:J70)</f>
        <v>0</v>
      </c>
      <c r="L70" s="418">
        <f t="shared" ref="L70:S70" si="141">IF(ABS(L62)&lt;L83, -L62, L83)</f>
        <v>0</v>
      </c>
      <c r="M70" s="232">
        <f t="shared" si="141"/>
        <v>0</v>
      </c>
      <c r="N70" s="232">
        <f t="shared" si="141"/>
        <v>0</v>
      </c>
      <c r="O70" s="232">
        <f t="shared" si="141"/>
        <v>0</v>
      </c>
      <c r="P70" s="232">
        <f t="shared" si="141"/>
        <v>0</v>
      </c>
      <c r="Q70" s="232">
        <f t="shared" si="141"/>
        <v>0</v>
      </c>
      <c r="R70" s="232">
        <f t="shared" si="141"/>
        <v>0</v>
      </c>
      <c r="S70" s="232">
        <f t="shared" si="141"/>
        <v>0</v>
      </c>
      <c r="T70" s="414">
        <f t="shared" ref="T70" si="142">SUM(L70:S70)</f>
        <v>0</v>
      </c>
      <c r="U70" s="415">
        <f t="shared" ref="U70" si="143">SUM(T70,K70)</f>
        <v>0</v>
      </c>
      <c r="V70" s="933">
        <v>45</v>
      </c>
      <c r="W70" s="232">
        <f t="shared" ref="W70:AD70" si="144">IF(ABS(W62)&lt;W83, -W62, W83)</f>
        <v>0</v>
      </c>
      <c r="X70" s="232">
        <f t="shared" si="144"/>
        <v>0</v>
      </c>
      <c r="Y70" s="232">
        <f t="shared" si="144"/>
        <v>0</v>
      </c>
      <c r="Z70" s="232">
        <f t="shared" si="144"/>
        <v>0</v>
      </c>
      <c r="AA70" s="232">
        <f t="shared" si="144"/>
        <v>0</v>
      </c>
      <c r="AB70" s="232">
        <f t="shared" si="144"/>
        <v>0</v>
      </c>
      <c r="AC70" s="232">
        <f t="shared" si="144"/>
        <v>0</v>
      </c>
      <c r="AD70" s="232">
        <f t="shared" si="144"/>
        <v>0</v>
      </c>
      <c r="AE70" s="412">
        <f t="shared" ref="AE70" si="145">SUM(W70:AD70)</f>
        <v>0</v>
      </c>
      <c r="AF70" s="418">
        <f t="shared" ref="AF70:AM70" si="146">IF(ABS(AF62)&lt;AF83, -AF62, AF83)</f>
        <v>0</v>
      </c>
      <c r="AG70" s="232">
        <f t="shared" si="146"/>
        <v>0</v>
      </c>
      <c r="AH70" s="232">
        <f t="shared" si="146"/>
        <v>0</v>
      </c>
      <c r="AI70" s="232">
        <f t="shared" si="146"/>
        <v>0</v>
      </c>
      <c r="AJ70" s="232">
        <f t="shared" si="146"/>
        <v>0</v>
      </c>
      <c r="AK70" s="232">
        <f t="shared" si="146"/>
        <v>0</v>
      </c>
      <c r="AL70" s="232">
        <f t="shared" si="146"/>
        <v>0</v>
      </c>
      <c r="AM70" s="232">
        <f t="shared" si="146"/>
        <v>0</v>
      </c>
      <c r="AN70" s="414">
        <f t="shared" ref="AN70" si="147">SUM(AF70:AM70)</f>
        <v>0</v>
      </c>
      <c r="AO70" s="415">
        <f t="shared" ref="AO70" si="148">SUM(AN70,AE70)</f>
        <v>0</v>
      </c>
      <c r="AP70" s="933">
        <v>45</v>
      </c>
      <c r="AQ70" s="232">
        <f t="shared" ref="AQ70:AX70" si="149">IF(ABS(AQ62)&lt;AQ83, -AQ62, AQ83)</f>
        <v>0</v>
      </c>
      <c r="AR70" s="232">
        <f t="shared" si="149"/>
        <v>0</v>
      </c>
      <c r="AS70" s="232">
        <f t="shared" si="149"/>
        <v>0</v>
      </c>
      <c r="AT70" s="232">
        <f t="shared" si="149"/>
        <v>0</v>
      </c>
      <c r="AU70" s="232">
        <f t="shared" si="149"/>
        <v>0</v>
      </c>
      <c r="AV70" s="232">
        <f t="shared" si="149"/>
        <v>0</v>
      </c>
      <c r="AW70" s="232">
        <f t="shared" si="149"/>
        <v>0</v>
      </c>
      <c r="AX70" s="232">
        <f t="shared" si="149"/>
        <v>0</v>
      </c>
      <c r="AY70" s="412">
        <f t="shared" ref="AY70" si="150">SUM(AQ70:AX70)</f>
        <v>0</v>
      </c>
      <c r="AZ70" s="418">
        <f t="shared" ref="AZ70:BG70" si="151">IF(ABS(AZ62)&lt;AZ83, -AZ62, AZ83)</f>
        <v>0</v>
      </c>
      <c r="BA70" s="232">
        <f t="shared" si="151"/>
        <v>0</v>
      </c>
      <c r="BB70" s="232">
        <f t="shared" si="151"/>
        <v>0</v>
      </c>
      <c r="BC70" s="232">
        <f t="shared" si="151"/>
        <v>0</v>
      </c>
      <c r="BD70" s="232">
        <f t="shared" si="151"/>
        <v>0</v>
      </c>
      <c r="BE70" s="232">
        <f t="shared" si="151"/>
        <v>0</v>
      </c>
      <c r="BF70" s="232">
        <f t="shared" si="151"/>
        <v>0</v>
      </c>
      <c r="BG70" s="232">
        <f t="shared" si="151"/>
        <v>0</v>
      </c>
      <c r="BH70" s="414">
        <f t="shared" ref="BH70" si="152">SUM(AZ70:BG70)</f>
        <v>0</v>
      </c>
      <c r="BI70" s="415">
        <f t="shared" ref="BI70" si="153">SUM(BH70,AY70)</f>
        <v>0</v>
      </c>
      <c r="BJ70" s="933">
        <v>45</v>
      </c>
      <c r="BK70" s="232">
        <f t="shared" ref="BK70:BR70" si="154">IF(ABS(BK62)&lt;BK83, -BK62, BK83)</f>
        <v>0</v>
      </c>
      <c r="BL70" s="232">
        <f t="shared" si="154"/>
        <v>0</v>
      </c>
      <c r="BM70" s="232">
        <f t="shared" si="154"/>
        <v>0</v>
      </c>
      <c r="BN70" s="232">
        <f t="shared" si="154"/>
        <v>0</v>
      </c>
      <c r="BO70" s="232">
        <f t="shared" si="154"/>
        <v>0</v>
      </c>
      <c r="BP70" s="232">
        <f t="shared" si="154"/>
        <v>0</v>
      </c>
      <c r="BQ70" s="232">
        <f t="shared" si="154"/>
        <v>0</v>
      </c>
      <c r="BR70" s="232">
        <f t="shared" si="154"/>
        <v>0</v>
      </c>
      <c r="BS70" s="412">
        <f t="shared" ref="BS70" si="155">SUM(BK70:BR70)</f>
        <v>0</v>
      </c>
      <c r="BT70" s="418">
        <f t="shared" ref="BT70:CA70" si="156">IF(ABS(BT62)&lt;BT83, -BT62, BT83)</f>
        <v>0</v>
      </c>
      <c r="BU70" s="232">
        <f t="shared" si="156"/>
        <v>0</v>
      </c>
      <c r="BV70" s="232">
        <f t="shared" si="156"/>
        <v>0</v>
      </c>
      <c r="BW70" s="232">
        <f t="shared" si="156"/>
        <v>0</v>
      </c>
      <c r="BX70" s="232">
        <f t="shared" si="156"/>
        <v>0</v>
      </c>
      <c r="BY70" s="232">
        <f t="shared" si="156"/>
        <v>0</v>
      </c>
      <c r="BZ70" s="232">
        <f t="shared" si="156"/>
        <v>0</v>
      </c>
      <c r="CA70" s="232">
        <f t="shared" si="156"/>
        <v>0</v>
      </c>
      <c r="CB70" s="414">
        <f t="shared" ref="CB70" si="157">SUM(BT70:CA70)</f>
        <v>0</v>
      </c>
      <c r="CC70" s="415">
        <f t="shared" ref="CC70" si="158">SUM(CB70,BS70)</f>
        <v>0</v>
      </c>
      <c r="CD70" s="933">
        <v>45</v>
      </c>
      <c r="CE70" s="414">
        <f t="shared" si="124"/>
        <v>0</v>
      </c>
      <c r="CF70" s="414">
        <f t="shared" si="125"/>
        <v>0</v>
      </c>
      <c r="CG70" s="414">
        <f t="shared" si="126"/>
        <v>0</v>
      </c>
      <c r="CH70" s="414">
        <f t="shared" si="127"/>
        <v>0</v>
      </c>
      <c r="CI70" s="416">
        <f t="shared" si="128"/>
        <v>0</v>
      </c>
      <c r="CJ70" s="414">
        <f t="shared" si="129"/>
        <v>0</v>
      </c>
      <c r="CK70" s="414">
        <f t="shared" si="130"/>
        <v>0</v>
      </c>
      <c r="CL70" s="414">
        <f t="shared" si="131"/>
        <v>0</v>
      </c>
      <c r="CM70" s="414">
        <f t="shared" si="132"/>
        <v>0</v>
      </c>
      <c r="CN70" s="416">
        <f t="shared" si="133"/>
        <v>0</v>
      </c>
      <c r="CO70" s="414">
        <f t="shared" si="134"/>
        <v>0</v>
      </c>
      <c r="CP70" s="414">
        <f t="shared" si="135"/>
        <v>0</v>
      </c>
      <c r="CQ70" s="414">
        <f t="shared" si="136"/>
        <v>0</v>
      </c>
      <c r="CR70" s="414">
        <f t="shared" si="137"/>
        <v>0</v>
      </c>
      <c r="CS70" s="416">
        <f t="shared" si="138"/>
        <v>0</v>
      </c>
    </row>
    <row r="71" spans="1:131" ht="15.75" customHeight="1">
      <c r="A71" s="88" t="s">
        <v>1342</v>
      </c>
      <c r="B71" s="300">
        <v>46</v>
      </c>
      <c r="C71" s="420">
        <v>3100.9235804171126</v>
      </c>
      <c r="D71" s="420">
        <v>11015.200016756151</v>
      </c>
      <c r="E71" s="420">
        <v>3896.2417642504379</v>
      </c>
      <c r="F71" s="420">
        <v>11908.005931474101</v>
      </c>
      <c r="G71" s="420">
        <v>4529.5331878475163</v>
      </c>
      <c r="H71" s="420">
        <v>11534.234506836745</v>
      </c>
      <c r="I71" s="420">
        <v>4634.2970451565152</v>
      </c>
      <c r="J71" s="420">
        <v>11883.911568265012</v>
      </c>
      <c r="K71" s="412">
        <f>SUM(C71:J71)</f>
        <v>62502.347601003581</v>
      </c>
      <c r="L71" s="421">
        <v>0</v>
      </c>
      <c r="M71" s="420">
        <v>29461.804397895368</v>
      </c>
      <c r="N71" s="420">
        <v>0</v>
      </c>
      <c r="O71" s="420">
        <v>28176.210985688347</v>
      </c>
      <c r="P71" s="420">
        <v>0</v>
      </c>
      <c r="Q71" s="420">
        <v>28268.681706827731</v>
      </c>
      <c r="R71" s="420">
        <v>0</v>
      </c>
      <c r="S71" s="420">
        <v>28325.556834158233</v>
      </c>
      <c r="T71" s="414">
        <f>SUM(L71:S71)</f>
        <v>114232.25392456967</v>
      </c>
      <c r="U71" s="415">
        <f>SUM(T71,K71)</f>
        <v>176734.60152557323</v>
      </c>
      <c r="V71" s="300">
        <v>46</v>
      </c>
      <c r="W71" s="420">
        <v>642.26948848326469</v>
      </c>
      <c r="X71" s="420">
        <v>8648.2410364978459</v>
      </c>
      <c r="Y71" s="420">
        <v>511.66954658540021</v>
      </c>
      <c r="Z71" s="420">
        <v>9182.4497307491802</v>
      </c>
      <c r="AA71" s="420">
        <v>399.42934367054414</v>
      </c>
      <c r="AB71" s="420">
        <v>8846.4001856696796</v>
      </c>
      <c r="AC71" s="420">
        <v>824.51650272037841</v>
      </c>
      <c r="AD71" s="420">
        <v>9647.9510335320847</v>
      </c>
      <c r="AE71" s="412">
        <f>SUM(W71:AD71)</f>
        <v>38702.926867908376</v>
      </c>
      <c r="AF71" s="421">
        <v>0</v>
      </c>
      <c r="AG71" s="420">
        <v>12541.192094977796</v>
      </c>
      <c r="AH71" s="420">
        <v>0</v>
      </c>
      <c r="AI71" s="420">
        <v>12461.451356987829</v>
      </c>
      <c r="AJ71" s="420">
        <v>0</v>
      </c>
      <c r="AK71" s="420">
        <v>12985.847064091839</v>
      </c>
      <c r="AL71" s="420">
        <v>0</v>
      </c>
      <c r="AM71" s="420">
        <v>14059.797759710458</v>
      </c>
      <c r="AN71" s="414">
        <f>SUM(AF71:AM71)</f>
        <v>52048.288275767918</v>
      </c>
      <c r="AO71" s="415">
        <f>SUM(AN71,AE71)</f>
        <v>90751.215143676294</v>
      </c>
      <c r="AP71" s="300">
        <v>46</v>
      </c>
      <c r="AQ71" s="420">
        <v>79291.24345805886</v>
      </c>
      <c r="AR71" s="420">
        <v>251782.85864503283</v>
      </c>
      <c r="AS71" s="420">
        <v>91452.779302307812</v>
      </c>
      <c r="AT71" s="420">
        <v>278948.75548347161</v>
      </c>
      <c r="AU71" s="420">
        <v>90615.964055906661</v>
      </c>
      <c r="AV71" s="420">
        <v>279264.81927673449</v>
      </c>
      <c r="AW71" s="420">
        <v>96893.129137709417</v>
      </c>
      <c r="AX71" s="420">
        <v>288204.18353280053</v>
      </c>
      <c r="AY71" s="412">
        <f>SUM(AQ71:AX71)</f>
        <v>1456453.7328920222</v>
      </c>
      <c r="AZ71" s="421">
        <v>0</v>
      </c>
      <c r="BA71" s="420">
        <v>264849.76458091353</v>
      </c>
      <c r="BB71" s="420">
        <v>0</v>
      </c>
      <c r="BC71" s="420">
        <v>229772.63972244892</v>
      </c>
      <c r="BD71" s="420">
        <v>0</v>
      </c>
      <c r="BE71" s="420">
        <v>247168.78641484349</v>
      </c>
      <c r="BF71" s="420">
        <v>0</v>
      </c>
      <c r="BG71" s="420">
        <v>247930.94838477118</v>
      </c>
      <c r="BH71" s="414">
        <f>SUM(AZ71:BG71)</f>
        <v>989722.13910297723</v>
      </c>
      <c r="BI71" s="415">
        <f>SUM(BH71,AY71)</f>
        <v>2446175.8719949992</v>
      </c>
      <c r="BJ71" s="300">
        <v>46</v>
      </c>
      <c r="BK71" s="420">
        <v>1102.5455118870188</v>
      </c>
      <c r="BL71" s="420">
        <v>32277.448980642828</v>
      </c>
      <c r="BM71" s="420">
        <v>773.04234840940376</v>
      </c>
      <c r="BN71" s="420">
        <v>34952.812379763607</v>
      </c>
      <c r="BO71" s="420">
        <v>1678.6162450722661</v>
      </c>
      <c r="BP71" s="420">
        <v>33382.445638474397</v>
      </c>
      <c r="BQ71" s="420">
        <v>2550.6910146120281</v>
      </c>
      <c r="BR71" s="420">
        <v>35587.672435913439</v>
      </c>
      <c r="BS71" s="412">
        <f>SUM(BK71:BR71)</f>
        <v>142305.27455477498</v>
      </c>
      <c r="BT71" s="421">
        <v>0</v>
      </c>
      <c r="BU71" s="420">
        <v>9960.2964030333878</v>
      </c>
      <c r="BV71" s="420">
        <v>0</v>
      </c>
      <c r="BW71" s="420">
        <v>10697.537386675092</v>
      </c>
      <c r="BX71" s="420">
        <v>0</v>
      </c>
      <c r="BY71" s="420">
        <v>10652.554351943845</v>
      </c>
      <c r="BZ71" s="420">
        <v>0</v>
      </c>
      <c r="CA71" s="420">
        <v>13169.715006053695</v>
      </c>
      <c r="CB71" s="414">
        <f>SUM(BT71:CA71)</f>
        <v>44480.103147706017</v>
      </c>
      <c r="CC71" s="415">
        <f>SUM(CB71,BS71)</f>
        <v>186785.377702481</v>
      </c>
      <c r="CD71" s="300">
        <v>46</v>
      </c>
      <c r="CE71" s="414">
        <f t="shared" si="124"/>
        <v>387860.73071777594</v>
      </c>
      <c r="CF71" s="414">
        <f t="shared" si="125"/>
        <v>431625.75648701156</v>
      </c>
      <c r="CG71" s="414">
        <f t="shared" si="126"/>
        <v>430251.44244021235</v>
      </c>
      <c r="CH71" s="414">
        <f t="shared" si="127"/>
        <v>450226.35227070935</v>
      </c>
      <c r="CI71" s="416">
        <f t="shared" si="128"/>
        <v>1699964.2819157094</v>
      </c>
      <c r="CJ71" s="414">
        <f t="shared" si="129"/>
        <v>316813.05747682007</v>
      </c>
      <c r="CK71" s="414">
        <f t="shared" si="130"/>
        <v>281107.83945180016</v>
      </c>
      <c r="CL71" s="414">
        <f t="shared" si="131"/>
        <v>299075.86953770689</v>
      </c>
      <c r="CM71" s="414">
        <f t="shared" si="132"/>
        <v>303486.01798469352</v>
      </c>
      <c r="CN71" s="416">
        <f t="shared" si="133"/>
        <v>1200482.7844510209</v>
      </c>
      <c r="CO71" s="414">
        <f t="shared" si="134"/>
        <v>704673.78819459607</v>
      </c>
      <c r="CP71" s="414">
        <f t="shared" si="135"/>
        <v>712733.59593881178</v>
      </c>
      <c r="CQ71" s="414">
        <f t="shared" si="136"/>
        <v>729327.31197791919</v>
      </c>
      <c r="CR71" s="414">
        <f t="shared" si="137"/>
        <v>753712.37025540287</v>
      </c>
      <c r="CS71" s="416">
        <f t="shared" si="138"/>
        <v>2900447.0663667298</v>
      </c>
    </row>
    <row r="72" spans="1:131" s="14"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c r="CT72" s="318"/>
      <c r="CU72" s="318"/>
      <c r="CV72" s="318"/>
      <c r="CW72" s="318"/>
      <c r="CX72" s="318"/>
      <c r="CY72" s="318"/>
      <c r="CZ72" s="318"/>
      <c r="DA72" s="318"/>
      <c r="DB72" s="318"/>
      <c r="DC72" s="318"/>
      <c r="DD72" s="318"/>
      <c r="DE72" s="318"/>
      <c r="DF72" s="318"/>
      <c r="DG72" s="318"/>
      <c r="DH72" s="318"/>
      <c r="DI72" s="318"/>
      <c r="DJ72" s="318"/>
      <c r="DK72" s="318"/>
      <c r="DL72" s="318"/>
      <c r="DM72" s="318"/>
      <c r="DN72" s="318"/>
      <c r="DO72" s="318"/>
      <c r="DP72" s="318"/>
      <c r="DQ72" s="318"/>
      <c r="DR72" s="318"/>
      <c r="DS72" s="318"/>
      <c r="DT72" s="318"/>
      <c r="DU72" s="318"/>
      <c r="DV72" s="318"/>
      <c r="DW72" s="318"/>
      <c r="DX72" s="318"/>
      <c r="DY72" s="318"/>
      <c r="DZ72" s="318"/>
      <c r="EA72" s="318"/>
    </row>
    <row r="73" spans="1:131" s="14" customFormat="1">
      <c r="A73" s="16" t="s">
        <v>241</v>
      </c>
      <c r="B73" s="300">
        <v>47</v>
      </c>
      <c r="C73" s="216">
        <f t="shared" ref="C73:U73" si="159">SUM(C69:C71)</f>
        <v>3486.5418626960172</v>
      </c>
      <c r="D73" s="216">
        <f t="shared" si="159"/>
        <v>12385.005624428915</v>
      </c>
      <c r="E73" s="216">
        <f t="shared" si="159"/>
        <v>4338.1755316226418</v>
      </c>
      <c r="F73" s="216">
        <f t="shared" si="159"/>
        <v>13258.679283285293</v>
      </c>
      <c r="G73" s="216">
        <f t="shared" si="159"/>
        <v>5525.3266717510387</v>
      </c>
      <c r="H73" s="216">
        <f t="shared" si="159"/>
        <v>14069.973861730692</v>
      </c>
      <c r="I73" s="216">
        <f t="shared" si="159"/>
        <v>5360.0270371291399</v>
      </c>
      <c r="J73" s="216">
        <f t="shared" si="159"/>
        <v>13744.929747074711</v>
      </c>
      <c r="K73" s="221">
        <f t="shared" si="159"/>
        <v>72168.659619718441</v>
      </c>
      <c r="L73" s="218">
        <f t="shared" si="159"/>
        <v>0</v>
      </c>
      <c r="M73" s="216">
        <f t="shared" si="159"/>
        <v>31854.793625587899</v>
      </c>
      <c r="N73" s="216">
        <f t="shared" si="159"/>
        <v>0</v>
      </c>
      <c r="O73" s="216">
        <f t="shared" si="159"/>
        <v>30341.258294878327</v>
      </c>
      <c r="P73" s="216">
        <f t="shared" si="159"/>
        <v>0</v>
      </c>
      <c r="Q73" s="216">
        <f t="shared" si="159"/>
        <v>33431.87081229897</v>
      </c>
      <c r="R73" s="216">
        <f t="shared" si="159"/>
        <v>0</v>
      </c>
      <c r="S73" s="216">
        <f t="shared" si="159"/>
        <v>31781.24073544515</v>
      </c>
      <c r="T73" s="219">
        <f t="shared" si="159"/>
        <v>127409.16346821033</v>
      </c>
      <c r="U73" s="218">
        <f t="shared" si="159"/>
        <v>199577.82308792876</v>
      </c>
      <c r="V73" s="300">
        <v>47</v>
      </c>
      <c r="W73" s="216">
        <f t="shared" ref="W73:AO73" si="160">SUM(W69:W71)</f>
        <v>722.13951768138907</v>
      </c>
      <c r="X73" s="216">
        <f t="shared" si="160"/>
        <v>9723.7012233559963</v>
      </c>
      <c r="Y73" s="216">
        <f t="shared" si="160"/>
        <v>569.70599916051788</v>
      </c>
      <c r="Z73" s="216">
        <f t="shared" si="160"/>
        <v>10223.975089994065</v>
      </c>
      <c r="AA73" s="216">
        <f t="shared" si="160"/>
        <v>487.24173431029641</v>
      </c>
      <c r="AB73" s="216">
        <f t="shared" si="160"/>
        <v>10791.233636614985</v>
      </c>
      <c r="AC73" s="216">
        <f t="shared" si="160"/>
        <v>953.63562242073158</v>
      </c>
      <c r="AD73" s="216">
        <f t="shared" si="160"/>
        <v>11158.818239041793</v>
      </c>
      <c r="AE73" s="221">
        <f t="shared" si="160"/>
        <v>44630.45106257977</v>
      </c>
      <c r="AF73" s="218">
        <f t="shared" si="160"/>
        <v>0</v>
      </c>
      <c r="AG73" s="216">
        <f t="shared" si="160"/>
        <v>13559.830912220383</v>
      </c>
      <c r="AH73" s="216">
        <f t="shared" si="160"/>
        <v>0</v>
      </c>
      <c r="AI73" s="216">
        <f t="shared" si="160"/>
        <v>13418.983643452897</v>
      </c>
      <c r="AJ73" s="216">
        <f t="shared" si="160"/>
        <v>0</v>
      </c>
      <c r="AK73" s="216">
        <f t="shared" si="160"/>
        <v>15357.672704282215</v>
      </c>
      <c r="AL73" s="216">
        <f t="shared" si="160"/>
        <v>0</v>
      </c>
      <c r="AM73" s="216">
        <f t="shared" si="160"/>
        <v>15775.076193883742</v>
      </c>
      <c r="AN73" s="219">
        <f t="shared" si="160"/>
        <v>58111.563453839233</v>
      </c>
      <c r="AO73" s="218">
        <f t="shared" si="160"/>
        <v>102742.014516419</v>
      </c>
      <c r="AP73" s="300">
        <v>47</v>
      </c>
      <c r="AQ73" s="216">
        <f t="shared" ref="AQ73:BI73" si="161">SUM(AQ69:AQ71)</f>
        <v>89151.580970130744</v>
      </c>
      <c r="AR73" s="216">
        <f t="shared" si="161"/>
        <v>283093.55397178116</v>
      </c>
      <c r="AS73" s="216">
        <f t="shared" si="161"/>
        <v>101825.87053718985</v>
      </c>
      <c r="AT73" s="216">
        <f t="shared" si="161"/>
        <v>310588.70030047768</v>
      </c>
      <c r="AU73" s="216">
        <f t="shared" si="161"/>
        <v>110537.39586848341</v>
      </c>
      <c r="AV73" s="216">
        <f t="shared" si="161"/>
        <v>340659.68620592868</v>
      </c>
      <c r="AW73" s="216">
        <f t="shared" si="161"/>
        <v>112066.57381467606</v>
      </c>
      <c r="AX73" s="216">
        <f t="shared" si="161"/>
        <v>333336.90113024844</v>
      </c>
      <c r="AY73" s="221">
        <f t="shared" si="161"/>
        <v>1681260.2627989161</v>
      </c>
      <c r="AZ73" s="218">
        <f t="shared" si="161"/>
        <v>0</v>
      </c>
      <c r="BA73" s="216">
        <f t="shared" si="161"/>
        <v>286361.77467505098</v>
      </c>
      <c r="BB73" s="216">
        <f t="shared" si="161"/>
        <v>0</v>
      </c>
      <c r="BC73" s="216">
        <f t="shared" si="161"/>
        <v>247428.26544193435</v>
      </c>
      <c r="BD73" s="216">
        <f t="shared" si="161"/>
        <v>0</v>
      </c>
      <c r="BE73" s="216">
        <f t="shared" si="161"/>
        <v>292313.41673276288</v>
      </c>
      <c r="BF73" s="216">
        <f t="shared" si="161"/>
        <v>0</v>
      </c>
      <c r="BG73" s="216">
        <f t="shared" si="161"/>
        <v>278178.22620459704</v>
      </c>
      <c r="BH73" s="219">
        <f t="shared" si="161"/>
        <v>1104281.6830543454</v>
      </c>
      <c r="BI73" s="218">
        <f t="shared" si="161"/>
        <v>2785541.9458532613</v>
      </c>
      <c r="BJ73" s="300">
        <v>47</v>
      </c>
      <c r="BK73" s="216">
        <f t="shared" ref="BK73:CC73" si="162">SUM(BK69:BK71)</f>
        <v>1239.6536009457625</v>
      </c>
      <c r="BL73" s="216">
        <f t="shared" si="162"/>
        <v>36291.341651479372</v>
      </c>
      <c r="BM73" s="216">
        <f t="shared" si="162"/>
        <v>860.72518177602035</v>
      </c>
      <c r="BN73" s="216">
        <f t="shared" si="162"/>
        <v>38917.357957241242</v>
      </c>
      <c r="BO73" s="216">
        <f t="shared" si="162"/>
        <v>2047.6509887191942</v>
      </c>
      <c r="BP73" s="216">
        <f t="shared" si="162"/>
        <v>40721.396577777115</v>
      </c>
      <c r="BQ73" s="216">
        <f t="shared" si="162"/>
        <v>2950.1287182209726</v>
      </c>
      <c r="BR73" s="216">
        <f t="shared" si="162"/>
        <v>41160.694833826565</v>
      </c>
      <c r="BS73" s="221">
        <f t="shared" si="162"/>
        <v>164188.94950998624</v>
      </c>
      <c r="BT73" s="218">
        <f t="shared" si="162"/>
        <v>0</v>
      </c>
      <c r="BU73" s="216">
        <f t="shared" si="162"/>
        <v>10769.305982867074</v>
      </c>
      <c r="BV73" s="216">
        <f t="shared" si="162"/>
        <v>0</v>
      </c>
      <c r="BW73" s="216">
        <f t="shared" si="162"/>
        <v>11519.53132140763</v>
      </c>
      <c r="BX73" s="216">
        <f t="shared" si="162"/>
        <v>0</v>
      </c>
      <c r="BY73" s="216">
        <f t="shared" si="162"/>
        <v>12598.211144354942</v>
      </c>
      <c r="BZ73" s="216">
        <f t="shared" si="162"/>
        <v>0</v>
      </c>
      <c r="CA73" s="216">
        <f t="shared" si="162"/>
        <v>14776.404413694036</v>
      </c>
      <c r="CB73" s="219">
        <f t="shared" si="162"/>
        <v>49663.452862323677</v>
      </c>
      <c r="CC73" s="218">
        <f t="shared" si="162"/>
        <v>213852.40237230991</v>
      </c>
      <c r="CD73" s="300">
        <v>47</v>
      </c>
      <c r="CE73" s="219">
        <f>SUM(CE69:CE71)</f>
        <v>436093.51842249942</v>
      </c>
      <c r="CF73" s="219">
        <f>SUM(CF69:CF71)</f>
        <v>480583.18988074735</v>
      </c>
      <c r="CG73" s="219">
        <f>SUM(CG69:CG71)</f>
        <v>524839.90554531547</v>
      </c>
      <c r="CH73" s="219">
        <f>SUM(CH69:CH71)</f>
        <v>520731.70914263837</v>
      </c>
      <c r="CI73" s="216">
        <f>SUM(BS73,AY73,AE73,K73)</f>
        <v>1962248.3229912007</v>
      </c>
      <c r="CJ73" s="219">
        <f>SUM(CJ69:CJ71)</f>
        <v>342545.70519572636</v>
      </c>
      <c r="CK73" s="219">
        <f>SUM(CK69:CK71)</f>
        <v>302708.03870167315</v>
      </c>
      <c r="CL73" s="219">
        <f>SUM(CL69:CL71)</f>
        <v>353701.17139369901</v>
      </c>
      <c r="CM73" s="219">
        <f>SUM(CM69:CM71)</f>
        <v>340510.94754761993</v>
      </c>
      <c r="CN73" s="216">
        <f>SUM(BX73,BD73,AJ73,P73)</f>
        <v>0</v>
      </c>
      <c r="CO73" s="219">
        <f>SUM(CO69:CO71)</f>
        <v>778639.22361822578</v>
      </c>
      <c r="CP73" s="219">
        <f>SUM(CP69:CP71)</f>
        <v>783291.2285824205</v>
      </c>
      <c r="CQ73" s="219">
        <f>SUM(CQ69:CQ71)</f>
        <v>878541.07693901425</v>
      </c>
      <c r="CR73" s="219">
        <f>SUM(CR69:CR71)</f>
        <v>861242.6566902583</v>
      </c>
      <c r="CS73" s="216">
        <f>SUM(CC73,BI73,AO73,U73)</f>
        <v>3301714.1858299188</v>
      </c>
      <c r="CT73" s="318"/>
      <c r="CU73" s="318"/>
      <c r="CV73" s="318"/>
      <c r="CW73" s="318"/>
      <c r="CX73" s="318"/>
      <c r="CY73" s="318"/>
      <c r="CZ73" s="318"/>
      <c r="DA73" s="318"/>
      <c r="DB73" s="318"/>
      <c r="DC73" s="318"/>
      <c r="DD73" s="318"/>
      <c r="DE73" s="318"/>
      <c r="DF73" s="318"/>
      <c r="DG73" s="318"/>
      <c r="DH73" s="318"/>
      <c r="DI73" s="318"/>
      <c r="DJ73" s="318"/>
      <c r="DK73" s="318"/>
      <c r="DL73" s="318"/>
      <c r="DM73" s="318"/>
      <c r="DN73" s="318"/>
      <c r="DO73" s="318"/>
      <c r="DP73" s="318"/>
      <c r="DQ73" s="318"/>
      <c r="DR73" s="318"/>
      <c r="DS73" s="318"/>
      <c r="DT73" s="318"/>
      <c r="DU73" s="318"/>
      <c r="DV73" s="318"/>
      <c r="DW73" s="318"/>
      <c r="DX73" s="318"/>
      <c r="DY73" s="318"/>
      <c r="DZ73" s="318"/>
      <c r="EA73" s="318"/>
    </row>
    <row r="74" spans="1:131" ht="15.75" customHeight="1">
      <c r="B74" s="300"/>
      <c r="C74" s="178"/>
      <c r="D74" s="178"/>
      <c r="E74" s="178"/>
      <c r="F74" s="178"/>
      <c r="G74" s="178"/>
      <c r="H74" s="178"/>
      <c r="I74" s="178"/>
      <c r="J74" s="178"/>
      <c r="K74" s="381"/>
      <c r="L74" s="382"/>
      <c r="M74" s="178"/>
      <c r="N74" s="178"/>
      <c r="O74" s="178"/>
      <c r="P74" s="178"/>
      <c r="Q74" s="178"/>
      <c r="R74" s="178"/>
      <c r="S74" s="178"/>
      <c r="T74" s="178"/>
      <c r="U74" s="383"/>
      <c r="V74" s="300"/>
      <c r="W74" s="178"/>
      <c r="X74" s="178"/>
      <c r="Y74" s="178"/>
      <c r="Z74" s="178"/>
      <c r="AA74" s="178"/>
      <c r="AB74" s="178"/>
      <c r="AC74" s="178"/>
      <c r="AD74" s="178"/>
      <c r="AE74" s="381"/>
      <c r="AF74" s="382"/>
      <c r="AG74" s="178"/>
      <c r="AH74" s="178"/>
      <c r="AI74" s="178"/>
      <c r="AJ74" s="178"/>
      <c r="AK74" s="178"/>
      <c r="AL74" s="178"/>
      <c r="AM74" s="178"/>
      <c r="AN74" s="178"/>
      <c r="AO74" s="383"/>
      <c r="AP74" s="300"/>
      <c r="AQ74" s="178"/>
      <c r="AR74" s="178"/>
      <c r="AS74" s="178"/>
      <c r="AT74" s="178"/>
      <c r="AU74" s="178"/>
      <c r="AV74" s="178"/>
      <c r="AW74" s="178"/>
      <c r="AX74" s="178"/>
      <c r="AY74" s="381"/>
      <c r="AZ74" s="382"/>
      <c r="BA74" s="178"/>
      <c r="BB74" s="178"/>
      <c r="BC74" s="178"/>
      <c r="BD74" s="178"/>
      <c r="BE74" s="178"/>
      <c r="BF74" s="178"/>
      <c r="BG74" s="178"/>
      <c r="BH74" s="178"/>
      <c r="BI74" s="383"/>
      <c r="BJ74" s="300"/>
      <c r="BK74" s="178"/>
      <c r="BL74" s="178"/>
      <c r="BM74" s="178"/>
      <c r="BN74" s="178"/>
      <c r="BO74" s="178"/>
      <c r="BP74" s="178"/>
      <c r="BQ74" s="178"/>
      <c r="BR74" s="178"/>
      <c r="BS74" s="381"/>
      <c r="BT74" s="382"/>
      <c r="BU74" s="178"/>
      <c r="BV74" s="178"/>
      <c r="BW74" s="178"/>
      <c r="BX74" s="178"/>
      <c r="BY74" s="178"/>
      <c r="BZ74" s="178"/>
      <c r="CA74" s="178"/>
      <c r="CB74" s="178"/>
      <c r="CC74" s="383"/>
      <c r="CD74" s="300"/>
      <c r="CE74" s="178"/>
      <c r="CF74" s="178"/>
      <c r="CG74" s="178"/>
      <c r="CH74" s="178"/>
      <c r="CI74" s="419"/>
      <c r="CJ74" s="178"/>
      <c r="CK74" s="178"/>
      <c r="CL74" s="178"/>
      <c r="CM74" s="178"/>
      <c r="CN74" s="419"/>
      <c r="CO74" s="178"/>
      <c r="CP74" s="178"/>
      <c r="CQ74" s="178"/>
      <c r="CR74" s="178"/>
      <c r="CS74" s="419"/>
    </row>
    <row r="75" spans="1:131"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31" s="14" customFormat="1" ht="15.75" customHeight="1">
      <c r="A76" s="88" t="s">
        <v>244</v>
      </c>
      <c r="B76" s="300">
        <v>48</v>
      </c>
      <c r="C76" s="420"/>
      <c r="D76" s="420"/>
      <c r="E76" s="420"/>
      <c r="F76" s="420"/>
      <c r="G76" s="420"/>
      <c r="H76" s="420"/>
      <c r="I76" s="420"/>
      <c r="J76" s="420"/>
      <c r="K76" s="412">
        <f t="shared" ref="K76:K86" si="163">SUM(C76:J76)</f>
        <v>0</v>
      </c>
      <c r="L76" s="421"/>
      <c r="M76" s="420"/>
      <c r="N76" s="420"/>
      <c r="O76" s="420"/>
      <c r="P76" s="420"/>
      <c r="Q76" s="420"/>
      <c r="R76" s="420"/>
      <c r="S76" s="420"/>
      <c r="T76" s="414">
        <f t="shared" ref="T76:T86" si="164">SUM(L76:S76)</f>
        <v>0</v>
      </c>
      <c r="U76" s="415">
        <f t="shared" ref="U76:U86" si="165">SUM(T76,K76)</f>
        <v>0</v>
      </c>
      <c r="V76" s="300">
        <v>48</v>
      </c>
      <c r="W76" s="420"/>
      <c r="X76" s="420"/>
      <c r="Y76" s="420"/>
      <c r="Z76" s="420"/>
      <c r="AA76" s="420"/>
      <c r="AB76" s="420"/>
      <c r="AC76" s="420"/>
      <c r="AD76" s="420"/>
      <c r="AE76" s="412">
        <f t="shared" ref="AE76:AE86" si="166">SUM(W76:AD76)</f>
        <v>0</v>
      </c>
      <c r="AF76" s="421"/>
      <c r="AG76" s="420"/>
      <c r="AH76" s="420"/>
      <c r="AI76" s="420"/>
      <c r="AJ76" s="420"/>
      <c r="AK76" s="420"/>
      <c r="AL76" s="420"/>
      <c r="AM76" s="420"/>
      <c r="AN76" s="414">
        <f t="shared" ref="AN76:AN86" si="167">SUM(AF76:AM76)</f>
        <v>0</v>
      </c>
      <c r="AO76" s="415">
        <f t="shared" ref="AO76:AO86" si="168">SUM(AN76,AE76)</f>
        <v>0</v>
      </c>
      <c r="AP76" s="300">
        <v>48</v>
      </c>
      <c r="AQ76" s="420"/>
      <c r="AR76" s="420"/>
      <c r="AS76" s="420"/>
      <c r="AT76" s="420"/>
      <c r="AU76" s="420"/>
      <c r="AV76" s="420"/>
      <c r="AW76" s="420"/>
      <c r="AX76" s="420"/>
      <c r="AY76" s="412">
        <f t="shared" ref="AY76:AY86" si="169">SUM(AQ76:AX76)</f>
        <v>0</v>
      </c>
      <c r="AZ76" s="421"/>
      <c r="BA76" s="420"/>
      <c r="BB76" s="420"/>
      <c r="BC76" s="420"/>
      <c r="BD76" s="420"/>
      <c r="BE76" s="420"/>
      <c r="BF76" s="420"/>
      <c r="BG76" s="420"/>
      <c r="BH76" s="414">
        <f t="shared" ref="BH76:BH86" si="170">SUM(AZ76:BG76)</f>
        <v>0</v>
      </c>
      <c r="BI76" s="415">
        <f t="shared" ref="BI76:BI86" si="171">SUM(BH76,AY76)</f>
        <v>0</v>
      </c>
      <c r="BJ76" s="300">
        <v>48</v>
      </c>
      <c r="BK76" s="420"/>
      <c r="BL76" s="420"/>
      <c r="BM76" s="420"/>
      <c r="BN76" s="420"/>
      <c r="BO76" s="420"/>
      <c r="BP76" s="420"/>
      <c r="BQ76" s="420"/>
      <c r="BR76" s="420"/>
      <c r="BS76" s="412">
        <f t="shared" ref="BS76:BS86" si="172">SUM(BK76:BR76)</f>
        <v>0</v>
      </c>
      <c r="BT76" s="421"/>
      <c r="BU76" s="420"/>
      <c r="BV76" s="420"/>
      <c r="BW76" s="420"/>
      <c r="BX76" s="420"/>
      <c r="BY76" s="420"/>
      <c r="BZ76" s="420"/>
      <c r="CA76" s="420"/>
      <c r="CB76" s="414">
        <f t="shared" ref="CB76:CB86" si="173">SUM(BT76:CA76)</f>
        <v>0</v>
      </c>
      <c r="CC76" s="415">
        <f t="shared" ref="CC76:CC86" si="174">SUM(CB76,BS76)</f>
        <v>0</v>
      </c>
      <c r="CD76" s="300">
        <v>48</v>
      </c>
      <c r="CE76" s="414">
        <f t="shared" ref="CE76:CE86" si="175">+C76+D76+W76+X76+AQ76+AR76+BK76+BL76</f>
        <v>0</v>
      </c>
      <c r="CF76" s="414">
        <f t="shared" ref="CF76:CF86" si="176">+E76+F76+Y76+Z76+AS76+AT76+BM76+BN76</f>
        <v>0</v>
      </c>
      <c r="CG76" s="414">
        <f t="shared" ref="CG76:CG86" si="177">+G76+H76+AA76+AB76+AU76+AV76+BO76+BP76</f>
        <v>0</v>
      </c>
      <c r="CH76" s="414">
        <f t="shared" ref="CH76:CH86" si="178">+I76+J76+AC76+AD76+AW76+AX76+BQ76+BR76</f>
        <v>0</v>
      </c>
      <c r="CI76" s="416">
        <f t="shared" ref="CI76:CI86" si="179">SUM(K76,AE76,AY76,BS76)</f>
        <v>0</v>
      </c>
      <c r="CJ76" s="414">
        <f t="shared" ref="CJ76:CJ86" si="180">L76+M76+AF76+AG76+AZ76+BA76+BT76+BU76</f>
        <v>0</v>
      </c>
      <c r="CK76" s="414">
        <f t="shared" ref="CK76:CK86" si="181">N76+O76+AH76+AI76+BB76+BC76+BV76+BW76</f>
        <v>0</v>
      </c>
      <c r="CL76" s="414">
        <f t="shared" ref="CL76:CL86" si="182">P76+Q76+AJ76+AK76+BD76+BE76+BX76+BY76</f>
        <v>0</v>
      </c>
      <c r="CM76" s="414">
        <f t="shared" ref="CM76:CM86" si="183">+R76+S76+AL76+AM76+BF76+BG76+BZ76+CA76</f>
        <v>0</v>
      </c>
      <c r="CN76" s="416">
        <f t="shared" ref="CN76:CN86" si="184">SUM(T76,AN76,BH76,CB76)</f>
        <v>0</v>
      </c>
      <c r="CO76" s="414">
        <f t="shared" ref="CO76:CO86" si="185">+C76+D76+L76+M76+W76+X76+AF76+AG76+AQ76+AR76+AZ76+BA76+BK76+BL76+BT76+BU76</f>
        <v>0</v>
      </c>
      <c r="CP76" s="414">
        <f t="shared" ref="CP76:CP86" si="186">+E76+F76+N76+O76+Y76+Z76+AH76+AI76+AS76+AT76+BB76+BC76+BM76+BN76+BV76+BW76</f>
        <v>0</v>
      </c>
      <c r="CQ76" s="414">
        <f t="shared" ref="CQ76:CQ86" si="187">+G76+H76+P76+Q76+AA76+AB76+AJ76+AK76+AU76+AV76+BD76+BE76+BO76+BP76+BX76+BY76</f>
        <v>0</v>
      </c>
      <c r="CR76" s="414">
        <f t="shared" ref="CR76:CR86" si="188">+I76+J76+R76+S76+AC76+AD76+AL76+AM76+AW76+AX76+BF76+BG76+BQ76+BR76+BZ76+CA76</f>
        <v>0</v>
      </c>
      <c r="CS76" s="416">
        <f t="shared" ref="CS76:CS86" si="189">SUM(CC76,BI76,AO76,U76)</f>
        <v>0</v>
      </c>
      <c r="CT76" s="318"/>
      <c r="CU76" s="318"/>
      <c r="CV76" s="318"/>
      <c r="CW76" s="318"/>
      <c r="CX76" s="318"/>
      <c r="CY76" s="318"/>
      <c r="CZ76" s="318"/>
      <c r="DA76" s="318"/>
      <c r="DB76" s="318"/>
      <c r="DC76" s="318"/>
      <c r="DD76" s="318"/>
      <c r="DE76" s="318"/>
      <c r="DF76" s="318"/>
      <c r="DG76" s="318"/>
      <c r="DH76" s="318"/>
      <c r="DI76" s="318"/>
      <c r="DJ76" s="318"/>
      <c r="DK76" s="318"/>
      <c r="DL76" s="318"/>
      <c r="DM76" s="318"/>
      <c r="DN76" s="318"/>
      <c r="DO76" s="318"/>
      <c r="DP76" s="318"/>
      <c r="DQ76" s="318"/>
      <c r="DR76" s="318"/>
      <c r="DS76" s="318"/>
      <c r="DT76" s="318"/>
      <c r="DU76" s="318"/>
      <c r="DV76" s="318"/>
      <c r="DW76" s="318"/>
      <c r="DX76" s="318"/>
      <c r="DY76" s="318"/>
      <c r="DZ76" s="318"/>
      <c r="EA76" s="318"/>
    </row>
    <row r="77" spans="1:131" ht="15.75" customHeight="1">
      <c r="A77" s="88" t="s">
        <v>246</v>
      </c>
      <c r="B77" s="300">
        <v>49</v>
      </c>
      <c r="C77" s="420"/>
      <c r="D77" s="420"/>
      <c r="E77" s="420"/>
      <c r="F77" s="420"/>
      <c r="G77" s="420"/>
      <c r="H77" s="420"/>
      <c r="I77" s="420"/>
      <c r="J77" s="420"/>
      <c r="K77" s="412">
        <f t="shared" si="163"/>
        <v>0</v>
      </c>
      <c r="L77" s="421"/>
      <c r="M77" s="420"/>
      <c r="N77" s="420"/>
      <c r="O77" s="420"/>
      <c r="P77" s="420"/>
      <c r="Q77" s="420"/>
      <c r="R77" s="420"/>
      <c r="S77" s="420"/>
      <c r="T77" s="414">
        <f t="shared" si="164"/>
        <v>0</v>
      </c>
      <c r="U77" s="415">
        <f t="shared" si="165"/>
        <v>0</v>
      </c>
      <c r="V77" s="300">
        <v>49</v>
      </c>
      <c r="W77" s="420"/>
      <c r="X77" s="420"/>
      <c r="Y77" s="420"/>
      <c r="Z77" s="420"/>
      <c r="AA77" s="420"/>
      <c r="AB77" s="420"/>
      <c r="AC77" s="420"/>
      <c r="AD77" s="420"/>
      <c r="AE77" s="412">
        <f t="shared" si="166"/>
        <v>0</v>
      </c>
      <c r="AF77" s="421"/>
      <c r="AG77" s="420"/>
      <c r="AH77" s="420"/>
      <c r="AI77" s="420"/>
      <c r="AJ77" s="420"/>
      <c r="AK77" s="420"/>
      <c r="AL77" s="420"/>
      <c r="AM77" s="420"/>
      <c r="AN77" s="414">
        <f t="shared" si="167"/>
        <v>0</v>
      </c>
      <c r="AO77" s="415">
        <f t="shared" si="168"/>
        <v>0</v>
      </c>
      <c r="AP77" s="300">
        <v>49</v>
      </c>
      <c r="AQ77" s="420"/>
      <c r="AR77" s="420"/>
      <c r="AS77" s="420"/>
      <c r="AT77" s="420"/>
      <c r="AU77" s="420"/>
      <c r="AV77" s="420"/>
      <c r="AW77" s="420"/>
      <c r="AX77" s="420"/>
      <c r="AY77" s="412">
        <f t="shared" si="169"/>
        <v>0</v>
      </c>
      <c r="AZ77" s="421"/>
      <c r="BA77" s="420"/>
      <c r="BB77" s="420"/>
      <c r="BC77" s="420"/>
      <c r="BD77" s="420"/>
      <c r="BE77" s="420"/>
      <c r="BF77" s="420"/>
      <c r="BG77" s="420"/>
      <c r="BH77" s="414">
        <f t="shared" si="170"/>
        <v>0</v>
      </c>
      <c r="BI77" s="415">
        <f t="shared" si="171"/>
        <v>0</v>
      </c>
      <c r="BJ77" s="300">
        <v>49</v>
      </c>
      <c r="BK77" s="420"/>
      <c r="BL77" s="420"/>
      <c r="BM77" s="420"/>
      <c r="BN77" s="420"/>
      <c r="BO77" s="420"/>
      <c r="BP77" s="420"/>
      <c r="BQ77" s="420"/>
      <c r="BR77" s="420"/>
      <c r="BS77" s="412">
        <f t="shared" si="172"/>
        <v>0</v>
      </c>
      <c r="BT77" s="421"/>
      <c r="BU77" s="420"/>
      <c r="BV77" s="420"/>
      <c r="BW77" s="420"/>
      <c r="BX77" s="420"/>
      <c r="BY77" s="420"/>
      <c r="BZ77" s="420"/>
      <c r="CA77" s="420"/>
      <c r="CB77" s="414">
        <f t="shared" si="173"/>
        <v>0</v>
      </c>
      <c r="CC77" s="415">
        <f t="shared" si="174"/>
        <v>0</v>
      </c>
      <c r="CD77" s="300">
        <v>49</v>
      </c>
      <c r="CE77" s="414">
        <f t="shared" si="175"/>
        <v>0</v>
      </c>
      <c r="CF77" s="414">
        <f t="shared" si="176"/>
        <v>0</v>
      </c>
      <c r="CG77" s="414">
        <f t="shared" si="177"/>
        <v>0</v>
      </c>
      <c r="CH77" s="414">
        <f t="shared" si="178"/>
        <v>0</v>
      </c>
      <c r="CI77" s="416">
        <f t="shared" si="179"/>
        <v>0</v>
      </c>
      <c r="CJ77" s="414">
        <f t="shared" si="180"/>
        <v>0</v>
      </c>
      <c r="CK77" s="414">
        <f t="shared" si="181"/>
        <v>0</v>
      </c>
      <c r="CL77" s="414">
        <f t="shared" si="182"/>
        <v>0</v>
      </c>
      <c r="CM77" s="414">
        <f t="shared" si="183"/>
        <v>0</v>
      </c>
      <c r="CN77" s="416">
        <f t="shared" si="184"/>
        <v>0</v>
      </c>
      <c r="CO77" s="414">
        <f t="shared" si="185"/>
        <v>0</v>
      </c>
      <c r="CP77" s="414">
        <f t="shared" si="186"/>
        <v>0</v>
      </c>
      <c r="CQ77" s="414">
        <f t="shared" si="187"/>
        <v>0</v>
      </c>
      <c r="CR77" s="414">
        <f t="shared" si="188"/>
        <v>0</v>
      </c>
      <c r="CS77" s="416">
        <f t="shared" si="189"/>
        <v>0</v>
      </c>
    </row>
    <row r="78" spans="1:131" ht="15.75" customHeight="1">
      <c r="A78" s="88" t="s">
        <v>248</v>
      </c>
      <c r="B78" s="300">
        <v>50</v>
      </c>
      <c r="C78" s="420"/>
      <c r="D78" s="420"/>
      <c r="E78" s="420"/>
      <c r="F78" s="420"/>
      <c r="G78" s="420"/>
      <c r="H78" s="420"/>
      <c r="I78" s="420"/>
      <c r="J78" s="420"/>
      <c r="K78" s="412">
        <f t="shared" si="163"/>
        <v>0</v>
      </c>
      <c r="L78" s="421"/>
      <c r="M78" s="420"/>
      <c r="N78" s="420"/>
      <c r="O78" s="420"/>
      <c r="P78" s="420"/>
      <c r="Q78" s="420"/>
      <c r="R78" s="420"/>
      <c r="S78" s="420"/>
      <c r="T78" s="414">
        <f t="shared" si="164"/>
        <v>0</v>
      </c>
      <c r="U78" s="415">
        <f t="shared" si="165"/>
        <v>0</v>
      </c>
      <c r="V78" s="300">
        <v>50</v>
      </c>
      <c r="W78" s="420"/>
      <c r="X78" s="420"/>
      <c r="Y78" s="420"/>
      <c r="Z78" s="420"/>
      <c r="AA78" s="420"/>
      <c r="AB78" s="420"/>
      <c r="AC78" s="420"/>
      <c r="AD78" s="420"/>
      <c r="AE78" s="412">
        <f t="shared" si="166"/>
        <v>0</v>
      </c>
      <c r="AF78" s="421"/>
      <c r="AG78" s="420"/>
      <c r="AH78" s="420"/>
      <c r="AI78" s="420"/>
      <c r="AJ78" s="420"/>
      <c r="AK78" s="420"/>
      <c r="AL78" s="420"/>
      <c r="AM78" s="420"/>
      <c r="AN78" s="414">
        <f t="shared" si="167"/>
        <v>0</v>
      </c>
      <c r="AO78" s="415">
        <f t="shared" si="168"/>
        <v>0</v>
      </c>
      <c r="AP78" s="300">
        <v>50</v>
      </c>
      <c r="AQ78" s="420"/>
      <c r="AR78" s="420"/>
      <c r="AS78" s="420"/>
      <c r="AT78" s="420"/>
      <c r="AU78" s="420"/>
      <c r="AV78" s="420"/>
      <c r="AW78" s="420"/>
      <c r="AX78" s="420"/>
      <c r="AY78" s="412">
        <f t="shared" si="169"/>
        <v>0</v>
      </c>
      <c r="AZ78" s="421"/>
      <c r="BA78" s="420"/>
      <c r="BB78" s="420"/>
      <c r="BC78" s="420"/>
      <c r="BD78" s="420"/>
      <c r="BE78" s="420"/>
      <c r="BF78" s="420"/>
      <c r="BG78" s="420"/>
      <c r="BH78" s="414">
        <f t="shared" si="170"/>
        <v>0</v>
      </c>
      <c r="BI78" s="415">
        <f t="shared" si="171"/>
        <v>0</v>
      </c>
      <c r="BJ78" s="300">
        <v>50</v>
      </c>
      <c r="BK78" s="420"/>
      <c r="BL78" s="420"/>
      <c r="BM78" s="420"/>
      <c r="BN78" s="420"/>
      <c r="BO78" s="420"/>
      <c r="BP78" s="420"/>
      <c r="BQ78" s="420"/>
      <c r="BR78" s="420"/>
      <c r="BS78" s="412">
        <f t="shared" si="172"/>
        <v>0</v>
      </c>
      <c r="BT78" s="421"/>
      <c r="BU78" s="420"/>
      <c r="BV78" s="420"/>
      <c r="BW78" s="420"/>
      <c r="BX78" s="420"/>
      <c r="BY78" s="420"/>
      <c r="BZ78" s="420"/>
      <c r="CA78" s="420"/>
      <c r="CB78" s="414">
        <f t="shared" si="173"/>
        <v>0</v>
      </c>
      <c r="CC78" s="415">
        <f t="shared" si="174"/>
        <v>0</v>
      </c>
      <c r="CD78" s="300">
        <v>50</v>
      </c>
      <c r="CE78" s="414">
        <f t="shared" si="175"/>
        <v>0</v>
      </c>
      <c r="CF78" s="414">
        <f t="shared" si="176"/>
        <v>0</v>
      </c>
      <c r="CG78" s="414">
        <f t="shared" si="177"/>
        <v>0</v>
      </c>
      <c r="CH78" s="414">
        <f t="shared" si="178"/>
        <v>0</v>
      </c>
      <c r="CI78" s="416">
        <f t="shared" si="179"/>
        <v>0</v>
      </c>
      <c r="CJ78" s="414">
        <f t="shared" si="180"/>
        <v>0</v>
      </c>
      <c r="CK78" s="414">
        <f t="shared" si="181"/>
        <v>0</v>
      </c>
      <c r="CL78" s="414">
        <f t="shared" si="182"/>
        <v>0</v>
      </c>
      <c r="CM78" s="414">
        <f t="shared" si="183"/>
        <v>0</v>
      </c>
      <c r="CN78" s="416">
        <f t="shared" si="184"/>
        <v>0</v>
      </c>
      <c r="CO78" s="414">
        <f t="shared" si="185"/>
        <v>0</v>
      </c>
      <c r="CP78" s="414">
        <f t="shared" si="186"/>
        <v>0</v>
      </c>
      <c r="CQ78" s="414">
        <f t="shared" si="187"/>
        <v>0</v>
      </c>
      <c r="CR78" s="414">
        <f t="shared" si="188"/>
        <v>0</v>
      </c>
      <c r="CS78" s="416">
        <f t="shared" si="189"/>
        <v>0</v>
      </c>
    </row>
    <row r="79" spans="1:131" ht="15.75" customHeight="1">
      <c r="A79" s="88" t="s">
        <v>250</v>
      </c>
      <c r="B79" s="300">
        <v>51</v>
      </c>
      <c r="C79" s="420">
        <v>971.6536514495557</v>
      </c>
      <c r="D79" s="420">
        <v>3451.5392076474973</v>
      </c>
      <c r="E79" s="420">
        <v>1120.526270564563</v>
      </c>
      <c r="F79" s="420">
        <v>3424.6420739813489</v>
      </c>
      <c r="G79" s="420">
        <v>1325.6586418915856</v>
      </c>
      <c r="H79" s="420">
        <v>3375.7248302354205</v>
      </c>
      <c r="I79" s="420">
        <v>1346.4968155892893</v>
      </c>
      <c r="J79" s="420">
        <v>3452.875145355109</v>
      </c>
      <c r="K79" s="412">
        <f t="shared" si="163"/>
        <v>18469.116636714367</v>
      </c>
      <c r="L79" s="421">
        <v>0</v>
      </c>
      <c r="M79" s="420">
        <v>9231.6592392957245</v>
      </c>
      <c r="N79" s="420">
        <v>0</v>
      </c>
      <c r="O79" s="420">
        <v>8103.2406418207775</v>
      </c>
      <c r="P79" s="420">
        <v>0</v>
      </c>
      <c r="Q79" s="420">
        <v>8273.3960974347356</v>
      </c>
      <c r="R79" s="420">
        <v>0</v>
      </c>
      <c r="S79" s="420">
        <v>8230.0015957866526</v>
      </c>
      <c r="T79" s="414">
        <f t="shared" si="164"/>
        <v>33838.297574337892</v>
      </c>
      <c r="U79" s="415">
        <f t="shared" si="165"/>
        <v>52307.414211052259</v>
      </c>
      <c r="V79" s="300">
        <v>51</v>
      </c>
      <c r="W79" s="420">
        <v>201.25084592231659</v>
      </c>
      <c r="X79" s="420">
        <v>2709.8684517077659</v>
      </c>
      <c r="Y79" s="420">
        <v>147.15184618608976</v>
      </c>
      <c r="Z79" s="420">
        <v>2640.7950979454672</v>
      </c>
      <c r="AA79" s="420">
        <v>116.9010004568635</v>
      </c>
      <c r="AB79" s="420">
        <v>2589.0762622576744</v>
      </c>
      <c r="AC79" s="420">
        <v>239.5635917369884</v>
      </c>
      <c r="AD79" s="420">
        <v>2803.2159391227801</v>
      </c>
      <c r="AE79" s="412">
        <f t="shared" si="166"/>
        <v>11447.823035335947</v>
      </c>
      <c r="AF79" s="421">
        <v>0</v>
      </c>
      <c r="AG79" s="420">
        <v>3929.6986128811186</v>
      </c>
      <c r="AH79" s="420">
        <v>0</v>
      </c>
      <c r="AI79" s="420">
        <v>3583.8083106102049</v>
      </c>
      <c r="AJ79" s="420">
        <v>0</v>
      </c>
      <c r="AK79" s="420">
        <v>3800.5683298628132</v>
      </c>
      <c r="AL79" s="420">
        <v>0</v>
      </c>
      <c r="AM79" s="420">
        <v>4085.0797276936696</v>
      </c>
      <c r="AN79" s="414">
        <f t="shared" si="167"/>
        <v>15399.154981047806</v>
      </c>
      <c r="AO79" s="415">
        <f t="shared" si="168"/>
        <v>26846.978016383753</v>
      </c>
      <c r="AP79" s="300">
        <v>51</v>
      </c>
      <c r="AQ79" s="420">
        <v>24845.380492619322</v>
      </c>
      <c r="AR79" s="420">
        <v>78894.473736739295</v>
      </c>
      <c r="AS79" s="420">
        <v>26301.048016226814</v>
      </c>
      <c r="AT79" s="420">
        <v>80223.309428195353</v>
      </c>
      <c r="AU79" s="420">
        <v>26520.577477242212</v>
      </c>
      <c r="AV79" s="420">
        <v>81732.444756944722</v>
      </c>
      <c r="AW79" s="420">
        <v>28152.336495728716</v>
      </c>
      <c r="AX79" s="420">
        <v>83737.838033496344</v>
      </c>
      <c r="AY79" s="412">
        <f t="shared" si="169"/>
        <v>430407.40843719273</v>
      </c>
      <c r="AZ79" s="421">
        <v>0</v>
      </c>
      <c r="BA79" s="420">
        <v>82988.901263404929</v>
      </c>
      <c r="BB79" s="420">
        <v>0</v>
      </c>
      <c r="BC79" s="420">
        <v>66080.673285812445</v>
      </c>
      <c r="BD79" s="420">
        <v>0</v>
      </c>
      <c r="BE79" s="420">
        <v>72338.897658546819</v>
      </c>
      <c r="BF79" s="420">
        <v>0</v>
      </c>
      <c r="BG79" s="420">
        <v>72036.433839525722</v>
      </c>
      <c r="BH79" s="414">
        <f t="shared" si="170"/>
        <v>293444.9060472899</v>
      </c>
      <c r="BI79" s="415">
        <f t="shared" si="171"/>
        <v>723852.31448448263</v>
      </c>
      <c r="BJ79" s="300">
        <v>51</v>
      </c>
      <c r="BK79" s="420">
        <v>345.47525752641712</v>
      </c>
      <c r="BL79" s="420">
        <v>10113.922626013151</v>
      </c>
      <c r="BM79" s="420">
        <v>222.32045957710321</v>
      </c>
      <c r="BN79" s="420">
        <v>10052.13404902098</v>
      </c>
      <c r="BO79" s="420">
        <v>491.28067715011639</v>
      </c>
      <c r="BP79" s="420">
        <v>9770.0415722419075</v>
      </c>
      <c r="BQ79" s="420">
        <v>741.10427002447693</v>
      </c>
      <c r="BR79" s="420">
        <v>10340.012118833398</v>
      </c>
      <c r="BS79" s="412">
        <f t="shared" si="172"/>
        <v>42076.291030387554</v>
      </c>
      <c r="BT79" s="421">
        <v>0</v>
      </c>
      <c r="BU79" s="420">
        <v>3120.9922200744663</v>
      </c>
      <c r="BV79" s="420">
        <v>0</v>
      </c>
      <c r="BW79" s="420">
        <v>3076.5215295673697</v>
      </c>
      <c r="BX79" s="420">
        <v>0</v>
      </c>
      <c r="BY79" s="420">
        <v>3117.6834674181819</v>
      </c>
      <c r="BZ79" s="420">
        <v>0</v>
      </c>
      <c r="CA79" s="420">
        <v>3826.465836151614</v>
      </c>
      <c r="CB79" s="414">
        <f t="shared" si="173"/>
        <v>13141.663053211631</v>
      </c>
      <c r="CC79" s="415">
        <f t="shared" si="174"/>
        <v>55217.954083599187</v>
      </c>
      <c r="CD79" s="300">
        <v>51</v>
      </c>
      <c r="CE79" s="414">
        <f t="shared" si="175"/>
        <v>121533.56426962532</v>
      </c>
      <c r="CF79" s="414">
        <f t="shared" si="176"/>
        <v>124131.92724169773</v>
      </c>
      <c r="CG79" s="414">
        <f t="shared" si="177"/>
        <v>125921.70521842051</v>
      </c>
      <c r="CH79" s="414">
        <f t="shared" si="178"/>
        <v>130813.44240988711</v>
      </c>
      <c r="CI79" s="416">
        <f t="shared" si="179"/>
        <v>502400.6391396306</v>
      </c>
      <c r="CJ79" s="414">
        <f t="shared" si="180"/>
        <v>99271.251335656241</v>
      </c>
      <c r="CK79" s="414">
        <f t="shared" si="181"/>
        <v>80844.243767810796</v>
      </c>
      <c r="CL79" s="414">
        <f t="shared" si="182"/>
        <v>87530.545553262549</v>
      </c>
      <c r="CM79" s="414">
        <f t="shared" si="183"/>
        <v>88177.980999157662</v>
      </c>
      <c r="CN79" s="416">
        <f t="shared" si="184"/>
        <v>355824.02165588725</v>
      </c>
      <c r="CO79" s="414">
        <f t="shared" si="185"/>
        <v>220804.81560528156</v>
      </c>
      <c r="CP79" s="414">
        <f t="shared" si="186"/>
        <v>204976.17100950851</v>
      </c>
      <c r="CQ79" s="414">
        <f t="shared" si="187"/>
        <v>213452.25077168303</v>
      </c>
      <c r="CR79" s="414">
        <f t="shared" si="188"/>
        <v>218991.4234090448</v>
      </c>
      <c r="CS79" s="416">
        <f t="shared" si="189"/>
        <v>858224.66079551773</v>
      </c>
    </row>
    <row r="80" spans="1:131" ht="15.75" customHeight="1">
      <c r="A80" s="88" t="s">
        <v>252</v>
      </c>
      <c r="B80" s="300">
        <v>52</v>
      </c>
      <c r="C80" s="420"/>
      <c r="D80" s="420"/>
      <c r="E80" s="420"/>
      <c r="F80" s="420"/>
      <c r="G80" s="420"/>
      <c r="H80" s="420"/>
      <c r="I80" s="420"/>
      <c r="J80" s="420"/>
      <c r="K80" s="412">
        <f t="shared" si="163"/>
        <v>0</v>
      </c>
      <c r="L80" s="421"/>
      <c r="M80" s="420"/>
      <c r="N80" s="420"/>
      <c r="O80" s="420"/>
      <c r="P80" s="420"/>
      <c r="Q80" s="420"/>
      <c r="R80" s="420"/>
      <c r="S80" s="420"/>
      <c r="T80" s="414">
        <f t="shared" si="164"/>
        <v>0</v>
      </c>
      <c r="U80" s="415">
        <f t="shared" si="165"/>
        <v>0</v>
      </c>
      <c r="V80" s="300">
        <v>52</v>
      </c>
      <c r="W80" s="420"/>
      <c r="X80" s="420"/>
      <c r="Y80" s="420"/>
      <c r="Z80" s="420"/>
      <c r="AA80" s="420"/>
      <c r="AB80" s="420"/>
      <c r="AC80" s="420"/>
      <c r="AD80" s="420"/>
      <c r="AE80" s="412">
        <f t="shared" si="166"/>
        <v>0</v>
      </c>
      <c r="AF80" s="421"/>
      <c r="AG80" s="420"/>
      <c r="AH80" s="420"/>
      <c r="AI80" s="420"/>
      <c r="AJ80" s="420"/>
      <c r="AK80" s="420"/>
      <c r="AL80" s="420"/>
      <c r="AM80" s="420"/>
      <c r="AN80" s="414">
        <f t="shared" si="167"/>
        <v>0</v>
      </c>
      <c r="AO80" s="415">
        <f t="shared" si="168"/>
        <v>0</v>
      </c>
      <c r="AP80" s="300">
        <v>52</v>
      </c>
      <c r="AQ80" s="420"/>
      <c r="AR80" s="420"/>
      <c r="AS80" s="420"/>
      <c r="AT80" s="420"/>
      <c r="AU80" s="420"/>
      <c r="AV80" s="420"/>
      <c r="AW80" s="420"/>
      <c r="AX80" s="420"/>
      <c r="AY80" s="412">
        <f t="shared" si="169"/>
        <v>0</v>
      </c>
      <c r="AZ80" s="421"/>
      <c r="BA80" s="420"/>
      <c r="BB80" s="420"/>
      <c r="BC80" s="420"/>
      <c r="BD80" s="420"/>
      <c r="BE80" s="420"/>
      <c r="BF80" s="420"/>
      <c r="BG80" s="420"/>
      <c r="BH80" s="414">
        <f t="shared" si="170"/>
        <v>0</v>
      </c>
      <c r="BI80" s="415">
        <f t="shared" si="171"/>
        <v>0</v>
      </c>
      <c r="BJ80" s="300">
        <v>52</v>
      </c>
      <c r="BK80" s="420"/>
      <c r="BL80" s="420"/>
      <c r="BM80" s="420"/>
      <c r="BN80" s="420"/>
      <c r="BO80" s="420"/>
      <c r="BP80" s="420"/>
      <c r="BQ80" s="420"/>
      <c r="BR80" s="420"/>
      <c r="BS80" s="412">
        <f t="shared" si="172"/>
        <v>0</v>
      </c>
      <c r="BT80" s="421"/>
      <c r="BU80" s="420"/>
      <c r="BV80" s="420"/>
      <c r="BW80" s="420"/>
      <c r="BX80" s="420"/>
      <c r="BY80" s="420"/>
      <c r="BZ80" s="420"/>
      <c r="CA80" s="420"/>
      <c r="CB80" s="414">
        <f t="shared" si="173"/>
        <v>0</v>
      </c>
      <c r="CC80" s="415">
        <f t="shared" si="174"/>
        <v>0</v>
      </c>
      <c r="CD80" s="300">
        <v>52</v>
      </c>
      <c r="CE80" s="414">
        <f t="shared" si="175"/>
        <v>0</v>
      </c>
      <c r="CF80" s="414">
        <f t="shared" si="176"/>
        <v>0</v>
      </c>
      <c r="CG80" s="414">
        <f t="shared" si="177"/>
        <v>0</v>
      </c>
      <c r="CH80" s="414">
        <f t="shared" si="178"/>
        <v>0</v>
      </c>
      <c r="CI80" s="416">
        <f t="shared" si="179"/>
        <v>0</v>
      </c>
      <c r="CJ80" s="414">
        <f t="shared" si="180"/>
        <v>0</v>
      </c>
      <c r="CK80" s="414">
        <f t="shared" si="181"/>
        <v>0</v>
      </c>
      <c r="CL80" s="414">
        <f t="shared" si="182"/>
        <v>0</v>
      </c>
      <c r="CM80" s="414">
        <f t="shared" si="183"/>
        <v>0</v>
      </c>
      <c r="CN80" s="416">
        <f t="shared" si="184"/>
        <v>0</v>
      </c>
      <c r="CO80" s="414">
        <f t="shared" si="185"/>
        <v>0</v>
      </c>
      <c r="CP80" s="414">
        <f t="shared" si="186"/>
        <v>0</v>
      </c>
      <c r="CQ80" s="414">
        <f t="shared" si="187"/>
        <v>0</v>
      </c>
      <c r="CR80" s="414">
        <f t="shared" si="188"/>
        <v>0</v>
      </c>
      <c r="CS80" s="416">
        <f t="shared" si="189"/>
        <v>0</v>
      </c>
    </row>
    <row r="81" spans="1:131" ht="15.75" customHeight="1">
      <c r="A81" s="88" t="s">
        <v>254</v>
      </c>
      <c r="B81" s="300">
        <v>53</v>
      </c>
      <c r="C81" s="420">
        <v>3646.2419603504095</v>
      </c>
      <c r="D81" s="420">
        <v>12952.297424029472</v>
      </c>
      <c r="E81" s="420">
        <v>8185.1655892345752</v>
      </c>
      <c r="F81" s="420">
        <v>25016.158206869943</v>
      </c>
      <c r="G81" s="420">
        <v>9474.9138483044426</v>
      </c>
      <c r="H81" s="420">
        <v>24127.404243692556</v>
      </c>
      <c r="I81" s="420">
        <v>10037.801785542906</v>
      </c>
      <c r="J81" s="420">
        <v>25740.332912806585</v>
      </c>
      <c r="K81" s="412">
        <f t="shared" si="163"/>
        <v>119180.31597083088</v>
      </c>
      <c r="L81" s="421">
        <v>0</v>
      </c>
      <c r="M81" s="420">
        <v>34642.861920767602</v>
      </c>
      <c r="N81" s="420">
        <v>0</v>
      </c>
      <c r="O81" s="420">
        <v>59192.156583085569</v>
      </c>
      <c r="P81" s="420">
        <v>0</v>
      </c>
      <c r="Q81" s="420">
        <v>59132.655103607838</v>
      </c>
      <c r="R81" s="420">
        <v>0</v>
      </c>
      <c r="S81" s="420">
        <v>61352.632814845383</v>
      </c>
      <c r="T81" s="414">
        <f t="shared" si="164"/>
        <v>214320.3064223064</v>
      </c>
      <c r="U81" s="415">
        <f t="shared" si="165"/>
        <v>333500.62239313731</v>
      </c>
      <c r="V81" s="300">
        <v>53</v>
      </c>
      <c r="W81" s="420">
        <v>755.21692103275359</v>
      </c>
      <c r="X81" s="420">
        <v>10169.092701814054</v>
      </c>
      <c r="Y81" s="420">
        <v>1074.9076210304893</v>
      </c>
      <c r="Z81" s="420">
        <v>19290.351089253774</v>
      </c>
      <c r="AA81" s="420">
        <v>835.52950443479517</v>
      </c>
      <c r="AB81" s="420">
        <v>18504.970854772848</v>
      </c>
      <c r="AC81" s="420">
        <v>1785.8875127277668</v>
      </c>
      <c r="AD81" s="420">
        <v>20897.283701836634</v>
      </c>
      <c r="AE81" s="412">
        <f t="shared" si="166"/>
        <v>73313.239906903109</v>
      </c>
      <c r="AF81" s="421">
        <v>0</v>
      </c>
      <c r="AG81" s="420">
        <v>14746.645527901686</v>
      </c>
      <c r="AH81" s="420">
        <v>0</v>
      </c>
      <c r="AI81" s="420">
        <v>26178.82796057958</v>
      </c>
      <c r="AJ81" s="420">
        <v>0</v>
      </c>
      <c r="AK81" s="420">
        <v>27163.899032605874</v>
      </c>
      <c r="AL81" s="420">
        <v>0</v>
      </c>
      <c r="AM81" s="420">
        <v>30453.262206032676</v>
      </c>
      <c r="AN81" s="414">
        <f t="shared" si="167"/>
        <v>98542.634727119817</v>
      </c>
      <c r="AO81" s="415">
        <f t="shared" si="168"/>
        <v>171855.87463402294</v>
      </c>
      <c r="AP81" s="300">
        <v>53</v>
      </c>
      <c r="AQ81" s="420">
        <v>93235.144784266042</v>
      </c>
      <c r="AR81" s="420">
        <v>296060.57688303431</v>
      </c>
      <c r="AS81" s="420">
        <v>192122.61134650657</v>
      </c>
      <c r="AT81" s="420">
        <v>586011.31364402722</v>
      </c>
      <c r="AU81" s="420">
        <v>189551.20033434915</v>
      </c>
      <c r="AV81" s="420">
        <v>584168.38861198013</v>
      </c>
      <c r="AW81" s="420">
        <v>209868.72770312277</v>
      </c>
      <c r="AX81" s="420">
        <v>624244.93723163509</v>
      </c>
      <c r="AY81" s="412">
        <f t="shared" si="169"/>
        <v>2775262.9005389218</v>
      </c>
      <c r="AZ81" s="421">
        <v>0</v>
      </c>
      <c r="BA81" s="420">
        <v>311425.38658561691</v>
      </c>
      <c r="BB81" s="420">
        <v>0</v>
      </c>
      <c r="BC81" s="420">
        <v>482702.87569426489</v>
      </c>
      <c r="BD81" s="420">
        <v>0</v>
      </c>
      <c r="BE81" s="420">
        <v>517029.64966760768</v>
      </c>
      <c r="BF81" s="420">
        <v>0</v>
      </c>
      <c r="BG81" s="420">
        <v>537013.8539110308</v>
      </c>
      <c r="BH81" s="414">
        <f t="shared" si="170"/>
        <v>1848171.7658585203</v>
      </c>
      <c r="BI81" s="415">
        <f t="shared" si="171"/>
        <v>4623434.6663974421</v>
      </c>
      <c r="BJ81" s="300">
        <v>53</v>
      </c>
      <c r="BK81" s="420">
        <v>1296.435595519484</v>
      </c>
      <c r="BL81" s="420">
        <v>37953.656642663373</v>
      </c>
      <c r="BM81" s="420">
        <v>1623.9956378679756</v>
      </c>
      <c r="BN81" s="420">
        <v>73428.337985297592</v>
      </c>
      <c r="BO81" s="420">
        <v>3511.3429236141942</v>
      </c>
      <c r="BP81" s="420">
        <v>69829.667507206963</v>
      </c>
      <c r="BQ81" s="420">
        <v>5524.7496160393748</v>
      </c>
      <c r="BR81" s="420">
        <v>77082.241047512201</v>
      </c>
      <c r="BS81" s="412">
        <f t="shared" si="172"/>
        <v>270250.42695572117</v>
      </c>
      <c r="BT81" s="421">
        <v>0</v>
      </c>
      <c r="BU81" s="420">
        <v>11711.881876618972</v>
      </c>
      <c r="BV81" s="420">
        <v>0</v>
      </c>
      <c r="BW81" s="420">
        <v>22473.224251731826</v>
      </c>
      <c r="BX81" s="420">
        <v>0</v>
      </c>
      <c r="BY81" s="420">
        <v>22283.098624786209</v>
      </c>
      <c r="BZ81" s="420">
        <v>0</v>
      </c>
      <c r="CA81" s="420">
        <v>28525.359405051335</v>
      </c>
      <c r="CB81" s="414">
        <f t="shared" si="173"/>
        <v>84993.564158188354</v>
      </c>
      <c r="CC81" s="415">
        <f t="shared" si="174"/>
        <v>355243.99111390952</v>
      </c>
      <c r="CD81" s="300">
        <v>53</v>
      </c>
      <c r="CE81" s="414">
        <f t="shared" si="175"/>
        <v>456068.66291270987</v>
      </c>
      <c r="CF81" s="414">
        <f t="shared" si="176"/>
        <v>906752.84112008801</v>
      </c>
      <c r="CG81" s="414">
        <f t="shared" si="177"/>
        <v>900003.41782835522</v>
      </c>
      <c r="CH81" s="414">
        <f t="shared" si="178"/>
        <v>975181.96151122323</v>
      </c>
      <c r="CI81" s="416">
        <f t="shared" si="179"/>
        <v>3238006.8833723771</v>
      </c>
      <c r="CJ81" s="414">
        <f t="shared" si="180"/>
        <v>372526.77591090515</v>
      </c>
      <c r="CK81" s="414">
        <f t="shared" si="181"/>
        <v>590547.08448966197</v>
      </c>
      <c r="CL81" s="414">
        <f t="shared" si="182"/>
        <v>625609.3024286076</v>
      </c>
      <c r="CM81" s="414">
        <f t="shared" si="183"/>
        <v>657345.1083369602</v>
      </c>
      <c r="CN81" s="416">
        <f t="shared" si="184"/>
        <v>2246028.2711661346</v>
      </c>
      <c r="CO81" s="414">
        <f t="shared" si="185"/>
        <v>828595.43882361508</v>
      </c>
      <c r="CP81" s="414">
        <f t="shared" si="186"/>
        <v>1497299.9256097502</v>
      </c>
      <c r="CQ81" s="414">
        <f t="shared" si="187"/>
        <v>1525612.7202569626</v>
      </c>
      <c r="CR81" s="414">
        <f t="shared" si="188"/>
        <v>1632527.0698481835</v>
      </c>
      <c r="CS81" s="416">
        <f t="shared" si="189"/>
        <v>5484035.1545385122</v>
      </c>
    </row>
    <row r="82" spans="1:131" ht="15.75" customHeight="1">
      <c r="A82" s="88" t="s">
        <v>256</v>
      </c>
      <c r="B82" s="300">
        <v>54</v>
      </c>
      <c r="C82" s="420"/>
      <c r="D82" s="420"/>
      <c r="E82" s="420"/>
      <c r="F82" s="420"/>
      <c r="G82" s="420"/>
      <c r="H82" s="420"/>
      <c r="I82" s="420"/>
      <c r="J82" s="420"/>
      <c r="K82" s="412">
        <f t="shared" si="163"/>
        <v>0</v>
      </c>
      <c r="L82" s="421"/>
      <c r="M82" s="420"/>
      <c r="N82" s="420"/>
      <c r="O82" s="420"/>
      <c r="P82" s="420"/>
      <c r="Q82" s="420"/>
      <c r="R82" s="420"/>
      <c r="S82" s="420"/>
      <c r="T82" s="414">
        <f t="shared" si="164"/>
        <v>0</v>
      </c>
      <c r="U82" s="415">
        <f t="shared" si="165"/>
        <v>0</v>
      </c>
      <c r="V82" s="300">
        <v>54</v>
      </c>
      <c r="W82" s="420"/>
      <c r="X82" s="420"/>
      <c r="Y82" s="420"/>
      <c r="Z82" s="420"/>
      <c r="AA82" s="420"/>
      <c r="AB82" s="420"/>
      <c r="AC82" s="420"/>
      <c r="AD82" s="420"/>
      <c r="AE82" s="412">
        <f t="shared" si="166"/>
        <v>0</v>
      </c>
      <c r="AF82" s="421"/>
      <c r="AG82" s="420"/>
      <c r="AH82" s="420"/>
      <c r="AI82" s="420"/>
      <c r="AJ82" s="420"/>
      <c r="AK82" s="420"/>
      <c r="AL82" s="420"/>
      <c r="AM82" s="420"/>
      <c r="AN82" s="414">
        <f t="shared" si="167"/>
        <v>0</v>
      </c>
      <c r="AO82" s="415">
        <f t="shared" si="168"/>
        <v>0</v>
      </c>
      <c r="AP82" s="300">
        <v>54</v>
      </c>
      <c r="AQ82" s="420"/>
      <c r="AR82" s="420"/>
      <c r="AS82" s="420"/>
      <c r="AT82" s="420"/>
      <c r="AU82" s="420"/>
      <c r="AV82" s="420"/>
      <c r="AW82" s="420"/>
      <c r="AX82" s="420"/>
      <c r="AY82" s="412">
        <f t="shared" si="169"/>
        <v>0</v>
      </c>
      <c r="AZ82" s="421"/>
      <c r="BA82" s="420"/>
      <c r="BB82" s="420"/>
      <c r="BC82" s="420"/>
      <c r="BD82" s="420"/>
      <c r="BE82" s="420"/>
      <c r="BF82" s="420"/>
      <c r="BG82" s="420"/>
      <c r="BH82" s="414">
        <f t="shared" si="170"/>
        <v>0</v>
      </c>
      <c r="BI82" s="415">
        <f t="shared" si="171"/>
        <v>0</v>
      </c>
      <c r="BJ82" s="300">
        <v>54</v>
      </c>
      <c r="BK82" s="420"/>
      <c r="BL82" s="420"/>
      <c r="BM82" s="420"/>
      <c r="BN82" s="420"/>
      <c r="BO82" s="420"/>
      <c r="BP82" s="420"/>
      <c r="BQ82" s="420"/>
      <c r="BR82" s="420"/>
      <c r="BS82" s="412">
        <f t="shared" si="172"/>
        <v>0</v>
      </c>
      <c r="BT82" s="421"/>
      <c r="BU82" s="420"/>
      <c r="BV82" s="420"/>
      <c r="BW82" s="420"/>
      <c r="BX82" s="420"/>
      <c r="BY82" s="420"/>
      <c r="BZ82" s="420"/>
      <c r="CA82" s="420"/>
      <c r="CB82" s="414">
        <f t="shared" si="173"/>
        <v>0</v>
      </c>
      <c r="CC82" s="415">
        <f t="shared" si="174"/>
        <v>0</v>
      </c>
      <c r="CD82" s="300">
        <v>54</v>
      </c>
      <c r="CE82" s="414">
        <f t="shared" si="175"/>
        <v>0</v>
      </c>
      <c r="CF82" s="414">
        <f t="shared" si="176"/>
        <v>0</v>
      </c>
      <c r="CG82" s="414">
        <f t="shared" si="177"/>
        <v>0</v>
      </c>
      <c r="CH82" s="414">
        <f t="shared" si="178"/>
        <v>0</v>
      </c>
      <c r="CI82" s="416">
        <f t="shared" si="179"/>
        <v>0</v>
      </c>
      <c r="CJ82" s="414">
        <f t="shared" si="180"/>
        <v>0</v>
      </c>
      <c r="CK82" s="414">
        <f t="shared" si="181"/>
        <v>0</v>
      </c>
      <c r="CL82" s="414">
        <f t="shared" si="182"/>
        <v>0</v>
      </c>
      <c r="CM82" s="414">
        <f t="shared" si="183"/>
        <v>0</v>
      </c>
      <c r="CN82" s="416">
        <f t="shared" si="184"/>
        <v>0</v>
      </c>
      <c r="CO82" s="414">
        <f t="shared" si="185"/>
        <v>0</v>
      </c>
      <c r="CP82" s="414">
        <f t="shared" si="186"/>
        <v>0</v>
      </c>
      <c r="CQ82" s="414">
        <f t="shared" si="187"/>
        <v>0</v>
      </c>
      <c r="CR82" s="414">
        <f t="shared" si="188"/>
        <v>0</v>
      </c>
      <c r="CS82" s="416">
        <f t="shared" si="189"/>
        <v>0</v>
      </c>
    </row>
    <row r="83" spans="1:131" ht="15.75" customHeight="1">
      <c r="A83" s="88" t="s">
        <v>258</v>
      </c>
      <c r="B83" s="300">
        <v>55</v>
      </c>
      <c r="C83" s="420"/>
      <c r="D83" s="420"/>
      <c r="E83" s="420"/>
      <c r="F83" s="420"/>
      <c r="G83" s="420"/>
      <c r="H83" s="420"/>
      <c r="I83" s="420"/>
      <c r="J83" s="420"/>
      <c r="K83" s="412">
        <f t="shared" si="163"/>
        <v>0</v>
      </c>
      <c r="L83" s="421"/>
      <c r="M83" s="420"/>
      <c r="N83" s="420"/>
      <c r="O83" s="420"/>
      <c r="P83" s="420"/>
      <c r="Q83" s="420"/>
      <c r="R83" s="420"/>
      <c r="S83" s="420"/>
      <c r="T83" s="414">
        <f t="shared" si="164"/>
        <v>0</v>
      </c>
      <c r="U83" s="415">
        <f t="shared" si="165"/>
        <v>0</v>
      </c>
      <c r="V83" s="300">
        <v>55</v>
      </c>
      <c r="W83" s="420"/>
      <c r="X83" s="420"/>
      <c r="Y83" s="420"/>
      <c r="Z83" s="420"/>
      <c r="AA83" s="420"/>
      <c r="AB83" s="420"/>
      <c r="AC83" s="420"/>
      <c r="AD83" s="420"/>
      <c r="AE83" s="412">
        <f t="shared" si="166"/>
        <v>0</v>
      </c>
      <c r="AF83" s="421"/>
      <c r="AG83" s="420"/>
      <c r="AH83" s="420"/>
      <c r="AI83" s="420"/>
      <c r="AJ83" s="420"/>
      <c r="AK83" s="420"/>
      <c r="AL83" s="420"/>
      <c r="AM83" s="420"/>
      <c r="AN83" s="414">
        <f t="shared" si="167"/>
        <v>0</v>
      </c>
      <c r="AO83" s="415">
        <f t="shared" si="168"/>
        <v>0</v>
      </c>
      <c r="AP83" s="300">
        <v>55</v>
      </c>
      <c r="AQ83" s="420"/>
      <c r="AR83" s="420"/>
      <c r="AS83" s="420"/>
      <c r="AT83" s="420"/>
      <c r="AU83" s="420"/>
      <c r="AV83" s="420"/>
      <c r="AW83" s="420"/>
      <c r="AX83" s="420"/>
      <c r="AY83" s="412">
        <f t="shared" si="169"/>
        <v>0</v>
      </c>
      <c r="AZ83" s="421"/>
      <c r="BA83" s="420"/>
      <c r="BB83" s="420"/>
      <c r="BC83" s="420"/>
      <c r="BD83" s="420"/>
      <c r="BE83" s="420"/>
      <c r="BF83" s="420"/>
      <c r="BG83" s="420"/>
      <c r="BH83" s="414">
        <f t="shared" si="170"/>
        <v>0</v>
      </c>
      <c r="BI83" s="415">
        <f t="shared" si="171"/>
        <v>0</v>
      </c>
      <c r="BJ83" s="300">
        <v>55</v>
      </c>
      <c r="BK83" s="420"/>
      <c r="BL83" s="420"/>
      <c r="BM83" s="420"/>
      <c r="BN83" s="420"/>
      <c r="BO83" s="420"/>
      <c r="BP83" s="420"/>
      <c r="BQ83" s="420"/>
      <c r="BR83" s="420"/>
      <c r="BS83" s="412">
        <f t="shared" si="172"/>
        <v>0</v>
      </c>
      <c r="BT83" s="421"/>
      <c r="BU83" s="420"/>
      <c r="BV83" s="420"/>
      <c r="BW83" s="420"/>
      <c r="BX83" s="420"/>
      <c r="BY83" s="420"/>
      <c r="BZ83" s="420"/>
      <c r="CA83" s="420"/>
      <c r="CB83" s="414">
        <f t="shared" si="173"/>
        <v>0</v>
      </c>
      <c r="CC83" s="415">
        <f t="shared" si="174"/>
        <v>0</v>
      </c>
      <c r="CD83" s="300">
        <v>55</v>
      </c>
      <c r="CE83" s="414">
        <f t="shared" si="175"/>
        <v>0</v>
      </c>
      <c r="CF83" s="414">
        <f t="shared" si="176"/>
        <v>0</v>
      </c>
      <c r="CG83" s="414">
        <f t="shared" si="177"/>
        <v>0</v>
      </c>
      <c r="CH83" s="414">
        <f t="shared" si="178"/>
        <v>0</v>
      </c>
      <c r="CI83" s="416">
        <f t="shared" si="179"/>
        <v>0</v>
      </c>
      <c r="CJ83" s="414">
        <f t="shared" si="180"/>
        <v>0</v>
      </c>
      <c r="CK83" s="414">
        <f t="shared" si="181"/>
        <v>0</v>
      </c>
      <c r="CL83" s="414">
        <f t="shared" si="182"/>
        <v>0</v>
      </c>
      <c r="CM83" s="414">
        <f t="shared" si="183"/>
        <v>0</v>
      </c>
      <c r="CN83" s="416">
        <f t="shared" si="184"/>
        <v>0</v>
      </c>
      <c r="CO83" s="414">
        <f t="shared" si="185"/>
        <v>0</v>
      </c>
      <c r="CP83" s="414">
        <f t="shared" si="186"/>
        <v>0</v>
      </c>
      <c r="CQ83" s="414">
        <f t="shared" si="187"/>
        <v>0</v>
      </c>
      <c r="CR83" s="414">
        <f t="shared" si="188"/>
        <v>0</v>
      </c>
      <c r="CS83" s="416">
        <f t="shared" si="189"/>
        <v>0</v>
      </c>
    </row>
    <row r="84" spans="1:131" ht="15.75" customHeight="1">
      <c r="A84" s="88" t="s">
        <v>260</v>
      </c>
      <c r="B84" s="300">
        <v>56</v>
      </c>
      <c r="C84" s="420"/>
      <c r="D84" s="420"/>
      <c r="E84" s="420"/>
      <c r="F84" s="420"/>
      <c r="G84" s="420"/>
      <c r="H84" s="420"/>
      <c r="I84" s="420"/>
      <c r="J84" s="420"/>
      <c r="K84" s="412">
        <f t="shared" si="163"/>
        <v>0</v>
      </c>
      <c r="L84" s="421"/>
      <c r="M84" s="420"/>
      <c r="N84" s="420"/>
      <c r="O84" s="420"/>
      <c r="P84" s="420"/>
      <c r="Q84" s="420"/>
      <c r="R84" s="420"/>
      <c r="S84" s="420"/>
      <c r="T84" s="414">
        <f t="shared" si="164"/>
        <v>0</v>
      </c>
      <c r="U84" s="415">
        <f t="shared" si="165"/>
        <v>0</v>
      </c>
      <c r="V84" s="300">
        <v>56</v>
      </c>
      <c r="W84" s="420"/>
      <c r="X84" s="420"/>
      <c r="Y84" s="420"/>
      <c r="Z84" s="420"/>
      <c r="AA84" s="420"/>
      <c r="AB84" s="420"/>
      <c r="AC84" s="420"/>
      <c r="AD84" s="420"/>
      <c r="AE84" s="412">
        <f t="shared" si="166"/>
        <v>0</v>
      </c>
      <c r="AF84" s="421"/>
      <c r="AG84" s="420"/>
      <c r="AH84" s="420"/>
      <c r="AI84" s="420"/>
      <c r="AJ84" s="420"/>
      <c r="AK84" s="420"/>
      <c r="AL84" s="420"/>
      <c r="AM84" s="420"/>
      <c r="AN84" s="414">
        <f t="shared" si="167"/>
        <v>0</v>
      </c>
      <c r="AO84" s="415">
        <f t="shared" si="168"/>
        <v>0</v>
      </c>
      <c r="AP84" s="300">
        <v>56</v>
      </c>
      <c r="AQ84" s="420"/>
      <c r="AR84" s="420"/>
      <c r="AS84" s="420"/>
      <c r="AT84" s="420"/>
      <c r="AU84" s="420"/>
      <c r="AV84" s="420"/>
      <c r="AW84" s="420"/>
      <c r="AX84" s="420"/>
      <c r="AY84" s="412">
        <f t="shared" si="169"/>
        <v>0</v>
      </c>
      <c r="AZ84" s="421"/>
      <c r="BA84" s="420"/>
      <c r="BB84" s="420"/>
      <c r="BC84" s="420"/>
      <c r="BD84" s="420"/>
      <c r="BE84" s="420"/>
      <c r="BF84" s="420"/>
      <c r="BG84" s="420"/>
      <c r="BH84" s="414">
        <f t="shared" si="170"/>
        <v>0</v>
      </c>
      <c r="BI84" s="415">
        <f t="shared" si="171"/>
        <v>0</v>
      </c>
      <c r="BJ84" s="300">
        <v>56</v>
      </c>
      <c r="BK84" s="420"/>
      <c r="BL84" s="420"/>
      <c r="BM84" s="420"/>
      <c r="BN84" s="420"/>
      <c r="BO84" s="420"/>
      <c r="BP84" s="420"/>
      <c r="BQ84" s="420"/>
      <c r="BR84" s="420"/>
      <c r="BS84" s="412">
        <f t="shared" si="172"/>
        <v>0</v>
      </c>
      <c r="BT84" s="421"/>
      <c r="BU84" s="420"/>
      <c r="BV84" s="420"/>
      <c r="BW84" s="420"/>
      <c r="BX84" s="420"/>
      <c r="BY84" s="420"/>
      <c r="BZ84" s="420"/>
      <c r="CA84" s="420"/>
      <c r="CB84" s="414">
        <f t="shared" si="173"/>
        <v>0</v>
      </c>
      <c r="CC84" s="415">
        <f t="shared" si="174"/>
        <v>0</v>
      </c>
      <c r="CD84" s="300">
        <v>56</v>
      </c>
      <c r="CE84" s="414">
        <f t="shared" si="175"/>
        <v>0</v>
      </c>
      <c r="CF84" s="414">
        <f t="shared" si="176"/>
        <v>0</v>
      </c>
      <c r="CG84" s="414">
        <f t="shared" si="177"/>
        <v>0</v>
      </c>
      <c r="CH84" s="414">
        <f t="shared" si="178"/>
        <v>0</v>
      </c>
      <c r="CI84" s="416">
        <f t="shared" si="179"/>
        <v>0</v>
      </c>
      <c r="CJ84" s="414">
        <f t="shared" si="180"/>
        <v>0</v>
      </c>
      <c r="CK84" s="414">
        <f t="shared" si="181"/>
        <v>0</v>
      </c>
      <c r="CL84" s="414">
        <f t="shared" si="182"/>
        <v>0</v>
      </c>
      <c r="CM84" s="414">
        <f t="shared" si="183"/>
        <v>0</v>
      </c>
      <c r="CN84" s="416">
        <f t="shared" si="184"/>
        <v>0</v>
      </c>
      <c r="CO84" s="414">
        <f t="shared" si="185"/>
        <v>0</v>
      </c>
      <c r="CP84" s="414">
        <f t="shared" si="186"/>
        <v>0</v>
      </c>
      <c r="CQ84" s="414">
        <f t="shared" si="187"/>
        <v>0</v>
      </c>
      <c r="CR84" s="414">
        <f t="shared" si="188"/>
        <v>0</v>
      </c>
      <c r="CS84" s="416">
        <f t="shared" si="189"/>
        <v>0</v>
      </c>
    </row>
    <row r="85" spans="1:131" ht="15.75" customHeight="1">
      <c r="A85" s="88" t="s">
        <v>262</v>
      </c>
      <c r="B85" s="300">
        <v>57</v>
      </c>
      <c r="C85" s="420"/>
      <c r="D85" s="420"/>
      <c r="E85" s="420"/>
      <c r="F85" s="420"/>
      <c r="G85" s="420"/>
      <c r="H85" s="420"/>
      <c r="I85" s="420"/>
      <c r="J85" s="420"/>
      <c r="K85" s="412">
        <f t="shared" si="163"/>
        <v>0</v>
      </c>
      <c r="L85" s="421"/>
      <c r="M85" s="420"/>
      <c r="N85" s="420"/>
      <c r="O85" s="420"/>
      <c r="P85" s="420"/>
      <c r="Q85" s="420"/>
      <c r="R85" s="420"/>
      <c r="S85" s="420"/>
      <c r="T85" s="414">
        <f t="shared" si="164"/>
        <v>0</v>
      </c>
      <c r="U85" s="415">
        <f t="shared" si="165"/>
        <v>0</v>
      </c>
      <c r="V85" s="300">
        <v>57</v>
      </c>
      <c r="W85" s="420"/>
      <c r="X85" s="420"/>
      <c r="Y85" s="420"/>
      <c r="Z85" s="420"/>
      <c r="AA85" s="420"/>
      <c r="AB85" s="420"/>
      <c r="AC85" s="420"/>
      <c r="AD85" s="420"/>
      <c r="AE85" s="412">
        <f t="shared" si="166"/>
        <v>0</v>
      </c>
      <c r="AF85" s="421"/>
      <c r="AG85" s="420"/>
      <c r="AH85" s="420"/>
      <c r="AI85" s="420"/>
      <c r="AJ85" s="420"/>
      <c r="AK85" s="420"/>
      <c r="AL85" s="420"/>
      <c r="AM85" s="420"/>
      <c r="AN85" s="414">
        <f t="shared" si="167"/>
        <v>0</v>
      </c>
      <c r="AO85" s="415">
        <f t="shared" si="168"/>
        <v>0</v>
      </c>
      <c r="AP85" s="300">
        <v>57</v>
      </c>
      <c r="AQ85" s="420"/>
      <c r="AR85" s="420"/>
      <c r="AS85" s="420"/>
      <c r="AT85" s="420"/>
      <c r="AU85" s="420"/>
      <c r="AV85" s="420"/>
      <c r="AW85" s="420"/>
      <c r="AX85" s="420"/>
      <c r="AY85" s="412">
        <f t="shared" si="169"/>
        <v>0</v>
      </c>
      <c r="AZ85" s="421"/>
      <c r="BA85" s="420"/>
      <c r="BB85" s="420"/>
      <c r="BC85" s="420"/>
      <c r="BD85" s="420"/>
      <c r="BE85" s="420"/>
      <c r="BF85" s="420"/>
      <c r="BG85" s="420"/>
      <c r="BH85" s="414">
        <f t="shared" si="170"/>
        <v>0</v>
      </c>
      <c r="BI85" s="415">
        <f t="shared" si="171"/>
        <v>0</v>
      </c>
      <c r="BJ85" s="300">
        <v>57</v>
      </c>
      <c r="BK85" s="420"/>
      <c r="BL85" s="420"/>
      <c r="BM85" s="420"/>
      <c r="BN85" s="420"/>
      <c r="BO85" s="420"/>
      <c r="BP85" s="420"/>
      <c r="BQ85" s="420"/>
      <c r="BR85" s="420"/>
      <c r="BS85" s="412">
        <f t="shared" si="172"/>
        <v>0</v>
      </c>
      <c r="BT85" s="421"/>
      <c r="BU85" s="420"/>
      <c r="BV85" s="420"/>
      <c r="BW85" s="420"/>
      <c r="BX85" s="420"/>
      <c r="BY85" s="420"/>
      <c r="BZ85" s="420"/>
      <c r="CA85" s="420"/>
      <c r="CB85" s="414">
        <f t="shared" si="173"/>
        <v>0</v>
      </c>
      <c r="CC85" s="415">
        <f t="shared" si="174"/>
        <v>0</v>
      </c>
      <c r="CD85" s="300">
        <v>57</v>
      </c>
      <c r="CE85" s="414">
        <f t="shared" si="175"/>
        <v>0</v>
      </c>
      <c r="CF85" s="414">
        <f t="shared" si="176"/>
        <v>0</v>
      </c>
      <c r="CG85" s="414">
        <f t="shared" si="177"/>
        <v>0</v>
      </c>
      <c r="CH85" s="414">
        <f t="shared" si="178"/>
        <v>0</v>
      </c>
      <c r="CI85" s="416">
        <f t="shared" si="179"/>
        <v>0</v>
      </c>
      <c r="CJ85" s="414">
        <f t="shared" si="180"/>
        <v>0</v>
      </c>
      <c r="CK85" s="414">
        <f t="shared" si="181"/>
        <v>0</v>
      </c>
      <c r="CL85" s="414">
        <f t="shared" si="182"/>
        <v>0</v>
      </c>
      <c r="CM85" s="414">
        <f t="shared" si="183"/>
        <v>0</v>
      </c>
      <c r="CN85" s="416">
        <f t="shared" si="184"/>
        <v>0</v>
      </c>
      <c r="CO85" s="414">
        <f t="shared" si="185"/>
        <v>0</v>
      </c>
      <c r="CP85" s="414">
        <f t="shared" si="186"/>
        <v>0</v>
      </c>
      <c r="CQ85" s="414">
        <f t="shared" si="187"/>
        <v>0</v>
      </c>
      <c r="CR85" s="414">
        <f t="shared" si="188"/>
        <v>0</v>
      </c>
      <c r="CS85" s="416">
        <f t="shared" si="189"/>
        <v>0</v>
      </c>
    </row>
    <row r="86" spans="1:131" ht="15.75" customHeight="1">
      <c r="A86" s="88" t="s">
        <v>264</v>
      </c>
      <c r="B86" s="300">
        <v>58</v>
      </c>
      <c r="C86" s="420">
        <v>5417.6996638037026</v>
      </c>
      <c r="D86" s="420">
        <v>19244.92619050065</v>
      </c>
      <c r="E86" s="420">
        <v>3698.5964290236993</v>
      </c>
      <c r="F86" s="420">
        <v>11303.946438605088</v>
      </c>
      <c r="G86" s="420">
        <v>4845.2573468105438</v>
      </c>
      <c r="H86" s="420">
        <v>12338.210620473283</v>
      </c>
      <c r="I86" s="420">
        <v>4756.2384810662124</v>
      </c>
      <c r="J86" s="420">
        <v>12196.610824859419</v>
      </c>
      <c r="K86" s="412">
        <f t="shared" si="163"/>
        <v>73801.48599514259</v>
      </c>
      <c r="L86" s="421">
        <v>0</v>
      </c>
      <c r="M86" s="420">
        <v>51473.441264250047</v>
      </c>
      <c r="N86" s="420">
        <v>0</v>
      </c>
      <c r="O86" s="420">
        <v>26746.911418915435</v>
      </c>
      <c r="P86" s="420">
        <v>0</v>
      </c>
      <c r="Q86" s="420">
        <v>30239.106778627021</v>
      </c>
      <c r="R86" s="420">
        <v>0</v>
      </c>
      <c r="S86" s="420">
        <v>29070.882185477476</v>
      </c>
      <c r="T86" s="414">
        <f t="shared" si="164"/>
        <v>137530.34164726999</v>
      </c>
      <c r="U86" s="415">
        <f t="shared" si="165"/>
        <v>211331.82764241257</v>
      </c>
      <c r="V86" s="300">
        <v>58</v>
      </c>
      <c r="W86" s="420">
        <v>1122.1247804369004</v>
      </c>
      <c r="X86" s="420">
        <v>15109.554086342683</v>
      </c>
      <c r="Y86" s="420">
        <v>485.71399629381301</v>
      </c>
      <c r="Z86" s="420">
        <v>8716.6500024343895</v>
      </c>
      <c r="AA86" s="420">
        <v>427.27095302973407</v>
      </c>
      <c r="AB86" s="420">
        <v>9463.0249332185995</v>
      </c>
      <c r="AC86" s="420">
        <v>846.21185916673448</v>
      </c>
      <c r="AD86" s="420">
        <v>9901.8158572910525</v>
      </c>
      <c r="AE86" s="412">
        <f t="shared" si="166"/>
        <v>46072.366468213906</v>
      </c>
      <c r="AF86" s="421">
        <v>0</v>
      </c>
      <c r="AG86" s="420">
        <v>21911.0243882629</v>
      </c>
      <c r="AH86" s="420">
        <v>0</v>
      </c>
      <c r="AI86" s="420">
        <v>11829.317141533829</v>
      </c>
      <c r="AJ86" s="420">
        <v>0</v>
      </c>
      <c r="AK86" s="420">
        <v>13891.005603107033</v>
      </c>
      <c r="AL86" s="420">
        <v>0</v>
      </c>
      <c r="AM86" s="420">
        <v>14429.750723604067</v>
      </c>
      <c r="AN86" s="414">
        <f t="shared" si="167"/>
        <v>62061.097856507833</v>
      </c>
      <c r="AO86" s="415">
        <f t="shared" si="168"/>
        <v>108133.46432472175</v>
      </c>
      <c r="AP86" s="300">
        <v>58</v>
      </c>
      <c r="AQ86" s="420">
        <v>138531.67673597418</v>
      </c>
      <c r="AR86" s="420">
        <v>439896.00944930204</v>
      </c>
      <c r="AS86" s="420">
        <v>86813.638223212358</v>
      </c>
      <c r="AT86" s="420">
        <v>264798.47333350888</v>
      </c>
      <c r="AU86" s="420">
        <v>96932.210753675245</v>
      </c>
      <c r="AV86" s="420">
        <v>298730.54489072616</v>
      </c>
      <c r="AW86" s="420">
        <v>99442.660853460067</v>
      </c>
      <c r="AX86" s="420">
        <v>295787.64907951211</v>
      </c>
      <c r="AY86" s="412">
        <f t="shared" si="169"/>
        <v>1720932.8633193709</v>
      </c>
      <c r="AZ86" s="421">
        <v>0</v>
      </c>
      <c r="BA86" s="420">
        <v>462725.52138659812</v>
      </c>
      <c r="BB86" s="420">
        <v>0</v>
      </c>
      <c r="BC86" s="420">
        <v>218116.9229698175</v>
      </c>
      <c r="BD86" s="420">
        <v>0</v>
      </c>
      <c r="BE86" s="420">
        <v>264397.30731896404</v>
      </c>
      <c r="BF86" s="420">
        <v>0</v>
      </c>
      <c r="BG86" s="420">
        <v>254454.71144050581</v>
      </c>
      <c r="BH86" s="414">
        <f t="shared" si="170"/>
        <v>1199694.4631158854</v>
      </c>
      <c r="BI86" s="415">
        <f t="shared" si="171"/>
        <v>2920627.3264352563</v>
      </c>
      <c r="BJ86" s="300">
        <v>58</v>
      </c>
      <c r="BK86" s="420">
        <v>1926.2843130997464</v>
      </c>
      <c r="BL86" s="420">
        <v>56392.722992337563</v>
      </c>
      <c r="BM86" s="420">
        <v>733.82809443324288</v>
      </c>
      <c r="BN86" s="420">
        <v>33179.754972674113</v>
      </c>
      <c r="BO86" s="420">
        <v>1795.6216141065461</v>
      </c>
      <c r="BP86" s="420">
        <v>35709.317776559976</v>
      </c>
      <c r="BQ86" s="420">
        <v>2617.8068947235179</v>
      </c>
      <c r="BR86" s="420">
        <v>36524.084546581827</v>
      </c>
      <c r="BS86" s="412">
        <f t="shared" si="172"/>
        <v>168879.42120451655</v>
      </c>
      <c r="BT86" s="421">
        <v>0</v>
      </c>
      <c r="BU86" s="420">
        <v>17401.878206505393</v>
      </c>
      <c r="BV86" s="420">
        <v>0</v>
      </c>
      <c r="BW86" s="420">
        <v>10154.881542705225</v>
      </c>
      <c r="BX86" s="420">
        <v>0</v>
      </c>
      <c r="BY86" s="420">
        <v>11395.074303580113</v>
      </c>
      <c r="BZ86" s="420">
        <v>0</v>
      </c>
      <c r="CA86" s="420">
        <v>13516.247380373143</v>
      </c>
      <c r="CB86" s="414">
        <f t="shared" si="173"/>
        <v>52468.081433163868</v>
      </c>
      <c r="CC86" s="415">
        <f t="shared" si="174"/>
        <v>221347.50263768042</v>
      </c>
      <c r="CD86" s="300">
        <v>58</v>
      </c>
      <c r="CE86" s="414">
        <f t="shared" si="175"/>
        <v>677640.99821179733</v>
      </c>
      <c r="CF86" s="414">
        <f t="shared" si="176"/>
        <v>409730.6014901856</v>
      </c>
      <c r="CG86" s="414">
        <f t="shared" si="177"/>
        <v>460241.45888860006</v>
      </c>
      <c r="CH86" s="414">
        <f t="shared" si="178"/>
        <v>462073.07839666092</v>
      </c>
      <c r="CI86" s="416">
        <f t="shared" si="179"/>
        <v>2009686.1369872438</v>
      </c>
      <c r="CJ86" s="414">
        <f t="shared" si="180"/>
        <v>553511.86524561653</v>
      </c>
      <c r="CK86" s="414">
        <f t="shared" si="181"/>
        <v>266848.03307297197</v>
      </c>
      <c r="CL86" s="414">
        <f t="shared" si="182"/>
        <v>319922.49400427821</v>
      </c>
      <c r="CM86" s="414">
        <f t="shared" si="183"/>
        <v>311471.59172996046</v>
      </c>
      <c r="CN86" s="416">
        <f t="shared" si="184"/>
        <v>1451753.9840528271</v>
      </c>
      <c r="CO86" s="414">
        <f t="shared" si="185"/>
        <v>1231152.8634574139</v>
      </c>
      <c r="CP86" s="414">
        <f t="shared" si="186"/>
        <v>676578.63456315757</v>
      </c>
      <c r="CQ86" s="414">
        <f t="shared" si="187"/>
        <v>780163.95289287833</v>
      </c>
      <c r="CR86" s="414">
        <f t="shared" si="188"/>
        <v>773544.6701266215</v>
      </c>
      <c r="CS86" s="416">
        <f t="shared" si="189"/>
        <v>3461440.1210400709</v>
      </c>
    </row>
    <row r="87" spans="1:131" ht="15.75" customHeight="1">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t="s">
        <v>1315</v>
      </c>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t="s">
        <v>1315</v>
      </c>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t="s">
        <v>1315</v>
      </c>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t="s">
        <v>1315</v>
      </c>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131" s="14" customFormat="1" ht="15.75" customHeight="1">
      <c r="A88" s="16" t="s">
        <v>266</v>
      </c>
      <c r="B88" s="300">
        <v>59</v>
      </c>
      <c r="C88" s="216">
        <f t="shared" ref="C88:U88" si="190">SUM(C76:C86)</f>
        <v>10035.595275603668</v>
      </c>
      <c r="D88" s="216">
        <f t="shared" si="190"/>
        <v>35648.762822177618</v>
      </c>
      <c r="E88" s="216">
        <f t="shared" si="190"/>
        <v>13004.288288822838</v>
      </c>
      <c r="F88" s="216">
        <f t="shared" si="190"/>
        <v>39744.74671945638</v>
      </c>
      <c r="G88" s="216">
        <f t="shared" si="190"/>
        <v>15645.829837006571</v>
      </c>
      <c r="H88" s="216">
        <f t="shared" si="190"/>
        <v>39841.339694401257</v>
      </c>
      <c r="I88" s="216">
        <f t="shared" si="190"/>
        <v>16140.537082198407</v>
      </c>
      <c r="J88" s="216">
        <f t="shared" si="190"/>
        <v>41389.818883021115</v>
      </c>
      <c r="K88" s="221">
        <f t="shared" si="190"/>
        <v>211450.91860268783</v>
      </c>
      <c r="L88" s="218">
        <f t="shared" si="190"/>
        <v>0</v>
      </c>
      <c r="M88" s="216">
        <f t="shared" si="190"/>
        <v>95347.962424313373</v>
      </c>
      <c r="N88" s="216">
        <f t="shared" si="190"/>
        <v>0</v>
      </c>
      <c r="O88" s="216">
        <f t="shared" si="190"/>
        <v>94042.308643821787</v>
      </c>
      <c r="P88" s="216">
        <f t="shared" si="190"/>
        <v>0</v>
      </c>
      <c r="Q88" s="216">
        <f t="shared" si="190"/>
        <v>97645.157979669602</v>
      </c>
      <c r="R88" s="216">
        <f t="shared" si="190"/>
        <v>0</v>
      </c>
      <c r="S88" s="216">
        <f t="shared" si="190"/>
        <v>98653.516596109504</v>
      </c>
      <c r="T88" s="219">
        <f t="shared" si="190"/>
        <v>385688.94564391428</v>
      </c>
      <c r="U88" s="220">
        <f t="shared" si="190"/>
        <v>597139.86424660217</v>
      </c>
      <c r="V88" s="300">
        <v>59</v>
      </c>
      <c r="W88" s="216">
        <f t="shared" ref="W88:AO88" si="191">SUM(W76:W86)</f>
        <v>2078.5925473919706</v>
      </c>
      <c r="X88" s="216">
        <f t="shared" si="191"/>
        <v>27988.5152398645</v>
      </c>
      <c r="Y88" s="216">
        <f t="shared" si="191"/>
        <v>1707.773463510392</v>
      </c>
      <c r="Z88" s="216">
        <f t="shared" si="191"/>
        <v>30647.796189633635</v>
      </c>
      <c r="AA88" s="216">
        <f t="shared" si="191"/>
        <v>1379.7014579213928</v>
      </c>
      <c r="AB88" s="216">
        <f t="shared" si="191"/>
        <v>30557.07205024912</v>
      </c>
      <c r="AC88" s="216">
        <f t="shared" si="191"/>
        <v>2871.6629636314897</v>
      </c>
      <c r="AD88" s="216">
        <f t="shared" si="191"/>
        <v>33602.315498250464</v>
      </c>
      <c r="AE88" s="221">
        <f t="shared" si="191"/>
        <v>130833.42941045295</v>
      </c>
      <c r="AF88" s="218">
        <f t="shared" si="191"/>
        <v>0</v>
      </c>
      <c r="AG88" s="216">
        <f t="shared" si="191"/>
        <v>40587.368529045707</v>
      </c>
      <c r="AH88" s="216">
        <f t="shared" si="191"/>
        <v>0</v>
      </c>
      <c r="AI88" s="216">
        <f t="shared" si="191"/>
        <v>41591.953412723611</v>
      </c>
      <c r="AJ88" s="216">
        <f t="shared" si="191"/>
        <v>0</v>
      </c>
      <c r="AK88" s="216">
        <f t="shared" si="191"/>
        <v>44855.472965575718</v>
      </c>
      <c r="AL88" s="216">
        <f t="shared" si="191"/>
        <v>0</v>
      </c>
      <c r="AM88" s="216">
        <f t="shared" si="191"/>
        <v>48968.092657330417</v>
      </c>
      <c r="AN88" s="219">
        <f t="shared" si="191"/>
        <v>176002.88756467545</v>
      </c>
      <c r="AO88" s="220">
        <f t="shared" si="191"/>
        <v>306836.31697512843</v>
      </c>
      <c r="AP88" s="300">
        <v>59</v>
      </c>
      <c r="AQ88" s="216">
        <f t="shared" ref="AQ88:BI88" si="192">SUM(AQ76:AQ86)</f>
        <v>256612.20201285955</v>
      </c>
      <c r="AR88" s="216">
        <f t="shared" si="192"/>
        <v>814851.06006907567</v>
      </c>
      <c r="AS88" s="216">
        <f t="shared" si="192"/>
        <v>305237.29758594575</v>
      </c>
      <c r="AT88" s="216">
        <f t="shared" si="192"/>
        <v>931033.09640573151</v>
      </c>
      <c r="AU88" s="216">
        <f t="shared" si="192"/>
        <v>313003.9885652666</v>
      </c>
      <c r="AV88" s="216">
        <f t="shared" si="192"/>
        <v>964631.37825965113</v>
      </c>
      <c r="AW88" s="216">
        <f t="shared" si="192"/>
        <v>337463.72505231155</v>
      </c>
      <c r="AX88" s="216">
        <f t="shared" si="192"/>
        <v>1003770.4243446435</v>
      </c>
      <c r="AY88" s="221">
        <f t="shared" si="192"/>
        <v>4926603.1722954856</v>
      </c>
      <c r="AZ88" s="218">
        <f t="shared" si="192"/>
        <v>0</v>
      </c>
      <c r="BA88" s="216">
        <f t="shared" si="192"/>
        <v>857139.80923561996</v>
      </c>
      <c r="BB88" s="216">
        <f t="shared" si="192"/>
        <v>0</v>
      </c>
      <c r="BC88" s="216">
        <f t="shared" si="192"/>
        <v>766900.47194989491</v>
      </c>
      <c r="BD88" s="216">
        <f t="shared" si="192"/>
        <v>0</v>
      </c>
      <c r="BE88" s="216">
        <f t="shared" si="192"/>
        <v>853765.85464511858</v>
      </c>
      <c r="BF88" s="216">
        <f t="shared" si="192"/>
        <v>0</v>
      </c>
      <c r="BG88" s="216">
        <f t="shared" si="192"/>
        <v>863504.99919106229</v>
      </c>
      <c r="BH88" s="219">
        <f t="shared" si="192"/>
        <v>3341311.1350216954</v>
      </c>
      <c r="BI88" s="220">
        <f t="shared" si="192"/>
        <v>8267914.3073171806</v>
      </c>
      <c r="BJ88" s="300">
        <v>59</v>
      </c>
      <c r="BK88" s="216">
        <f t="shared" ref="BK88:CC88" si="193">SUM(BK76:BK86)</f>
        <v>3568.1951661456478</v>
      </c>
      <c r="BL88" s="216">
        <f t="shared" si="193"/>
        <v>104460.30226101409</v>
      </c>
      <c r="BM88" s="216">
        <f t="shared" si="193"/>
        <v>2580.1441918783216</v>
      </c>
      <c r="BN88" s="216">
        <f t="shared" si="193"/>
        <v>116660.22700699269</v>
      </c>
      <c r="BO88" s="216">
        <f t="shared" si="193"/>
        <v>5798.2452148708562</v>
      </c>
      <c r="BP88" s="216">
        <f t="shared" si="193"/>
        <v>115309.02685600886</v>
      </c>
      <c r="BQ88" s="216">
        <f t="shared" si="193"/>
        <v>8883.6607807873697</v>
      </c>
      <c r="BR88" s="216">
        <f t="shared" si="193"/>
        <v>123946.33771292743</v>
      </c>
      <c r="BS88" s="221">
        <f t="shared" si="193"/>
        <v>481206.13919062528</v>
      </c>
      <c r="BT88" s="218">
        <f t="shared" si="193"/>
        <v>0</v>
      </c>
      <c r="BU88" s="216">
        <f t="shared" si="193"/>
        <v>32234.752303198831</v>
      </c>
      <c r="BV88" s="216">
        <f t="shared" si="193"/>
        <v>0</v>
      </c>
      <c r="BW88" s="216">
        <f t="shared" si="193"/>
        <v>35704.627324004425</v>
      </c>
      <c r="BX88" s="216">
        <f t="shared" si="193"/>
        <v>0</v>
      </c>
      <c r="BY88" s="216">
        <f t="shared" si="193"/>
        <v>36795.856395784504</v>
      </c>
      <c r="BZ88" s="216">
        <f t="shared" si="193"/>
        <v>0</v>
      </c>
      <c r="CA88" s="216">
        <f t="shared" si="193"/>
        <v>45868.072621576088</v>
      </c>
      <c r="CB88" s="219">
        <f t="shared" si="193"/>
        <v>150603.30864456383</v>
      </c>
      <c r="CC88" s="220">
        <f t="shared" si="193"/>
        <v>631809.44783518917</v>
      </c>
      <c r="CD88" s="300">
        <v>59</v>
      </c>
      <c r="CE88" s="219">
        <f t="shared" ref="CE88:CH88" si="194">SUM(CE76:CE86)</f>
        <v>1255243.2253941325</v>
      </c>
      <c r="CF88" s="219">
        <f t="shared" si="194"/>
        <v>1440615.3698519713</v>
      </c>
      <c r="CG88" s="219">
        <f t="shared" si="194"/>
        <v>1486166.5819353757</v>
      </c>
      <c r="CH88" s="219">
        <f t="shared" si="194"/>
        <v>1568068.4823177713</v>
      </c>
      <c r="CI88" s="216">
        <f>SUM(CI76:CI86)</f>
        <v>5750093.6594992513</v>
      </c>
      <c r="CJ88" s="219">
        <f t="shared" ref="CJ88:CM88" si="195">SUM(CJ76:CJ86)</f>
        <v>1025309.8924921779</v>
      </c>
      <c r="CK88" s="219">
        <f t="shared" si="195"/>
        <v>938239.36133044469</v>
      </c>
      <c r="CL88" s="219">
        <f t="shared" si="195"/>
        <v>1033062.3419861484</v>
      </c>
      <c r="CM88" s="219">
        <f t="shared" si="195"/>
        <v>1056994.6810660784</v>
      </c>
      <c r="CN88" s="216">
        <f>SUM(CN76:CN86)</f>
        <v>4053606.2768748491</v>
      </c>
      <c r="CO88" s="219">
        <f t="shared" ref="CO88:CR88" si="196">SUM(CO76:CO86)</f>
        <v>2280553.1178863104</v>
      </c>
      <c r="CP88" s="219">
        <f t="shared" si="196"/>
        <v>2378854.731182416</v>
      </c>
      <c r="CQ88" s="219">
        <f t="shared" si="196"/>
        <v>2519228.9239215236</v>
      </c>
      <c r="CR88" s="219">
        <f t="shared" si="196"/>
        <v>2625063.1633838499</v>
      </c>
      <c r="CS88" s="216">
        <f>SUM(CS76:CS86)</f>
        <v>9803699.9363740999</v>
      </c>
      <c r="CT88" s="318"/>
      <c r="CU88" s="318"/>
      <c r="CV88" s="318"/>
      <c r="CW88" s="318"/>
      <c r="CX88" s="318"/>
      <c r="CY88" s="318"/>
      <c r="CZ88" s="318"/>
      <c r="DA88" s="318"/>
      <c r="DB88" s="318"/>
      <c r="DC88" s="318"/>
      <c r="DD88" s="318"/>
      <c r="DE88" s="318"/>
      <c r="DF88" s="318"/>
      <c r="DG88" s="318"/>
      <c r="DH88" s="318"/>
      <c r="DI88" s="318"/>
      <c r="DJ88" s="318"/>
      <c r="DK88" s="318"/>
      <c r="DL88" s="318"/>
      <c r="DM88" s="318"/>
      <c r="DN88" s="318"/>
      <c r="DO88" s="318"/>
      <c r="DP88" s="318"/>
      <c r="DQ88" s="318"/>
      <c r="DR88" s="318"/>
      <c r="DS88" s="318"/>
      <c r="DT88" s="318"/>
      <c r="DU88" s="318"/>
      <c r="DV88" s="318"/>
      <c r="DW88" s="318"/>
      <c r="DX88" s="318"/>
      <c r="DY88" s="318"/>
      <c r="DZ88" s="318"/>
      <c r="EA88" s="318"/>
    </row>
    <row r="89" spans="1:131" ht="15.75" customHeight="1">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t="s">
        <v>1315</v>
      </c>
      <c r="U89" s="422"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t="s">
        <v>1315</v>
      </c>
      <c r="AO89" s="422"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t="s">
        <v>1315</v>
      </c>
      <c r="BI89" s="422"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t="s">
        <v>1315</v>
      </c>
      <c r="CC89" s="422" t="s">
        <v>1315</v>
      </c>
      <c r="CD89" s="300"/>
      <c r="CE89" s="380" t="s">
        <v>1315</v>
      </c>
      <c r="CF89" s="380"/>
      <c r="CG89" s="380"/>
      <c r="CH89" s="380"/>
      <c r="CI89" s="187"/>
      <c r="CJ89" s="380" t="s">
        <v>1315</v>
      </c>
      <c r="CK89" s="380"/>
      <c r="CL89" s="380"/>
      <c r="CM89" s="380"/>
      <c r="CN89" s="187"/>
      <c r="CO89" s="380" t="s">
        <v>1315</v>
      </c>
      <c r="CP89" s="380"/>
      <c r="CQ89" s="380"/>
      <c r="CR89" s="380"/>
      <c r="CS89" s="187"/>
    </row>
    <row r="90" spans="1:131" s="14" customFormat="1" ht="15.75" customHeight="1">
      <c r="A90" s="16" t="s">
        <v>268</v>
      </c>
      <c r="B90" s="300">
        <v>60</v>
      </c>
      <c r="C90" s="216">
        <f t="shared" ref="C90:U90" si="197">C88+C66+C73-C70</f>
        <v>114838.22330007714</v>
      </c>
      <c r="D90" s="216">
        <f t="shared" si="197"/>
        <v>670494.12340586307</v>
      </c>
      <c r="E90" s="216">
        <f t="shared" si="197"/>
        <v>395266.22708700947</v>
      </c>
      <c r="F90" s="216">
        <f t="shared" si="197"/>
        <v>1241071.2917638484</v>
      </c>
      <c r="G90" s="216">
        <f t="shared" si="197"/>
        <v>386677.45342022285</v>
      </c>
      <c r="H90" s="216">
        <f t="shared" si="197"/>
        <v>1162599.2491860229</v>
      </c>
      <c r="I90" s="216">
        <f t="shared" si="197"/>
        <v>261559.18841635736</v>
      </c>
      <c r="J90" s="216">
        <f t="shared" si="197"/>
        <v>680044.83667374274</v>
      </c>
      <c r="K90" s="221">
        <f t="shared" si="197"/>
        <v>4912550.593253145</v>
      </c>
      <c r="L90" s="218">
        <f t="shared" si="197"/>
        <v>0</v>
      </c>
      <c r="M90" s="216">
        <f t="shared" si="197"/>
        <v>1112354.9566683681</v>
      </c>
      <c r="N90" s="216">
        <f t="shared" si="197"/>
        <v>0</v>
      </c>
      <c r="O90" s="216">
        <f t="shared" si="197"/>
        <v>2001075.661767605</v>
      </c>
      <c r="P90" s="216">
        <f t="shared" si="197"/>
        <v>0</v>
      </c>
      <c r="Q90" s="216">
        <f t="shared" si="197"/>
        <v>1917621.2972296018</v>
      </c>
      <c r="R90" s="216">
        <f t="shared" si="197"/>
        <v>0</v>
      </c>
      <c r="S90" s="216">
        <f t="shared" si="197"/>
        <v>1463025.0193704595</v>
      </c>
      <c r="T90" s="219">
        <f t="shared" si="197"/>
        <v>6494076.9350360325</v>
      </c>
      <c r="U90" s="220">
        <f t="shared" si="197"/>
        <v>11406627.528289178</v>
      </c>
      <c r="V90" s="300">
        <v>60</v>
      </c>
      <c r="W90" s="216">
        <f t="shared" ref="W90:AO90" si="198">W88+W66+W73-W70</f>
        <v>8825.4926677529056</v>
      </c>
      <c r="X90" s="216">
        <f t="shared" si="198"/>
        <v>229058.83982138871</v>
      </c>
      <c r="Y90" s="216">
        <f t="shared" si="198"/>
        <v>3833.4832713182941</v>
      </c>
      <c r="Z90" s="216">
        <f t="shared" si="198"/>
        <v>180189.53098639511</v>
      </c>
      <c r="AA90" s="216">
        <f t="shared" si="198"/>
        <v>4329.4094306872703</v>
      </c>
      <c r="AB90" s="216">
        <f t="shared" si="198"/>
        <v>184270.3246724678</v>
      </c>
      <c r="AC90" s="216">
        <f t="shared" si="198"/>
        <v>15668.426960425904</v>
      </c>
      <c r="AD90" s="216">
        <f t="shared" si="198"/>
        <v>196519.41340563429</v>
      </c>
      <c r="AE90" s="221">
        <f t="shared" si="198"/>
        <v>822694.9212160703</v>
      </c>
      <c r="AF90" s="218">
        <f t="shared" si="198"/>
        <v>0</v>
      </c>
      <c r="AG90" s="216">
        <f t="shared" si="198"/>
        <v>503835.01272349857</v>
      </c>
      <c r="AH90" s="216">
        <f t="shared" si="198"/>
        <v>0</v>
      </c>
      <c r="AI90" s="216">
        <f t="shared" si="198"/>
        <v>584955.39315242204</v>
      </c>
      <c r="AJ90" s="216">
        <f t="shared" si="198"/>
        <v>0</v>
      </c>
      <c r="AK90" s="216">
        <f t="shared" si="198"/>
        <v>485196.65001286223</v>
      </c>
      <c r="AL90" s="216">
        <f t="shared" si="198"/>
        <v>0</v>
      </c>
      <c r="AM90" s="216">
        <f t="shared" si="198"/>
        <v>559650.92690506822</v>
      </c>
      <c r="AN90" s="219">
        <f t="shared" si="198"/>
        <v>2133637.9827938513</v>
      </c>
      <c r="AO90" s="220">
        <f t="shared" si="198"/>
        <v>2956332.9040099196</v>
      </c>
      <c r="AP90" s="300">
        <v>60</v>
      </c>
      <c r="AQ90" s="216">
        <f t="shared" ref="AQ90:BI90" si="199">AQ88+AQ66+AQ73-AQ70</f>
        <v>3238687.6382070463</v>
      </c>
      <c r="AR90" s="216">
        <f t="shared" si="199"/>
        <v>9061443.8416485041</v>
      </c>
      <c r="AS90" s="216">
        <f t="shared" si="199"/>
        <v>3020901.1754232887</v>
      </c>
      <c r="AT90" s="216">
        <f t="shared" si="199"/>
        <v>8823900.6557547748</v>
      </c>
      <c r="AU90" s="216">
        <f t="shared" si="199"/>
        <v>3342746.0260785441</v>
      </c>
      <c r="AV90" s="216">
        <f t="shared" si="199"/>
        <v>9407718.7190848123</v>
      </c>
      <c r="AW90" s="216">
        <f t="shared" si="199"/>
        <v>3940941.5444528488</v>
      </c>
      <c r="AX90" s="216">
        <f t="shared" si="199"/>
        <v>9420124.4771854542</v>
      </c>
      <c r="AY90" s="221">
        <f t="shared" si="199"/>
        <v>50256464.077835277</v>
      </c>
      <c r="AZ90" s="218">
        <f t="shared" si="199"/>
        <v>0</v>
      </c>
      <c r="BA90" s="216">
        <f t="shared" si="199"/>
        <v>10203453.958766114</v>
      </c>
      <c r="BB90" s="216">
        <f t="shared" si="199"/>
        <v>0</v>
      </c>
      <c r="BC90" s="216">
        <f t="shared" si="199"/>
        <v>9852311.3759475816</v>
      </c>
      <c r="BD90" s="216">
        <f t="shared" si="199"/>
        <v>0</v>
      </c>
      <c r="BE90" s="216">
        <f t="shared" si="199"/>
        <v>10556060.836399999</v>
      </c>
      <c r="BF90" s="216">
        <f t="shared" si="199"/>
        <v>0</v>
      </c>
      <c r="BG90" s="216">
        <f t="shared" si="199"/>
        <v>11178780.172264591</v>
      </c>
      <c r="BH90" s="219">
        <f t="shared" si="199"/>
        <v>41790606.343378291</v>
      </c>
      <c r="BI90" s="220">
        <f t="shared" si="199"/>
        <v>92047070.421213597</v>
      </c>
      <c r="BJ90" s="300">
        <v>60</v>
      </c>
      <c r="BK90" s="216">
        <f t="shared" ref="BK90:CC90" si="200">BK88+BK66+BK73-BK70</f>
        <v>33813.242724056254</v>
      </c>
      <c r="BL90" s="216">
        <f t="shared" si="200"/>
        <v>1375052.8573329055</v>
      </c>
      <c r="BM90" s="216">
        <f t="shared" si="200"/>
        <v>4112.2870670515513</v>
      </c>
      <c r="BN90" s="216">
        <f t="shared" si="200"/>
        <v>1123710.3384052617</v>
      </c>
      <c r="BO90" s="216">
        <f t="shared" si="200"/>
        <v>17475.76211473484</v>
      </c>
      <c r="BP90" s="216">
        <f t="shared" si="200"/>
        <v>1279442.7566631821</v>
      </c>
      <c r="BQ90" s="216">
        <f t="shared" si="200"/>
        <v>56075.851276839945</v>
      </c>
      <c r="BR90" s="216">
        <f t="shared" si="200"/>
        <v>1564559.502534633</v>
      </c>
      <c r="BS90" s="221">
        <f t="shared" si="200"/>
        <v>5454242.5981186656</v>
      </c>
      <c r="BT90" s="218">
        <f t="shared" si="200"/>
        <v>0</v>
      </c>
      <c r="BU90" s="216">
        <f t="shared" si="200"/>
        <v>599717.87134355097</v>
      </c>
      <c r="BV90" s="216">
        <f t="shared" si="200"/>
        <v>0</v>
      </c>
      <c r="BW90" s="216">
        <f t="shared" si="200"/>
        <v>773071.22112304275</v>
      </c>
      <c r="BX90" s="216">
        <f t="shared" si="200"/>
        <v>0</v>
      </c>
      <c r="BY90" s="216">
        <f t="shared" si="200"/>
        <v>553585.23503664939</v>
      </c>
      <c r="BZ90" s="216">
        <f t="shared" si="200"/>
        <v>0</v>
      </c>
      <c r="CA90" s="216">
        <f t="shared" si="200"/>
        <v>679144.42802175763</v>
      </c>
      <c r="CB90" s="219">
        <f t="shared" si="200"/>
        <v>2605518.7555250013</v>
      </c>
      <c r="CC90" s="220">
        <f t="shared" si="200"/>
        <v>8059761.353643667</v>
      </c>
      <c r="CD90" s="300">
        <v>60</v>
      </c>
      <c r="CE90" s="219">
        <f t="shared" ref="CE90:CS90" si="201">CE88+CE66+CE73-CE70</f>
        <v>14732214.259107593</v>
      </c>
      <c r="CF90" s="219">
        <f t="shared" si="201"/>
        <v>14792984.98975895</v>
      </c>
      <c r="CG90" s="219">
        <f t="shared" si="201"/>
        <v>15785259.700650677</v>
      </c>
      <c r="CH90" s="219">
        <f t="shared" si="201"/>
        <v>16135493.240905939</v>
      </c>
      <c r="CI90" s="216">
        <f t="shared" si="201"/>
        <v>61445952.190423161</v>
      </c>
      <c r="CJ90" s="219">
        <f t="shared" si="201"/>
        <v>12419361.799501533</v>
      </c>
      <c r="CK90" s="219">
        <f t="shared" si="201"/>
        <v>13211413.651990652</v>
      </c>
      <c r="CL90" s="219">
        <f t="shared" si="201"/>
        <v>13512464.018679112</v>
      </c>
      <c r="CM90" s="219">
        <f t="shared" si="201"/>
        <v>13880600.546561876</v>
      </c>
      <c r="CN90" s="216">
        <f t="shared" si="201"/>
        <v>4053606.2768748491</v>
      </c>
      <c r="CO90" s="219">
        <f t="shared" si="201"/>
        <v>27151576.058609121</v>
      </c>
      <c r="CP90" s="219">
        <f t="shared" si="201"/>
        <v>28004398.641749598</v>
      </c>
      <c r="CQ90" s="219">
        <f t="shared" si="201"/>
        <v>29297723.719329793</v>
      </c>
      <c r="CR90" s="219">
        <f t="shared" si="201"/>
        <v>30016093.787467808</v>
      </c>
      <c r="CS90" s="216">
        <f t="shared" si="201"/>
        <v>114469792.20715636</v>
      </c>
      <c r="CT90" s="318"/>
      <c r="CU90" s="318"/>
      <c r="CV90" s="318"/>
      <c r="CW90" s="318"/>
      <c r="CX90" s="318"/>
      <c r="CY90" s="318"/>
      <c r="CZ90" s="318"/>
      <c r="DA90" s="318"/>
      <c r="DB90" s="318"/>
      <c r="DC90" s="318"/>
      <c r="DD90" s="318"/>
      <c r="DE90" s="318"/>
      <c r="DF90" s="318"/>
      <c r="DG90" s="318"/>
      <c r="DH90" s="318"/>
      <c r="DI90" s="318"/>
      <c r="DJ90" s="318"/>
      <c r="DK90" s="318"/>
      <c r="DL90" s="318"/>
      <c r="DM90" s="318"/>
      <c r="DN90" s="318"/>
      <c r="DO90" s="318"/>
      <c r="DP90" s="318"/>
      <c r="DQ90" s="318"/>
      <c r="DR90" s="318"/>
      <c r="DS90" s="318"/>
      <c r="DT90" s="318"/>
      <c r="DU90" s="318"/>
      <c r="DV90" s="318"/>
      <c r="DW90" s="318"/>
      <c r="DX90" s="318"/>
      <c r="DY90" s="318"/>
      <c r="DZ90" s="318"/>
      <c r="EA90" s="318"/>
    </row>
    <row r="91" spans="1:131" ht="15.75" customHeight="1">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t="s">
        <v>1315</v>
      </c>
      <c r="U91" s="422"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422"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422"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422" t="s">
        <v>1315</v>
      </c>
      <c r="CD91" s="300"/>
      <c r="CE91" s="380" t="s">
        <v>1315</v>
      </c>
      <c r="CF91" s="380"/>
      <c r="CG91" s="380"/>
      <c r="CH91" s="380"/>
      <c r="CI91" s="187"/>
      <c r="CJ91" s="380" t="s">
        <v>1315</v>
      </c>
      <c r="CK91" s="380"/>
      <c r="CL91" s="380"/>
      <c r="CM91" s="380"/>
      <c r="CN91" s="187"/>
      <c r="CO91" s="380" t="s">
        <v>1315</v>
      </c>
      <c r="CP91" s="380"/>
      <c r="CQ91" s="380"/>
      <c r="CR91" s="380"/>
      <c r="CS91" s="187"/>
    </row>
    <row r="92" spans="1:131" s="14" customFormat="1" ht="15.75" customHeight="1">
      <c r="A92" s="16" t="s">
        <v>270</v>
      </c>
      <c r="B92" s="300">
        <v>61</v>
      </c>
      <c r="C92" s="216">
        <f t="shared" ref="C92:J92" si="202">C32-C90</f>
        <v>-7085.1733000771346</v>
      </c>
      <c r="D92" s="216">
        <f t="shared" si="202"/>
        <v>-277492.69340586208</v>
      </c>
      <c r="E92" s="216">
        <f t="shared" si="202"/>
        <v>-269638.07708700944</v>
      </c>
      <c r="F92" s="216">
        <f t="shared" si="202"/>
        <v>-849443.4717638474</v>
      </c>
      <c r="G92" s="216">
        <f t="shared" si="202"/>
        <v>-229239.54342022285</v>
      </c>
      <c r="H92" s="216">
        <f t="shared" si="202"/>
        <v>-762189.39918602095</v>
      </c>
      <c r="I92" s="216">
        <f t="shared" si="202"/>
        <v>-101468.19841635737</v>
      </c>
      <c r="J92" s="216">
        <f t="shared" si="202"/>
        <v>-270015.24667374074</v>
      </c>
      <c r="K92" s="221">
        <f>SUM(C92:J92)</f>
        <v>-2766571.8032531384</v>
      </c>
      <c r="L92" s="218">
        <f t="shared" ref="L92:U92" si="203">L32-L90</f>
        <v>0</v>
      </c>
      <c r="M92" s="216">
        <f t="shared" si="203"/>
        <v>89384.688005907461</v>
      </c>
      <c r="N92" s="216">
        <f t="shared" si="203"/>
        <v>0</v>
      </c>
      <c r="O92" s="216">
        <f t="shared" si="203"/>
        <v>-887281.22328083869</v>
      </c>
      <c r="P92" s="216">
        <f t="shared" si="203"/>
        <v>0</v>
      </c>
      <c r="Q92" s="216">
        <f t="shared" si="203"/>
        <v>-621797.37916700402</v>
      </c>
      <c r="R92" s="216">
        <f t="shared" si="203"/>
        <v>0</v>
      </c>
      <c r="S92" s="216">
        <f t="shared" si="203"/>
        <v>-172202.44708538451</v>
      </c>
      <c r="T92" s="219">
        <f t="shared" si="203"/>
        <v>-1591896.3615273181</v>
      </c>
      <c r="U92" s="220">
        <f t="shared" si="203"/>
        <v>-4358468.1647804584</v>
      </c>
      <c r="V92" s="300">
        <v>61</v>
      </c>
      <c r="W92" s="216">
        <f t="shared" ref="W92:AD92" si="204">W32-W90</f>
        <v>14147.547332247095</v>
      </c>
      <c r="X92" s="216">
        <f t="shared" si="204"/>
        <v>80276.090178611281</v>
      </c>
      <c r="Y92" s="216">
        <f t="shared" si="204"/>
        <v>13079.796728681704</v>
      </c>
      <c r="Z92" s="216">
        <f t="shared" si="204"/>
        <v>123337.11901360491</v>
      </c>
      <c r="AA92" s="216">
        <f t="shared" si="204"/>
        <v>9553.9905693127293</v>
      </c>
      <c r="AB92" s="216">
        <f t="shared" si="204"/>
        <v>123213.62532753221</v>
      </c>
      <c r="AC92" s="216">
        <f t="shared" si="204"/>
        <v>12814.353039574095</v>
      </c>
      <c r="AD92" s="216">
        <f t="shared" si="204"/>
        <v>136767.38659436669</v>
      </c>
      <c r="AE92" s="221">
        <f>SUM(W92:AD92)</f>
        <v>513189.90878393076</v>
      </c>
      <c r="AF92" s="218">
        <f t="shared" ref="AF92:AM92" si="205">AF32-AF90</f>
        <v>0</v>
      </c>
      <c r="AG92" s="216">
        <f t="shared" si="205"/>
        <v>43698.486783069384</v>
      </c>
      <c r="AH92" s="216">
        <f t="shared" si="205"/>
        <v>0</v>
      </c>
      <c r="AI92" s="216">
        <f t="shared" si="205"/>
        <v>-82677.710582541826</v>
      </c>
      <c r="AJ92" s="216">
        <f t="shared" si="205"/>
        <v>0</v>
      </c>
      <c r="AK92" s="216">
        <f t="shared" si="205"/>
        <v>57496.932914948731</v>
      </c>
      <c r="AL92" s="216">
        <f t="shared" si="205"/>
        <v>0</v>
      </c>
      <c r="AM92" s="216">
        <f t="shared" si="205"/>
        <v>27570.577732922975</v>
      </c>
      <c r="AN92" s="219">
        <f>SUM(AF92:AM92)</f>
        <v>46088.286848399264</v>
      </c>
      <c r="AO92" s="220">
        <f>AO32-AO90</f>
        <v>559278.19563233154</v>
      </c>
      <c r="AP92" s="300">
        <v>61</v>
      </c>
      <c r="AQ92" s="216">
        <f t="shared" ref="AQ92:AX92" si="206">AQ32-AQ90</f>
        <v>-402555.8582070563</v>
      </c>
      <c r="AR92" s="216">
        <f t="shared" si="206"/>
        <v>-55539.331648724154</v>
      </c>
      <c r="AS92" s="216">
        <f t="shared" si="206"/>
        <v>2066.6345767108724</v>
      </c>
      <c r="AT92" s="216">
        <f t="shared" si="206"/>
        <v>396773.97424500436</v>
      </c>
      <c r="AU92" s="216">
        <f t="shared" si="206"/>
        <v>-193108.43607854424</v>
      </c>
      <c r="AV92" s="216">
        <f t="shared" si="206"/>
        <v>298992.25091479719</v>
      </c>
      <c r="AW92" s="216">
        <f t="shared" si="206"/>
        <v>-594528.8844528487</v>
      </c>
      <c r="AX92" s="216">
        <f t="shared" si="206"/>
        <v>536337.28281414695</v>
      </c>
      <c r="AY92" s="221">
        <f>SUM(AQ92:AX92)</f>
        <v>-11562.367836514022</v>
      </c>
      <c r="AZ92" s="218">
        <f t="shared" ref="AZ92:BG92" si="207">AZ32-AZ90</f>
        <v>0</v>
      </c>
      <c r="BA92" s="216">
        <f t="shared" si="207"/>
        <v>2333359.3886639457</v>
      </c>
      <c r="BB92" s="216">
        <f t="shared" si="207"/>
        <v>0</v>
      </c>
      <c r="BC92" s="216">
        <f t="shared" si="207"/>
        <v>238933.72942451946</v>
      </c>
      <c r="BD92" s="216">
        <f t="shared" si="207"/>
        <v>0</v>
      </c>
      <c r="BE92" s="216">
        <f t="shared" si="207"/>
        <v>531758.06894610263</v>
      </c>
      <c r="BF92" s="216">
        <f t="shared" si="207"/>
        <v>0</v>
      </c>
      <c r="BG92" s="216">
        <f t="shared" si="207"/>
        <v>-553235.66545369104</v>
      </c>
      <c r="BH92" s="219">
        <f>SUM(AZ92:BG92)</f>
        <v>2550815.5215808768</v>
      </c>
      <c r="BI92" s="220">
        <f>BI32-BI90</f>
        <v>2539253.153744325</v>
      </c>
      <c r="BJ92" s="300">
        <v>61</v>
      </c>
      <c r="BK92" s="216">
        <f t="shared" ref="BK92:BR92" si="208">BK32-BK90</f>
        <v>68592.738019999015</v>
      </c>
      <c r="BL92" s="216">
        <f t="shared" si="208"/>
        <v>-104661.34507721127</v>
      </c>
      <c r="BM92" s="216">
        <f t="shared" si="208"/>
        <v>82348.836692796642</v>
      </c>
      <c r="BN92" s="216">
        <f t="shared" si="208"/>
        <v>157581.12023868156</v>
      </c>
      <c r="BO92" s="216">
        <f t="shared" si="208"/>
        <v>75599.954526298461</v>
      </c>
      <c r="BP92" s="216">
        <f t="shared" si="208"/>
        <v>-15538.575116010616</v>
      </c>
      <c r="BQ92" s="216">
        <f t="shared" si="208"/>
        <v>90716.03024521505</v>
      </c>
      <c r="BR92" s="216">
        <f t="shared" si="208"/>
        <v>65365.42509872932</v>
      </c>
      <c r="BS92" s="221">
        <f>SUM(BK92:BR92)</f>
        <v>420004.18462849816</v>
      </c>
      <c r="BT92" s="218">
        <f t="shared" ref="BT92:CA92" si="209">BT32-BT90</f>
        <v>0</v>
      </c>
      <c r="BU92" s="216">
        <f t="shared" si="209"/>
        <v>321176.51707274059</v>
      </c>
      <c r="BV92" s="216">
        <f t="shared" si="209"/>
        <v>0</v>
      </c>
      <c r="BW92" s="216">
        <f t="shared" si="209"/>
        <v>-63580.403250228614</v>
      </c>
      <c r="BX92" s="216">
        <f t="shared" si="209"/>
        <v>0</v>
      </c>
      <c r="BY92" s="216">
        <f t="shared" si="209"/>
        <v>7095.6122061288916</v>
      </c>
      <c r="BZ92" s="216">
        <f t="shared" si="209"/>
        <v>0</v>
      </c>
      <c r="CA92" s="216">
        <f t="shared" si="209"/>
        <v>-121938.23819370754</v>
      </c>
      <c r="CB92" s="219">
        <f>SUM(BT92:CA92)</f>
        <v>142753.48783493333</v>
      </c>
      <c r="CC92" s="220">
        <f>CC32-CC90</f>
        <v>562757.67246343009</v>
      </c>
      <c r="CD92" s="300">
        <v>61</v>
      </c>
      <c r="CE92" s="219">
        <f t="shared" ref="CE92:CS92" si="210">CE32-CE90</f>
        <v>-684318.02610807307</v>
      </c>
      <c r="CF92" s="219">
        <f t="shared" si="210"/>
        <v>-343894.0673553776</v>
      </c>
      <c r="CG92" s="219">
        <f t="shared" si="210"/>
        <v>-692716.13246286288</v>
      </c>
      <c r="CH92" s="219">
        <f t="shared" si="210"/>
        <v>-124011.85175091773</v>
      </c>
      <c r="CI92" s="216">
        <f t="shared" si="210"/>
        <v>-1844940.077677235</v>
      </c>
      <c r="CJ92" s="219">
        <f t="shared" si="210"/>
        <v>2787619.0805256628</v>
      </c>
      <c r="CK92" s="219">
        <f t="shared" si="210"/>
        <v>-794605.60768909007</v>
      </c>
      <c r="CL92" s="219">
        <f t="shared" si="210"/>
        <v>-25446.765099825338</v>
      </c>
      <c r="CM92" s="219">
        <f t="shared" si="210"/>
        <v>-819805.77299985848</v>
      </c>
      <c r="CN92" s="216">
        <f t="shared" si="210"/>
        <v>-4053606.2768748491</v>
      </c>
      <c r="CO92" s="219">
        <f t="shared" si="210"/>
        <v>2103301.0544175915</v>
      </c>
      <c r="CP92" s="219">
        <f t="shared" si="210"/>
        <v>-1138499.6750444695</v>
      </c>
      <c r="CQ92" s="219">
        <f t="shared" si="210"/>
        <v>-718162.89756269008</v>
      </c>
      <c r="CR92" s="219">
        <f t="shared" si="210"/>
        <v>-943817.62475077063</v>
      </c>
      <c r="CS92" s="216">
        <f t="shared" si="210"/>
        <v>-697179.14294037223</v>
      </c>
      <c r="CT92" s="318"/>
      <c r="CU92" s="318"/>
      <c r="CV92" s="318"/>
      <c r="CW92" s="318"/>
      <c r="CX92" s="318"/>
      <c r="CY92" s="318"/>
      <c r="CZ92" s="318"/>
      <c r="DA92" s="318"/>
      <c r="DB92" s="318"/>
      <c r="DC92" s="318"/>
      <c r="DD92" s="318"/>
      <c r="DE92" s="318"/>
      <c r="DF92" s="318"/>
      <c r="DG92" s="318"/>
      <c r="DH92" s="318"/>
      <c r="DI92" s="318"/>
      <c r="DJ92" s="318"/>
      <c r="DK92" s="318"/>
      <c r="DL92" s="318"/>
      <c r="DM92" s="318"/>
      <c r="DN92" s="318"/>
      <c r="DO92" s="318"/>
      <c r="DP92" s="318"/>
      <c r="DQ92" s="318"/>
      <c r="DR92" s="318"/>
      <c r="DS92" s="318"/>
      <c r="DT92" s="318"/>
      <c r="DU92" s="318"/>
      <c r="DV92" s="318"/>
      <c r="DW92" s="318"/>
      <c r="DX92" s="318"/>
      <c r="DY92" s="318"/>
      <c r="DZ92" s="318"/>
      <c r="EA92" s="318"/>
    </row>
    <row r="93" spans="1:131" ht="15.75" customHeight="1">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t="s">
        <v>1320</v>
      </c>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t="s">
        <v>1320</v>
      </c>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t="s">
        <v>1320</v>
      </c>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t="s">
        <v>1320</v>
      </c>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131" ht="15.75" customHeight="1">
      <c r="A94" s="135" t="s">
        <v>272</v>
      </c>
      <c r="B94" s="300">
        <v>62</v>
      </c>
      <c r="C94" s="387">
        <f t="shared" ref="C94:U94" si="211">IF((C32-C28)=0,"",C92/(C32-C28))</f>
        <v>-6.5753807433544892E-2</v>
      </c>
      <c r="D94" s="387">
        <f t="shared" si="211"/>
        <v>-0.7060857091686954</v>
      </c>
      <c r="E94" s="387">
        <f t="shared" si="211"/>
        <v>-2.1463189347849942</v>
      </c>
      <c r="F94" s="387">
        <f t="shared" si="211"/>
        <v>-2.1690069713735998</v>
      </c>
      <c r="G94" s="387">
        <f t="shared" si="211"/>
        <v>-1.4560631770341899</v>
      </c>
      <c r="H94" s="387">
        <f t="shared" si="211"/>
        <v>-1.9035231006080822</v>
      </c>
      <c r="I94" s="387">
        <f t="shared" si="211"/>
        <v>-0.63381579698118784</v>
      </c>
      <c r="J94" s="387">
        <f t="shared" si="211"/>
        <v>-0.65852624605394805</v>
      </c>
      <c r="K94" s="388">
        <f t="shared" si="211"/>
        <v>-1.289188791680989</v>
      </c>
      <c r="L94" s="389" t="str">
        <f t="shared" si="211"/>
        <v/>
      </c>
      <c r="M94" s="387">
        <f t="shared" si="211"/>
        <v>7.4379411881792964E-2</v>
      </c>
      <c r="N94" s="387" t="str">
        <f t="shared" si="211"/>
        <v/>
      </c>
      <c r="O94" s="387">
        <f t="shared" si="211"/>
        <v>-0.79662924559609483</v>
      </c>
      <c r="P94" s="387" t="str">
        <f t="shared" si="211"/>
        <v/>
      </c>
      <c r="Q94" s="387">
        <f t="shared" si="211"/>
        <v>-0.47984712313125144</v>
      </c>
      <c r="R94" s="387" t="str">
        <f t="shared" si="211"/>
        <v/>
      </c>
      <c r="S94" s="387">
        <f t="shared" si="211"/>
        <v>-0.13340520283941396</v>
      </c>
      <c r="T94" s="390">
        <f t="shared" si="211"/>
        <v>-0.32473229773091067</v>
      </c>
      <c r="U94" s="389">
        <f t="shared" si="211"/>
        <v>-0.61838388435796132</v>
      </c>
      <c r="V94" s="300">
        <v>62</v>
      </c>
      <c r="W94" s="387">
        <f t="shared" ref="W94:AO94" si="212">IF((W32-W28)=0,"",W92/(W32-W28))</f>
        <v>0.6158326165038277</v>
      </c>
      <c r="X94" s="387">
        <f t="shared" si="212"/>
        <v>0.25951188305378664</v>
      </c>
      <c r="Y94" s="387">
        <f t="shared" si="212"/>
        <v>0.7733447757431855</v>
      </c>
      <c r="Z94" s="387">
        <f t="shared" si="212"/>
        <v>0.40634691884091528</v>
      </c>
      <c r="AA94" s="387">
        <f t="shared" si="212"/>
        <v>0.68815928153858053</v>
      </c>
      <c r="AB94" s="387">
        <f t="shared" si="212"/>
        <v>0.40071563191357534</v>
      </c>
      <c r="AC94" s="387">
        <f t="shared" si="212"/>
        <v>0.44989825570306324</v>
      </c>
      <c r="AD94" s="387">
        <f t="shared" si="212"/>
        <v>0.41035944596175511</v>
      </c>
      <c r="AE94" s="388">
        <f t="shared" si="212"/>
        <v>0.38415729953601641</v>
      </c>
      <c r="AF94" s="389" t="str">
        <f t="shared" si="212"/>
        <v/>
      </c>
      <c r="AG94" s="387">
        <f t="shared" si="212"/>
        <v>7.9809704470046219E-2</v>
      </c>
      <c r="AH94" s="387" t="str">
        <f t="shared" si="212"/>
        <v/>
      </c>
      <c r="AI94" s="387">
        <f t="shared" si="212"/>
        <v>-0.16460558263215119</v>
      </c>
      <c r="AJ94" s="387" t="str">
        <f t="shared" si="212"/>
        <v/>
      </c>
      <c r="AK94" s="387">
        <f t="shared" si="212"/>
        <v>0.10594732409540389</v>
      </c>
      <c r="AL94" s="387" t="str">
        <f t="shared" si="212"/>
        <v/>
      </c>
      <c r="AM94" s="387">
        <f t="shared" si="212"/>
        <v>4.6950899303184773E-2</v>
      </c>
      <c r="AN94" s="390">
        <f t="shared" si="212"/>
        <v>2.1144070927751654E-2</v>
      </c>
      <c r="AO94" s="389">
        <f t="shared" si="212"/>
        <v>0.15908420464631134</v>
      </c>
      <c r="AP94" s="300">
        <v>62</v>
      </c>
      <c r="AQ94" s="387">
        <f t="shared" ref="AQ94:BI94" si="213">IF((AQ32-AQ28)=0,"",AQ92/(AQ32-AQ28))</f>
        <v>-0.14193834752172824</v>
      </c>
      <c r="AR94" s="387">
        <f t="shared" si="213"/>
        <v>-6.1669909543295293E-3</v>
      </c>
      <c r="AS94" s="387">
        <f t="shared" si="213"/>
        <v>6.8364425511724934E-4</v>
      </c>
      <c r="AT94" s="387">
        <f t="shared" si="213"/>
        <v>4.3030905022294869E-2</v>
      </c>
      <c r="AU94" s="387">
        <f t="shared" si="213"/>
        <v>-6.1311319337709662E-2</v>
      </c>
      <c r="AV94" s="387">
        <f t="shared" si="213"/>
        <v>3.080263251258724E-2</v>
      </c>
      <c r="AW94" s="387">
        <f t="shared" si="213"/>
        <v>-0.1776615572727509</v>
      </c>
      <c r="AX94" s="387">
        <f t="shared" si="213"/>
        <v>5.3868261209910825E-2</v>
      </c>
      <c r="AY94" s="388">
        <f t="shared" si="213"/>
        <v>-2.3012022002250442E-4</v>
      </c>
      <c r="AZ94" s="389" t="str">
        <f t="shared" si="213"/>
        <v/>
      </c>
      <c r="BA94" s="387">
        <f t="shared" si="213"/>
        <v>0.18612061326910195</v>
      </c>
      <c r="BB94" s="387" t="str">
        <f t="shared" si="213"/>
        <v/>
      </c>
      <c r="BC94" s="387">
        <f t="shared" si="213"/>
        <v>2.3677328905361981E-2</v>
      </c>
      <c r="BD94" s="387" t="str">
        <f t="shared" si="213"/>
        <v/>
      </c>
      <c r="BE94" s="387">
        <f t="shared" si="213"/>
        <v>4.7958762087078305E-2</v>
      </c>
      <c r="BF94" s="387" t="str">
        <f t="shared" si="213"/>
        <v/>
      </c>
      <c r="BG94" s="387">
        <f t="shared" si="213"/>
        <v>-5.2066570809530831E-2</v>
      </c>
      <c r="BH94" s="390">
        <f t="shared" si="213"/>
        <v>5.7526696580667391E-2</v>
      </c>
      <c r="BI94" s="389">
        <f t="shared" si="213"/>
        <v>2.6845880649246437E-2</v>
      </c>
      <c r="BJ94" s="300">
        <v>62</v>
      </c>
      <c r="BK94" s="387">
        <f t="shared" ref="BK94:CC94" si="214">IF((BK32-BK28)=0,"",BK92/(BK32-BK28))</f>
        <v>0.66981183639492525</v>
      </c>
      <c r="BL94" s="387">
        <f t="shared" si="214"/>
        <v>-8.2385110469902031E-2</v>
      </c>
      <c r="BM94" s="387">
        <f t="shared" si="214"/>
        <v>0.952437732841945</v>
      </c>
      <c r="BN94" s="387">
        <f t="shared" si="214"/>
        <v>0.12298616304322965</v>
      </c>
      <c r="BO94" s="387">
        <f t="shared" si="214"/>
        <v>0.81224144443460045</v>
      </c>
      <c r="BP94" s="387">
        <f t="shared" si="214"/>
        <v>-1.2294108479797512E-2</v>
      </c>
      <c r="BQ94" s="387">
        <f t="shared" si="214"/>
        <v>0.6179907860339352</v>
      </c>
      <c r="BR94" s="387">
        <f t="shared" si="214"/>
        <v>4.0103334816554641E-2</v>
      </c>
      <c r="BS94" s="388">
        <f t="shared" si="214"/>
        <v>7.1499240696196648E-2</v>
      </c>
      <c r="BT94" s="389" t="str">
        <f t="shared" si="214"/>
        <v/>
      </c>
      <c r="BU94" s="387">
        <f t="shared" si="214"/>
        <v>0.34876585318875059</v>
      </c>
      <c r="BV94" s="387" t="str">
        <f t="shared" si="214"/>
        <v/>
      </c>
      <c r="BW94" s="387">
        <f t="shared" si="214"/>
        <v>-8.9614131217165757E-2</v>
      </c>
      <c r="BX94" s="387" t="str">
        <f t="shared" si="214"/>
        <v/>
      </c>
      <c r="BY94" s="387">
        <f t="shared" si="214"/>
        <v>1.2655349725289346E-2</v>
      </c>
      <c r="BZ94" s="387" t="str">
        <f t="shared" si="214"/>
        <v/>
      </c>
      <c r="CA94" s="387">
        <f t="shared" si="214"/>
        <v>-0.21883862817700719</v>
      </c>
      <c r="CB94" s="390">
        <f t="shared" si="214"/>
        <v>5.1942993704440395E-2</v>
      </c>
      <c r="CC94" s="389">
        <f t="shared" si="214"/>
        <v>6.5266040093332728E-2</v>
      </c>
      <c r="CD94" s="300">
        <v>62</v>
      </c>
      <c r="CE94" s="390">
        <f t="shared" ref="CE94:CS94" si="215">IF((CE32-CE28)=0,"",CE92/(CE32-CE28))</f>
        <v>-4.8713203369239066E-2</v>
      </c>
      <c r="CF94" s="390">
        <f t="shared" si="215"/>
        <v>-2.3800394723945139E-2</v>
      </c>
      <c r="CG94" s="390">
        <f t="shared" si="215"/>
        <v>-4.5897905103482725E-2</v>
      </c>
      <c r="CH94" s="390">
        <f t="shared" si="215"/>
        <v>-7.7451828932527181E-3</v>
      </c>
      <c r="CI94" s="423">
        <f t="shared" si="215"/>
        <v>-3.095484476315943E-2</v>
      </c>
      <c r="CJ94" s="390">
        <f t="shared" si="215"/>
        <v>0.18331180281727805</v>
      </c>
      <c r="CK94" s="390">
        <f t="shared" si="215"/>
        <v>-6.3994353851170138E-2</v>
      </c>
      <c r="CL94" s="390">
        <f t="shared" si="215"/>
        <v>-1.8867600316201925E-3</v>
      </c>
      <c r="CM94" s="390">
        <f t="shared" si="215"/>
        <v>-6.2768444586490973E-2</v>
      </c>
      <c r="CN94" s="423" t="str">
        <f t="shared" si="215"/>
        <v/>
      </c>
      <c r="CO94" s="390">
        <f t="shared" si="215"/>
        <v>7.1895740538969022E-2</v>
      </c>
      <c r="CP94" s="390">
        <f t="shared" si="215"/>
        <v>-4.2377129328723027E-2</v>
      </c>
      <c r="CQ94" s="390">
        <f t="shared" si="215"/>
        <v>-2.5128549106874811E-2</v>
      </c>
      <c r="CR94" s="390">
        <f t="shared" si="215"/>
        <v>-3.2464524603035533E-2</v>
      </c>
      <c r="CS94" s="423">
        <f t="shared" si="215"/>
        <v>-6.12782922149171E-3</v>
      </c>
    </row>
    <row r="95" spans="1:131" s="317" customFormat="1" ht="15.75" customHeight="1">
      <c r="A95" s="135" t="s">
        <v>274</v>
      </c>
      <c r="B95" s="300">
        <v>63</v>
      </c>
      <c r="C95" s="392">
        <f>IF((C32-C28-C25)=0,"",(C73+C66-C64)/(C32-C28-C25))</f>
        <v>0.97261866856180368</v>
      </c>
      <c r="D95" s="392">
        <f t="shared" ref="D95:U95" si="216">IF((D32-D28-D25)=0,"",(D73+D66-D64)/(D32-D28-D25))</f>
        <v>1.615376719071185</v>
      </c>
      <c r="E95" s="392">
        <f t="shared" si="216"/>
        <v>3.0428048076660099</v>
      </c>
      <c r="F95" s="392">
        <f t="shared" si="216"/>
        <v>3.0675209566174053</v>
      </c>
      <c r="G95" s="392">
        <f t="shared" si="216"/>
        <v>2.3566853979655615</v>
      </c>
      <c r="H95" s="392">
        <f t="shared" si="216"/>
        <v>2.8040217029916121</v>
      </c>
      <c r="I95" s="392">
        <f t="shared" si="216"/>
        <v>1.53299477587189</v>
      </c>
      <c r="J95" s="392">
        <f t="shared" si="216"/>
        <v>1.5575827534562041</v>
      </c>
      <c r="K95" s="388">
        <f t="shared" si="216"/>
        <v>2.1906552369282473</v>
      </c>
      <c r="L95" s="393" t="str">
        <f t="shared" si="216"/>
        <v/>
      </c>
      <c r="M95" s="392">
        <f t="shared" si="216"/>
        <v>0.84627897461076818</v>
      </c>
      <c r="N95" s="392" t="str">
        <f t="shared" si="216"/>
        <v/>
      </c>
      <c r="O95" s="392">
        <f t="shared" si="216"/>
        <v>1.7121950758837818</v>
      </c>
      <c r="P95" s="392" t="str">
        <f t="shared" si="216"/>
        <v/>
      </c>
      <c r="Q95" s="392">
        <f t="shared" si="216"/>
        <v>1.4044933990499271</v>
      </c>
      <c r="R95" s="392" t="str">
        <f t="shared" si="216"/>
        <v/>
      </c>
      <c r="S95" s="392">
        <f t="shared" si="216"/>
        <v>1.0569783423906782</v>
      </c>
      <c r="T95" s="390">
        <f t="shared" si="216"/>
        <v>1.2460552804606433</v>
      </c>
      <c r="U95" s="394">
        <f t="shared" si="216"/>
        <v>1.5336610746924695</v>
      </c>
      <c r="V95" s="300">
        <v>63</v>
      </c>
      <c r="W95" s="392">
        <f>IF((W32-W28-W25)=0,"",(W73+W66-W64)/(W32-W28-W25))</f>
        <v>0.29368773659737396</v>
      </c>
      <c r="X95" s="392">
        <f t="shared" ref="X95:AO95" si="217">IF((X32-X28-X25)=0,"",(X73+X66-X64)/(X32-X28-X25))</f>
        <v>0.65000847004741502</v>
      </c>
      <c r="Y95" s="392">
        <f t="shared" si="217"/>
        <v>0.12568288397093302</v>
      </c>
      <c r="Z95" s="392">
        <f t="shared" si="217"/>
        <v>0.49268074087320329</v>
      </c>
      <c r="AA95" s="392">
        <f t="shared" si="217"/>
        <v>0.21246293939279123</v>
      </c>
      <c r="AB95" s="392">
        <f t="shared" si="217"/>
        <v>0.4999065890177965</v>
      </c>
      <c r="AC95" s="392">
        <f t="shared" si="217"/>
        <v>0.44928072318763879</v>
      </c>
      <c r="AD95" s="392">
        <f t="shared" si="217"/>
        <v>0.48881953292894686</v>
      </c>
      <c r="AE95" s="388">
        <f t="shared" si="217"/>
        <v>0.51790504410894223</v>
      </c>
      <c r="AF95" s="393" t="str">
        <f t="shared" si="217"/>
        <v/>
      </c>
      <c r="AG95" s="392">
        <f t="shared" si="217"/>
        <v>0.84606265116550361</v>
      </c>
      <c r="AH95" s="392" t="str">
        <f t="shared" si="217"/>
        <v/>
      </c>
      <c r="AI95" s="392">
        <f t="shared" si="217"/>
        <v>1.0817988905252665</v>
      </c>
      <c r="AJ95" s="392" t="str">
        <f t="shared" si="217"/>
        <v/>
      </c>
      <c r="AK95" s="392">
        <f t="shared" si="217"/>
        <v>0.81139927004786538</v>
      </c>
      <c r="AL95" s="392" t="str">
        <f t="shared" si="217"/>
        <v/>
      </c>
      <c r="AM95" s="392">
        <f t="shared" si="217"/>
        <v>0.86965962624710447</v>
      </c>
      <c r="AN95" s="390">
        <f t="shared" si="217"/>
        <v>0.89811052079969411</v>
      </c>
      <c r="AO95" s="394">
        <f t="shared" si="217"/>
        <v>0.75363756454870801</v>
      </c>
      <c r="AP95" s="300">
        <v>63</v>
      </c>
      <c r="AQ95" s="392">
        <f>IF((AQ32-AQ28-AQ25)=0,"",(AQ73+AQ66-AQ64)/(AQ32-AQ28-AQ25))</f>
        <v>1.0514587006229299</v>
      </c>
      <c r="AR95" s="392">
        <f t="shared" ref="AR95:BI95" si="218">IF((AR32-AR28-AR25)=0,"",(AR73+AR66-AR64)/(AR32-AR28-AR25))</f>
        <v>0.91568734405553132</v>
      </c>
      <c r="AS95" s="392">
        <f t="shared" si="218"/>
        <v>0.89834363067112633</v>
      </c>
      <c r="AT95" s="392">
        <f t="shared" si="218"/>
        <v>0.85599675469182379</v>
      </c>
      <c r="AU95" s="392">
        <f t="shared" si="218"/>
        <v>0.9619335402690814</v>
      </c>
      <c r="AV95" s="392">
        <f t="shared" si="218"/>
        <v>0.86981958841878448</v>
      </c>
      <c r="AW95" s="392">
        <f t="shared" si="218"/>
        <v>1.0768181289992302</v>
      </c>
      <c r="AX95" s="392">
        <f t="shared" si="218"/>
        <v>0.84531576133338626</v>
      </c>
      <c r="AY95" s="388">
        <f t="shared" si="218"/>
        <v>0.90217831785546365</v>
      </c>
      <c r="AZ95" s="393" t="str">
        <f t="shared" si="218"/>
        <v/>
      </c>
      <c r="BA95" s="392">
        <f t="shared" si="218"/>
        <v>0.74550955577929301</v>
      </c>
      <c r="BB95" s="392" t="str">
        <f t="shared" si="218"/>
        <v/>
      </c>
      <c r="BC95" s="392">
        <f t="shared" si="218"/>
        <v>0.9003260558165459</v>
      </c>
      <c r="BD95" s="392" t="str">
        <f t="shared" si="218"/>
        <v/>
      </c>
      <c r="BE95" s="392">
        <f t="shared" si="218"/>
        <v>0.87504089529067108</v>
      </c>
      <c r="BF95" s="392" t="str">
        <f t="shared" si="218"/>
        <v/>
      </c>
      <c r="BG95" s="392">
        <f t="shared" si="218"/>
        <v>0.97079967680352841</v>
      </c>
      <c r="BH95" s="390">
        <f t="shared" si="218"/>
        <v>0.86711913130465434</v>
      </c>
      <c r="BI95" s="394">
        <f t="shared" si="218"/>
        <v>0.8857428108779698</v>
      </c>
      <c r="BJ95" s="300">
        <v>63</v>
      </c>
      <c r="BK95" s="392">
        <f>IF((BK32-BK28-BK25)=0,"",(BK73+BK66-BK64)/(BK32-BK28-BK25))</f>
        <v>0.30435102599604091</v>
      </c>
      <c r="BL95" s="392">
        <f t="shared" ref="BL95:CS95" si="219">IF((BL32-BL28-BL25)=0,"",(BL73+BL66-BL64)/(BL32-BL28-BL25))</f>
        <v>1.0752477938308609</v>
      </c>
      <c r="BM95" s="392">
        <f t="shared" si="219"/>
        <v>1.8148743454988028E-2</v>
      </c>
      <c r="BN95" s="392">
        <f t="shared" si="219"/>
        <v>0.8469242661728722</v>
      </c>
      <c r="BO95" s="392">
        <f t="shared" si="219"/>
        <v>0.13222568771824125</v>
      </c>
      <c r="BP95" s="392">
        <f t="shared" si="219"/>
        <v>0.99564206028454949</v>
      </c>
      <c r="BQ95" s="392">
        <f t="shared" si="219"/>
        <v>0.3996536199328436</v>
      </c>
      <c r="BR95" s="392">
        <f t="shared" si="219"/>
        <v>1.1718304306596141</v>
      </c>
      <c r="BS95" s="388">
        <f t="shared" si="219"/>
        <v>0.96385350989383267</v>
      </c>
      <c r="BT95" s="393" t="str">
        <f t="shared" si="219"/>
        <v/>
      </c>
      <c r="BU95" s="392">
        <f t="shared" si="219"/>
        <v>0.61623040185561506</v>
      </c>
      <c r="BV95" s="392" t="str">
        <f t="shared" si="219"/>
        <v/>
      </c>
      <c r="BW95" s="392">
        <f t="shared" si="219"/>
        <v>1.0392898332494294</v>
      </c>
      <c r="BX95" s="392" t="str">
        <f t="shared" si="219"/>
        <v/>
      </c>
      <c r="BY95" s="392">
        <f t="shared" si="219"/>
        <v>0.92171755318956339</v>
      </c>
      <c r="BZ95" s="392" t="str">
        <f t="shared" si="219"/>
        <v/>
      </c>
      <c r="CA95" s="392">
        <f t="shared" si="219"/>
        <v>1.1365206757584767</v>
      </c>
      <c r="CB95" s="390">
        <f t="shared" si="219"/>
        <v>0.89325773777024009</v>
      </c>
      <c r="CC95" s="394">
        <f t="shared" si="219"/>
        <v>0.93931872024664398</v>
      </c>
      <c r="CD95" s="300">
        <v>63</v>
      </c>
      <c r="CE95" s="390">
        <f t="shared" ref="CE95:CN95" si="220">IF((CE32-CE28-CE25)=0,"",(CE73+CE66-CE64)/(CE32-CE28-CE25))</f>
        <v>0.96566549663327972</v>
      </c>
      <c r="CF95" s="390">
        <f t="shared" si="220"/>
        <v>0.93016581656219688</v>
      </c>
      <c r="CG95" s="390">
        <f t="shared" si="220"/>
        <v>0.95371108129802795</v>
      </c>
      <c r="CH95" s="390">
        <f t="shared" si="220"/>
        <v>0.93487495894365025</v>
      </c>
      <c r="CI95" s="391">
        <f t="shared" si="220"/>
        <v>0.9458202958777342</v>
      </c>
      <c r="CJ95" s="390">
        <f t="shared" si="220"/>
        <v>0.74926456453787404</v>
      </c>
      <c r="CK95" s="390">
        <f t="shared" si="220"/>
        <v>0.98843231262584652</v>
      </c>
      <c r="CL95" s="390">
        <f t="shared" si="220"/>
        <v>0.92528996160222787</v>
      </c>
      <c r="CM95" s="390">
        <f t="shared" si="220"/>
        <v>0.98183962674719116</v>
      </c>
      <c r="CN95" s="391" t="str">
        <f t="shared" si="220"/>
        <v/>
      </c>
      <c r="CO95" s="390">
        <f t="shared" si="219"/>
        <v>0.85282421686436949</v>
      </c>
      <c r="CP95" s="390">
        <f t="shared" si="219"/>
        <v>0.95719008642142922</v>
      </c>
      <c r="CQ95" s="390">
        <f t="shared" si="219"/>
        <v>0.94025200659101604</v>
      </c>
      <c r="CR95" s="390">
        <f t="shared" si="219"/>
        <v>0.95629016088593288</v>
      </c>
      <c r="CS95" s="391">
        <f t="shared" si="219"/>
        <v>0.92577423219428168</v>
      </c>
    </row>
    <row r="96" spans="1:131" s="317" customFormat="1" ht="15.75" customHeight="1">
      <c r="A96" s="135" t="s">
        <v>276</v>
      </c>
      <c r="B96" s="300">
        <v>64</v>
      </c>
      <c r="C96" s="392">
        <f>IF((C32-C28)=0,"",(C73)/(C32-C28))</f>
        <v>3.2356781201980059E-2</v>
      </c>
      <c r="D96" s="392">
        <f t="shared" ref="D96:U96" si="221">IF((D32-D28)=0,"",(D73)/(D32-D28))</f>
        <v>3.1513894553586955E-2</v>
      </c>
      <c r="E96" s="392">
        <f t="shared" si="221"/>
        <v>3.4531874676357502E-2</v>
      </c>
      <c r="F96" s="392">
        <f t="shared" si="221"/>
        <v>3.3855304976253373E-2</v>
      </c>
      <c r="G96" s="392">
        <f t="shared" si="221"/>
        <v>3.5095274522832773E-2</v>
      </c>
      <c r="H96" s="392">
        <f t="shared" si="221"/>
        <v>3.5138930427737032E-2</v>
      </c>
      <c r="I96" s="392">
        <f t="shared" si="221"/>
        <v>3.348112868268939E-2</v>
      </c>
      <c r="J96" s="392">
        <f t="shared" si="221"/>
        <v>3.3521799602498549E-2</v>
      </c>
      <c r="K96" s="388">
        <f t="shared" si="221"/>
        <v>3.362971710438864E-2</v>
      </c>
      <c r="L96" s="393" t="str">
        <f t="shared" si="221"/>
        <v/>
      </c>
      <c r="M96" s="392">
        <f t="shared" si="221"/>
        <v>2.6507233714688636E-2</v>
      </c>
      <c r="N96" s="392" t="str">
        <f t="shared" si="221"/>
        <v/>
      </c>
      <c r="O96" s="392">
        <f t="shared" si="221"/>
        <v>2.7241344763851441E-2</v>
      </c>
      <c r="P96" s="392" t="str">
        <f t="shared" si="221"/>
        <v/>
      </c>
      <c r="Q96" s="392">
        <f t="shared" si="221"/>
        <v>2.5799701908792803E-2</v>
      </c>
      <c r="R96" s="392" t="str">
        <f t="shared" si="221"/>
        <v/>
      </c>
      <c r="S96" s="392">
        <f t="shared" si="221"/>
        <v>2.4620921122555595E-2</v>
      </c>
      <c r="T96" s="390">
        <f t="shared" si="221"/>
        <v>2.5990304020363286E-2</v>
      </c>
      <c r="U96" s="394">
        <f t="shared" si="221"/>
        <v>2.831630398728311E-2</v>
      </c>
      <c r="V96" s="300">
        <v>64</v>
      </c>
      <c r="W96" s="392">
        <f t="shared" ref="W96:AO96" si="222">IF((W32-W28)=0,"",(W73)/(W32-W28))</f>
        <v>3.1434216702769378E-2</v>
      </c>
      <c r="X96" s="392">
        <f t="shared" si="222"/>
        <v>3.1434216702769378E-2</v>
      </c>
      <c r="Y96" s="392">
        <f t="shared" si="222"/>
        <v>3.3683945347118827E-2</v>
      </c>
      <c r="Z96" s="392">
        <f t="shared" si="222"/>
        <v>3.3683945347118827E-2</v>
      </c>
      <c r="AA96" s="392">
        <f t="shared" si="222"/>
        <v>3.5095274522832766E-2</v>
      </c>
      <c r="AB96" s="392">
        <f t="shared" si="222"/>
        <v>3.5095274522832766E-2</v>
      </c>
      <c r="AC96" s="392">
        <f t="shared" si="222"/>
        <v>3.348112868268939E-2</v>
      </c>
      <c r="AD96" s="392">
        <f t="shared" si="222"/>
        <v>3.3481128682689383E-2</v>
      </c>
      <c r="AE96" s="388">
        <f t="shared" si="222"/>
        <v>3.3408906262211047E-2</v>
      </c>
      <c r="AF96" s="393" t="str">
        <f t="shared" si="222"/>
        <v/>
      </c>
      <c r="AG96" s="392">
        <f t="shared" si="222"/>
        <v>2.4765299154189423E-2</v>
      </c>
      <c r="AH96" s="392" t="str">
        <f t="shared" si="222"/>
        <v/>
      </c>
      <c r="AI96" s="392">
        <f t="shared" si="222"/>
        <v>2.6716264944911142E-2</v>
      </c>
      <c r="AJ96" s="392" t="str">
        <f t="shared" si="222"/>
        <v/>
      </c>
      <c r="AK96" s="392">
        <f t="shared" si="222"/>
        <v>2.8298976047271763E-2</v>
      </c>
      <c r="AL96" s="392" t="str">
        <f t="shared" si="222"/>
        <v/>
      </c>
      <c r="AM96" s="392">
        <f t="shared" si="222"/>
        <v>2.686392795442449E-2</v>
      </c>
      <c r="AN96" s="390">
        <f t="shared" si="222"/>
        <v>2.6660028033417636E-2</v>
      </c>
      <c r="AO96" s="394">
        <f t="shared" si="222"/>
        <v>2.9224510790421057E-2</v>
      </c>
      <c r="AP96" s="300">
        <v>64</v>
      </c>
      <c r="AQ96" s="392">
        <f t="shared" ref="AQ96:BI96" si="223">IF((AQ32-AQ28)=0,"",(AQ73)/(AQ32-AQ28))</f>
        <v>3.1434216702769385E-2</v>
      </c>
      <c r="AR96" s="392">
        <f t="shared" si="223"/>
        <v>3.1434216702769378E-2</v>
      </c>
      <c r="AS96" s="392">
        <f t="shared" si="223"/>
        <v>3.3684073710725314E-2</v>
      </c>
      <c r="AT96" s="392">
        <f t="shared" si="223"/>
        <v>3.3683945347118827E-2</v>
      </c>
      <c r="AU96" s="392">
        <f t="shared" si="223"/>
        <v>3.5095274522832773E-2</v>
      </c>
      <c r="AV96" s="392">
        <f t="shared" si="223"/>
        <v>3.5095274522832773E-2</v>
      </c>
      <c r="AW96" s="392">
        <f t="shared" si="223"/>
        <v>3.3488569761350367E-2</v>
      </c>
      <c r="AX96" s="392">
        <f t="shared" si="223"/>
        <v>3.3479453762323474E-2</v>
      </c>
      <c r="AY96" s="388">
        <f t="shared" si="223"/>
        <v>3.3461310612223662E-2</v>
      </c>
      <c r="AZ96" s="393" t="str">
        <f t="shared" si="223"/>
        <v/>
      </c>
      <c r="BA96" s="392">
        <f t="shared" si="223"/>
        <v>2.2841671702303258E-2</v>
      </c>
      <c r="BB96" s="392" t="str">
        <f t="shared" si="223"/>
        <v/>
      </c>
      <c r="BC96" s="392">
        <f t="shared" si="223"/>
        <v>2.4519101741985759E-2</v>
      </c>
      <c r="BD96" s="392" t="str">
        <f t="shared" si="223"/>
        <v/>
      </c>
      <c r="BE96" s="392">
        <f t="shared" si="223"/>
        <v>2.6363473215802711E-2</v>
      </c>
      <c r="BF96" s="392" t="str">
        <f t="shared" si="223"/>
        <v/>
      </c>
      <c r="BG96" s="392">
        <f t="shared" si="223"/>
        <v>2.6180138441496973E-2</v>
      </c>
      <c r="BH96" s="390">
        <f t="shared" si="223"/>
        <v>2.4904065693188895E-2</v>
      </c>
      <c r="BI96" s="394">
        <f t="shared" si="223"/>
        <v>2.9449732694661408E-2</v>
      </c>
      <c r="BJ96" s="300">
        <v>64</v>
      </c>
      <c r="BK96" s="392">
        <f t="shared" ref="BK96:CC96" si="224">IF((BK32-BK28)=0,"",(BK73)/(BK32-BK28))</f>
        <v>1.2105285179037018E-2</v>
      </c>
      <c r="BL96" s="392">
        <f t="shared" si="224"/>
        <v>2.8567052992223504E-2</v>
      </c>
      <c r="BM96" s="392">
        <f t="shared" si="224"/>
        <v>9.9550542989326005E-3</v>
      </c>
      <c r="BN96" s="392">
        <f t="shared" si="224"/>
        <v>3.0373540457710915E-2</v>
      </c>
      <c r="BO96" s="392">
        <f t="shared" si="224"/>
        <v>2.1999841232664418E-2</v>
      </c>
      <c r="BP96" s="392">
        <f t="shared" si="224"/>
        <v>3.2218737126044797E-2</v>
      </c>
      <c r="BQ96" s="392">
        <f t="shared" si="224"/>
        <v>2.0097356118279099E-2</v>
      </c>
      <c r="BR96" s="392">
        <f t="shared" si="224"/>
        <v>2.5253123095424743E-2</v>
      </c>
      <c r="BS96" s="388">
        <f t="shared" si="224"/>
        <v>2.7950638708645007E-2</v>
      </c>
      <c r="BT96" s="393" t="str">
        <f t="shared" si="224"/>
        <v/>
      </c>
      <c r="BU96" s="392">
        <f t="shared" si="224"/>
        <v>1.1694398530745302E-2</v>
      </c>
      <c r="BV96" s="392" t="str">
        <f t="shared" si="224"/>
        <v/>
      </c>
      <c r="BW96" s="392">
        <f t="shared" si="224"/>
        <v>1.6236336019041564E-2</v>
      </c>
      <c r="BX96" s="392" t="str">
        <f t="shared" si="224"/>
        <v/>
      </c>
      <c r="BY96" s="392">
        <f t="shared" si="224"/>
        <v>2.2469487242712676E-2</v>
      </c>
      <c r="BZ96" s="392" t="str">
        <f t="shared" si="224"/>
        <v/>
      </c>
      <c r="CA96" s="392">
        <f t="shared" si="224"/>
        <v>2.6518737019511449E-2</v>
      </c>
      <c r="CB96" s="390">
        <f t="shared" si="224"/>
        <v>1.8070790833155239E-2</v>
      </c>
      <c r="CC96" s="394">
        <f t="shared" si="224"/>
        <v>2.4801615598041792E-2</v>
      </c>
      <c r="CD96" s="300">
        <v>64</v>
      </c>
      <c r="CE96" s="390">
        <f t="shared" ref="CE96:CS96" si="225">IF((CE32-CE28)=0,"",(CE73)/(CE32-CE28))</f>
        <v>3.1043332837132176E-2</v>
      </c>
      <c r="CF96" s="390">
        <f t="shared" si="225"/>
        <v>3.3260444720130775E-2</v>
      </c>
      <c r="CG96" s="390">
        <f t="shared" si="225"/>
        <v>3.4774781545211325E-2</v>
      </c>
      <c r="CH96" s="390">
        <f t="shared" si="225"/>
        <v>3.2522394179925355E-2</v>
      </c>
      <c r="CI96" s="391">
        <f t="shared" si="225"/>
        <v>3.2923070488790673E-2</v>
      </c>
      <c r="CJ96" s="390">
        <f t="shared" si="225"/>
        <v>2.2525556380860904E-2</v>
      </c>
      <c r="CK96" s="390">
        <f t="shared" si="225"/>
        <v>2.4378893321186097E-2</v>
      </c>
      <c r="CL96" s="390">
        <f t="shared" si="225"/>
        <v>2.6225307252412029E-2</v>
      </c>
      <c r="CM96" s="390">
        <f t="shared" si="225"/>
        <v>2.6071227168877241E-2</v>
      </c>
      <c r="CN96" s="391" t="str">
        <f t="shared" si="225"/>
        <v/>
      </c>
      <c r="CO96" s="390">
        <f t="shared" si="225"/>
        <v>2.6615706523392322E-2</v>
      </c>
      <c r="CP96" s="390">
        <f t="shared" si="225"/>
        <v>2.9155593473836564E-2</v>
      </c>
      <c r="CQ96" s="390">
        <f t="shared" si="225"/>
        <v>3.0740188151173038E-2</v>
      </c>
      <c r="CR96" s="390">
        <f t="shared" si="225"/>
        <v>2.9624190822551966E-2</v>
      </c>
      <c r="CS96" s="391">
        <f t="shared" si="225"/>
        <v>2.902028965412223E-2</v>
      </c>
    </row>
    <row r="97" spans="1:102" ht="15.75" customHeight="1">
      <c r="A97" s="135" t="s">
        <v>278</v>
      </c>
      <c r="B97" s="300">
        <v>65</v>
      </c>
      <c r="C97" s="392">
        <f t="shared" ref="C97:U97" si="226">IF((C32-C28)=0,"",C88/(C32-C28))</f>
        <v>9.3135138871741144E-2</v>
      </c>
      <c r="D97" s="392">
        <f t="shared" si="226"/>
        <v>9.0708990097510656E-2</v>
      </c>
      <c r="E97" s="392">
        <f t="shared" si="226"/>
        <v>0.10351412711898439</v>
      </c>
      <c r="F97" s="392">
        <f t="shared" si="226"/>
        <v>0.10148601475619448</v>
      </c>
      <c r="G97" s="392">
        <f t="shared" si="226"/>
        <v>9.93777790686282E-2</v>
      </c>
      <c r="H97" s="392">
        <f t="shared" si="226"/>
        <v>9.9501397616469867E-2</v>
      </c>
      <c r="I97" s="392">
        <f t="shared" si="226"/>
        <v>0.10082102110929796</v>
      </c>
      <c r="J97" s="392">
        <f t="shared" si="226"/>
        <v>0.10094349259774377</v>
      </c>
      <c r="K97" s="395">
        <f t="shared" si="226"/>
        <v>9.8533554752741628E-2</v>
      </c>
      <c r="L97" s="393" t="str">
        <f t="shared" si="226"/>
        <v/>
      </c>
      <c r="M97" s="392">
        <f t="shared" si="226"/>
        <v>7.9341613507438943E-2</v>
      </c>
      <c r="N97" s="392" t="str">
        <f t="shared" si="226"/>
        <v/>
      </c>
      <c r="O97" s="392">
        <f t="shared" si="226"/>
        <v>8.4434169712312823E-2</v>
      </c>
      <c r="P97" s="392" t="str">
        <f t="shared" si="226"/>
        <v/>
      </c>
      <c r="Q97" s="392">
        <f t="shared" si="226"/>
        <v>7.5353724081324319E-2</v>
      </c>
      <c r="R97" s="392" t="str">
        <f t="shared" si="226"/>
        <v/>
      </c>
      <c r="S97" s="392">
        <f t="shared" si="226"/>
        <v>7.6426860448735728E-2</v>
      </c>
      <c r="T97" s="396">
        <f t="shared" si="226"/>
        <v>7.8677017270267366E-2</v>
      </c>
      <c r="U97" s="393">
        <f t="shared" si="226"/>
        <v>8.4722809665491672E-2</v>
      </c>
      <c r="V97" s="300">
        <v>65</v>
      </c>
      <c r="W97" s="392">
        <f t="shared" ref="W97:AO97" si="227">IF((W32-W28)=0,"",W88/(W32-W28))</f>
        <v>9.0479646898798352E-2</v>
      </c>
      <c r="X97" s="392">
        <f t="shared" si="227"/>
        <v>9.0479646898798338E-2</v>
      </c>
      <c r="Y97" s="392">
        <f t="shared" si="227"/>
        <v>0.1009723402858814</v>
      </c>
      <c r="Z97" s="392">
        <f t="shared" si="227"/>
        <v>0.10097234028588142</v>
      </c>
      <c r="AA97" s="392">
        <f t="shared" si="227"/>
        <v>9.9377779068628214E-2</v>
      </c>
      <c r="AB97" s="392">
        <f t="shared" si="227"/>
        <v>9.93777790686282E-2</v>
      </c>
      <c r="AC97" s="392">
        <f t="shared" si="227"/>
        <v>0.10082102110929796</v>
      </c>
      <c r="AD97" s="392">
        <f t="shared" si="227"/>
        <v>0.10082102110929796</v>
      </c>
      <c r="AE97" s="395">
        <f t="shared" si="227"/>
        <v>9.7937656355041369E-2</v>
      </c>
      <c r="AF97" s="393" t="str">
        <f t="shared" si="227"/>
        <v/>
      </c>
      <c r="AG97" s="392">
        <f t="shared" si="227"/>
        <v>7.4127644364450143E-2</v>
      </c>
      <c r="AH97" s="392" t="str">
        <f t="shared" si="227"/>
        <v/>
      </c>
      <c r="AI97" s="392">
        <f t="shared" si="227"/>
        <v>8.2806692106884641E-2</v>
      </c>
      <c r="AJ97" s="392" t="str">
        <f t="shared" si="227"/>
        <v/>
      </c>
      <c r="AK97" s="392">
        <f t="shared" si="227"/>
        <v>8.2653405856730741E-2</v>
      </c>
      <c r="AL97" s="392" t="str">
        <f t="shared" si="227"/>
        <v/>
      </c>
      <c r="AM97" s="392">
        <f t="shared" si="227"/>
        <v>8.3389474449710663E-2</v>
      </c>
      <c r="AN97" s="396">
        <f t="shared" si="227"/>
        <v>8.0745408272554386E-2</v>
      </c>
      <c r="AO97" s="393">
        <f t="shared" si="227"/>
        <v>8.7278230804980705E-2</v>
      </c>
      <c r="AP97" s="300">
        <v>65</v>
      </c>
      <c r="AQ97" s="392">
        <f t="shared" ref="AQ97:BI97" si="228">IF((AQ32-AQ28)=0,"",AQ88/(AQ32-AQ28))</f>
        <v>9.0479646898798352E-2</v>
      </c>
      <c r="AR97" s="392">
        <f t="shared" si="228"/>
        <v>9.0479646898798352E-2</v>
      </c>
      <c r="AS97" s="392">
        <f t="shared" si="228"/>
        <v>0.1009727250737565</v>
      </c>
      <c r="AT97" s="392">
        <f t="shared" si="228"/>
        <v>0.10097234028588142</v>
      </c>
      <c r="AU97" s="392">
        <f t="shared" si="228"/>
        <v>9.9377779068628214E-2</v>
      </c>
      <c r="AV97" s="392">
        <f t="shared" si="228"/>
        <v>9.9377779068628228E-2</v>
      </c>
      <c r="AW97" s="392">
        <f t="shared" si="228"/>
        <v>0.10084342827352068</v>
      </c>
      <c r="AX97" s="392">
        <f t="shared" si="228"/>
        <v>0.10081597745670282</v>
      </c>
      <c r="AY97" s="395">
        <f t="shared" si="228"/>
        <v>9.8051802364558904E-2</v>
      </c>
      <c r="AZ97" s="393" t="str">
        <f t="shared" si="228"/>
        <v/>
      </c>
      <c r="BA97" s="392">
        <f t="shared" si="228"/>
        <v>6.8369830951605121E-2</v>
      </c>
      <c r="BB97" s="392" t="str">
        <f t="shared" si="228"/>
        <v/>
      </c>
      <c r="BC97" s="392">
        <f t="shared" si="228"/>
        <v>7.5996615278092233E-2</v>
      </c>
      <c r="BD97" s="392" t="str">
        <f t="shared" si="228"/>
        <v/>
      </c>
      <c r="BE97" s="392">
        <f t="shared" si="228"/>
        <v>7.7000342622250709E-2</v>
      </c>
      <c r="BF97" s="392" t="str">
        <f t="shared" si="228"/>
        <v/>
      </c>
      <c r="BG97" s="392">
        <f t="shared" si="228"/>
        <v>8.1266894006002385E-2</v>
      </c>
      <c r="BH97" s="396">
        <f t="shared" si="228"/>
        <v>7.5354172114678361E-2</v>
      </c>
      <c r="BI97" s="393">
        <f t="shared" si="228"/>
        <v>8.7411308472783708E-2</v>
      </c>
      <c r="BJ97" s="300">
        <v>65</v>
      </c>
      <c r="BK97" s="392">
        <f t="shared" ref="BK97:CC97" si="229">IF((BK32-BK28)=0,"",BK88/(BK32-BK28))</f>
        <v>3.4843620853196935E-2</v>
      </c>
      <c r="BL97" s="392">
        <f t="shared" si="229"/>
        <v>8.2226857825533989E-2</v>
      </c>
      <c r="BM97" s="392">
        <f t="shared" si="229"/>
        <v>2.9841668482644895E-2</v>
      </c>
      <c r="BN97" s="392">
        <f t="shared" si="229"/>
        <v>9.1048938334811202E-2</v>
      </c>
      <c r="BO97" s="392">
        <f t="shared" si="229"/>
        <v>6.2296003986013315E-2</v>
      </c>
      <c r="BP97" s="392">
        <f t="shared" si="229"/>
        <v>9.1232411870697888E-2</v>
      </c>
      <c r="BQ97" s="392">
        <f t="shared" si="229"/>
        <v>6.0518747281351724E-2</v>
      </c>
      <c r="BR97" s="392">
        <f t="shared" si="229"/>
        <v>7.6044200325776051E-2</v>
      </c>
      <c r="BS97" s="395">
        <f t="shared" si="229"/>
        <v>8.1917930415171189E-2</v>
      </c>
      <c r="BT97" s="393" t="str">
        <f t="shared" si="229"/>
        <v/>
      </c>
      <c r="BU97" s="392">
        <f t="shared" si="229"/>
        <v>3.5003744955634443E-2</v>
      </c>
      <c r="BV97" s="392" t="str">
        <f t="shared" si="229"/>
        <v/>
      </c>
      <c r="BW97" s="392">
        <f t="shared" si="229"/>
        <v>5.0324297967736298E-2</v>
      </c>
      <c r="BX97" s="392" t="str">
        <f t="shared" si="229"/>
        <v/>
      </c>
      <c r="BY97" s="392">
        <f t="shared" si="229"/>
        <v>6.5627097085147384E-2</v>
      </c>
      <c r="BZ97" s="392" t="str">
        <f t="shared" si="229"/>
        <v/>
      </c>
      <c r="CA97" s="392">
        <f t="shared" si="229"/>
        <v>8.2317952418530474E-2</v>
      </c>
      <c r="CB97" s="396">
        <f t="shared" si="229"/>
        <v>5.479926852531971E-2</v>
      </c>
      <c r="CC97" s="393">
        <f t="shared" si="229"/>
        <v>7.327434661752659E-2</v>
      </c>
      <c r="CD97" s="300">
        <v>65</v>
      </c>
      <c r="CE97" s="396">
        <f t="shared" ref="CE97:CS97" si="230">IF((CE32-CE28)=0,"",CE88/(CE32-CE28))</f>
        <v>8.9354534271507205E-2</v>
      </c>
      <c r="CF97" s="396">
        <f t="shared" si="230"/>
        <v>9.9702837887072293E-2</v>
      </c>
      <c r="CG97" s="396">
        <f t="shared" si="230"/>
        <v>9.847025289149601E-2</v>
      </c>
      <c r="CH97" s="396">
        <f t="shared" si="230"/>
        <v>9.7934003994150323E-2</v>
      </c>
      <c r="CI97" s="423">
        <f t="shared" si="230"/>
        <v>9.647644319566126E-2</v>
      </c>
      <c r="CJ97" s="396">
        <f t="shared" si="230"/>
        <v>6.7423632644847797E-2</v>
      </c>
      <c r="CK97" s="396">
        <f t="shared" si="230"/>
        <v>7.5562041225323631E-2</v>
      </c>
      <c r="CL97" s="396">
        <f t="shared" si="230"/>
        <v>7.6596798429392265E-2</v>
      </c>
      <c r="CM97" s="396">
        <f t="shared" si="230"/>
        <v>8.0928817839299713E-2</v>
      </c>
      <c r="CN97" s="423" t="str">
        <f t="shared" si="230"/>
        <v/>
      </c>
      <c r="CO97" s="396">
        <f t="shared" si="230"/>
        <v>7.7954629892149435E-2</v>
      </c>
      <c r="CP97" s="396">
        <f t="shared" si="230"/>
        <v>8.8545510207215752E-2</v>
      </c>
      <c r="CQ97" s="396">
        <f t="shared" si="230"/>
        <v>8.8147922903097892E-2</v>
      </c>
      <c r="CR97" s="396">
        <f t="shared" si="230"/>
        <v>9.0294380415603365E-2</v>
      </c>
      <c r="CS97" s="423">
        <f t="shared" si="230"/>
        <v>8.6169242951646519E-2</v>
      </c>
    </row>
    <row r="98" spans="1:102" s="317" customFormat="1" ht="15.75" customHeight="1">
      <c r="A98" s="316"/>
      <c r="AP98" s="424"/>
    </row>
    <row r="99" spans="1:102" s="317" customFormat="1" ht="15.75" customHeight="1">
      <c r="A99" s="316"/>
    </row>
    <row r="100" spans="1:102" s="317" customFormat="1" ht="15.75" customHeight="1">
      <c r="C100" s="319"/>
      <c r="D100" s="319"/>
      <c r="E100" s="319"/>
      <c r="F100" s="319"/>
      <c r="G100" s="319"/>
      <c r="H100" s="319"/>
      <c r="I100" s="319"/>
      <c r="J100" s="319"/>
      <c r="L100" s="319"/>
      <c r="M100" s="319"/>
      <c r="N100" s="319"/>
      <c r="O100" s="319"/>
      <c r="P100" s="319"/>
      <c r="Q100" s="319"/>
      <c r="R100" s="319"/>
      <c r="S100" s="319"/>
      <c r="W100" s="319"/>
      <c r="X100" s="319"/>
      <c r="Y100" s="319"/>
      <c r="Z100" s="319"/>
      <c r="AA100" s="319"/>
      <c r="AB100" s="319"/>
      <c r="AC100" s="319"/>
      <c r="AD100" s="319"/>
      <c r="AF100" s="319"/>
      <c r="AG100" s="319"/>
      <c r="AH100" s="319"/>
      <c r="AI100" s="319"/>
      <c r="AJ100" s="319"/>
      <c r="AK100" s="319"/>
      <c r="AL100" s="319"/>
      <c r="AM100" s="319"/>
      <c r="AQ100" s="319"/>
      <c r="AR100" s="319"/>
      <c r="AS100" s="319"/>
      <c r="AT100" s="319"/>
      <c r="AU100" s="319"/>
      <c r="AV100" s="319"/>
      <c r="AW100" s="319"/>
      <c r="AX100" s="319"/>
      <c r="AZ100" s="319"/>
      <c r="BA100" s="319"/>
      <c r="BB100" s="319"/>
      <c r="BC100" s="319"/>
      <c r="BD100" s="319"/>
      <c r="BE100" s="319"/>
      <c r="BF100" s="319"/>
      <c r="BG100" s="319"/>
      <c r="BK100" s="319"/>
      <c r="BL100" s="319"/>
      <c r="BM100" s="319"/>
      <c r="BN100" s="319"/>
      <c r="BO100" s="319"/>
      <c r="BP100" s="319"/>
      <c r="BQ100" s="319"/>
      <c r="BR100" s="319"/>
      <c r="BT100" s="319"/>
      <c r="BU100" s="319"/>
      <c r="BV100" s="319"/>
      <c r="BW100" s="319"/>
      <c r="BX100" s="319"/>
      <c r="BY100" s="319"/>
      <c r="BZ100" s="319"/>
      <c r="CA100" s="319"/>
      <c r="CT100" s="319"/>
      <c r="CU100" s="319"/>
      <c r="CV100" s="319"/>
      <c r="CW100" s="319"/>
      <c r="CX100" s="319"/>
    </row>
    <row r="101" spans="1:102" s="317" customFormat="1" ht="15.75" customHeight="1">
      <c r="C101" s="319"/>
      <c r="D101" s="319"/>
      <c r="F101" s="319"/>
      <c r="H101" s="319"/>
      <c r="J101" s="319"/>
      <c r="L101" s="319"/>
      <c r="M101" s="319"/>
      <c r="O101" s="319"/>
      <c r="Q101" s="319"/>
      <c r="S101" s="319"/>
      <c r="W101" s="319"/>
      <c r="X101" s="319"/>
      <c r="Z101" s="319"/>
      <c r="AB101" s="319"/>
      <c r="AD101" s="319"/>
      <c r="AF101" s="319"/>
      <c r="AG101" s="319"/>
      <c r="AI101" s="319"/>
      <c r="AK101" s="319"/>
      <c r="AM101" s="319"/>
      <c r="AQ101" s="319"/>
      <c r="AR101" s="319"/>
      <c r="AT101" s="319"/>
      <c r="AV101" s="319"/>
      <c r="AX101" s="319"/>
      <c r="AZ101" s="319"/>
      <c r="BA101" s="319"/>
      <c r="BC101" s="319"/>
      <c r="BE101" s="319"/>
      <c r="BG101" s="319"/>
      <c r="BK101" s="319"/>
      <c r="BL101" s="319"/>
      <c r="BN101" s="319"/>
      <c r="BP101" s="319"/>
      <c r="BR101" s="319"/>
      <c r="BT101" s="319"/>
      <c r="BU101" s="319"/>
      <c r="BW101" s="319"/>
      <c r="BY101" s="319"/>
      <c r="CA101" s="319"/>
      <c r="CT101" s="319"/>
      <c r="CV101" s="319"/>
      <c r="CX101" s="319"/>
    </row>
    <row r="102" spans="1:102" s="317" customFormat="1" ht="15.75" customHeight="1"/>
    <row r="103" spans="1:102" s="317" customFormat="1">
      <c r="C103" s="319"/>
      <c r="D103" s="319"/>
      <c r="E103" s="319"/>
      <c r="F103" s="319"/>
      <c r="G103" s="319"/>
      <c r="H103" s="319"/>
      <c r="I103" s="319"/>
      <c r="J103" s="319"/>
      <c r="L103" s="319"/>
      <c r="M103" s="319"/>
      <c r="N103" s="319"/>
      <c r="O103" s="319"/>
      <c r="P103" s="319"/>
      <c r="Q103" s="319"/>
      <c r="R103" s="319"/>
      <c r="S103" s="319"/>
      <c r="W103" s="319"/>
      <c r="X103" s="319"/>
      <c r="Y103" s="319"/>
      <c r="Z103" s="319"/>
      <c r="AA103" s="319"/>
      <c r="AB103" s="319"/>
      <c r="AC103" s="319"/>
      <c r="AD103" s="319"/>
      <c r="AF103" s="319"/>
      <c r="AG103" s="319"/>
      <c r="AH103" s="319"/>
      <c r="AI103" s="319"/>
      <c r="AJ103" s="319"/>
      <c r="AK103" s="319"/>
      <c r="AL103" s="319"/>
      <c r="AM103" s="319"/>
      <c r="AQ103" s="319"/>
      <c r="AR103" s="319"/>
      <c r="AS103" s="319"/>
      <c r="AT103" s="319"/>
      <c r="AU103" s="319"/>
      <c r="AV103" s="319"/>
      <c r="AW103" s="319"/>
      <c r="AX103" s="319"/>
      <c r="AZ103" s="319"/>
      <c r="BA103" s="319"/>
      <c r="BB103" s="319"/>
      <c r="BC103" s="319"/>
      <c r="BD103" s="319"/>
      <c r="BE103" s="319"/>
      <c r="BF103" s="319"/>
      <c r="BG103" s="319"/>
      <c r="BK103" s="319"/>
      <c r="BL103" s="319"/>
      <c r="BM103" s="319"/>
      <c r="BN103" s="319"/>
      <c r="BO103" s="319"/>
      <c r="BP103" s="319"/>
      <c r="BQ103" s="319"/>
      <c r="BR103" s="319"/>
      <c r="BT103" s="319"/>
      <c r="BU103" s="319"/>
      <c r="BV103" s="319"/>
      <c r="BW103" s="319"/>
      <c r="BX103" s="319"/>
      <c r="BY103" s="319"/>
      <c r="BZ103" s="319"/>
      <c r="CA103" s="319"/>
      <c r="CT103" s="319"/>
      <c r="CU103" s="319"/>
      <c r="CV103" s="319"/>
      <c r="CW103" s="319"/>
      <c r="CX103" s="319"/>
    </row>
    <row r="104" spans="1:102" s="317" customFormat="1">
      <c r="C104" s="319"/>
      <c r="D104" s="319"/>
      <c r="F104" s="319"/>
      <c r="H104" s="319"/>
      <c r="J104" s="319"/>
      <c r="L104" s="319"/>
      <c r="M104" s="319"/>
      <c r="O104" s="319"/>
      <c r="Q104" s="319"/>
      <c r="S104" s="319"/>
      <c r="W104" s="319"/>
      <c r="X104" s="319"/>
      <c r="Z104" s="319"/>
      <c r="AB104" s="319"/>
      <c r="AD104" s="319"/>
      <c r="AF104" s="319"/>
      <c r="AG104" s="319"/>
      <c r="AI104" s="319"/>
      <c r="AK104" s="319"/>
      <c r="AM104" s="319"/>
      <c r="AQ104" s="319"/>
      <c r="AR104" s="319"/>
      <c r="AT104" s="319"/>
      <c r="AV104" s="319"/>
      <c r="AX104" s="319"/>
      <c r="AZ104" s="319"/>
      <c r="BA104" s="319"/>
      <c r="BC104" s="319"/>
      <c r="BE104" s="319"/>
      <c r="BG104" s="319"/>
      <c r="BK104" s="319"/>
      <c r="BL104" s="319"/>
      <c r="BN104" s="319"/>
      <c r="BP104" s="319"/>
      <c r="BR104" s="319"/>
      <c r="BT104" s="319"/>
      <c r="BU104" s="319"/>
      <c r="BW104" s="319"/>
      <c r="BY104" s="319"/>
      <c r="CA104" s="319"/>
      <c r="CT104" s="319"/>
      <c r="CV104" s="319"/>
      <c r="CX104" s="319"/>
    </row>
    <row r="105" spans="1:102" s="317" customFormat="1"/>
    <row r="106" spans="1:102" s="317" customFormat="1">
      <c r="CT106" s="319"/>
      <c r="CV106" s="319"/>
      <c r="CX106" s="319"/>
    </row>
    <row r="107" spans="1:102" s="317" customFormat="1">
      <c r="CT107" s="319"/>
      <c r="CV107" s="319"/>
      <c r="CX107" s="319"/>
    </row>
    <row r="108" spans="1:102" s="317" customFormat="1">
      <c r="CT108" s="319"/>
      <c r="CV108" s="319"/>
      <c r="CX108" s="319"/>
    </row>
    <row r="109" spans="1:102" s="317" customFormat="1"/>
    <row r="110" spans="1:102" s="317" customFormat="1">
      <c r="CT110" s="319"/>
      <c r="CV110" s="319"/>
      <c r="CX110" s="319"/>
    </row>
    <row r="111" spans="1:102" s="317" customFormat="1"/>
    <row r="112" spans="1:102" s="317" customFormat="1"/>
    <row r="113" s="317" customFormat="1"/>
    <row r="114" s="317" customFormat="1"/>
    <row r="115" s="317" customFormat="1"/>
    <row r="116" s="317" customFormat="1"/>
    <row r="117" s="317" customFormat="1"/>
    <row r="118" s="317" customFormat="1"/>
    <row r="119" s="317" customFormat="1"/>
    <row r="120" s="317" customFormat="1"/>
    <row r="121" s="317" customFormat="1"/>
    <row r="122" s="317" customFormat="1"/>
    <row r="123" s="317" customFormat="1"/>
    <row r="124" s="317" customFormat="1"/>
    <row r="125" s="317" customFormat="1"/>
    <row r="126" s="317" customFormat="1"/>
    <row r="127" s="317" customFormat="1"/>
    <row r="128" s="317" customFormat="1"/>
    <row r="129" s="317" customFormat="1"/>
    <row r="130" s="317" customFormat="1"/>
    <row r="131" s="317" customFormat="1"/>
    <row r="132" s="317" customFormat="1"/>
    <row r="133" s="317" customFormat="1"/>
    <row r="134" s="317" customFormat="1"/>
    <row r="135" s="317" customFormat="1"/>
    <row r="136" s="317" customFormat="1"/>
    <row r="137" s="317" customFormat="1"/>
    <row r="138" s="317" customFormat="1"/>
    <row r="139" s="317" customFormat="1"/>
    <row r="140" s="317" customFormat="1"/>
    <row r="141" s="317" customFormat="1"/>
    <row r="142" s="317" customFormat="1"/>
    <row r="143" s="317" customFormat="1"/>
    <row r="144" s="317" customFormat="1"/>
    <row r="145" s="317" customFormat="1"/>
    <row r="146" s="317" customFormat="1"/>
    <row r="147" s="317" customFormat="1"/>
    <row r="148" s="317" customFormat="1"/>
    <row r="149" s="317" customFormat="1"/>
    <row r="150" s="317" customFormat="1"/>
    <row r="151" s="317" customFormat="1"/>
    <row r="152" s="317" customFormat="1"/>
    <row r="153" s="317" customFormat="1"/>
    <row r="154" s="317" customFormat="1"/>
    <row r="155" s="317" customFormat="1"/>
    <row r="156" s="317" customFormat="1"/>
    <row r="157" s="317" customFormat="1"/>
    <row r="158" s="317" customFormat="1"/>
    <row r="159" s="317" customFormat="1"/>
    <row r="160" s="317" customFormat="1"/>
    <row r="161" s="317" customFormat="1"/>
    <row r="162" s="317" customFormat="1"/>
    <row r="163" s="317" customFormat="1"/>
    <row r="164" s="317" customFormat="1"/>
    <row r="165" s="317" customFormat="1"/>
    <row r="166" s="317" customFormat="1"/>
    <row r="167" s="317" customFormat="1"/>
    <row r="168" s="317" customFormat="1"/>
    <row r="169" s="317" customFormat="1"/>
    <row r="170" s="317" customFormat="1"/>
    <row r="171" s="317" customFormat="1"/>
    <row r="172" s="317" customFormat="1"/>
    <row r="173" s="317" customFormat="1"/>
    <row r="174" s="317" customFormat="1"/>
    <row r="175" s="317" customFormat="1"/>
    <row r="176" s="317" customFormat="1"/>
    <row r="177" s="317" customFormat="1"/>
    <row r="178" s="317" customFormat="1"/>
    <row r="179" s="317" customFormat="1"/>
    <row r="180" s="317" customFormat="1"/>
    <row r="181" s="317" customFormat="1"/>
    <row r="182" s="317" customFormat="1"/>
    <row r="183" s="317" customFormat="1"/>
    <row r="184" s="317" customFormat="1"/>
    <row r="185" s="317" customFormat="1"/>
    <row r="186" s="317" customFormat="1"/>
    <row r="187" s="317" customFormat="1"/>
    <row r="188" s="317" customFormat="1"/>
    <row r="189" s="317" customFormat="1"/>
    <row r="190" s="317" customFormat="1"/>
    <row r="191" s="317" customFormat="1"/>
    <row r="192" s="317" customFormat="1"/>
    <row r="193" s="317" customFormat="1"/>
    <row r="194" s="317" customFormat="1"/>
    <row r="195" s="317" customFormat="1"/>
    <row r="196" s="317" customFormat="1"/>
    <row r="197" s="317" customFormat="1"/>
    <row r="198" s="317" customFormat="1"/>
    <row r="199" s="317" customFormat="1"/>
    <row r="200" s="317" customFormat="1"/>
    <row r="201" s="317" customFormat="1"/>
    <row r="202" s="317" customFormat="1"/>
    <row r="203" s="317" customFormat="1"/>
    <row r="204" s="317" customFormat="1"/>
    <row r="205" s="317" customFormat="1"/>
    <row r="206" s="317" customFormat="1"/>
    <row r="207" s="317" customFormat="1"/>
    <row r="208" s="317" customFormat="1"/>
    <row r="209" s="317" customFormat="1"/>
    <row r="210" s="317" customFormat="1"/>
    <row r="211" s="317" customFormat="1"/>
    <row r="212" s="317" customFormat="1"/>
    <row r="213" s="317" customFormat="1"/>
    <row r="214" s="317" customFormat="1"/>
    <row r="215" s="317" customFormat="1"/>
    <row r="216" s="317" customFormat="1"/>
    <row r="217" s="317" customFormat="1"/>
    <row r="218" s="317" customFormat="1"/>
    <row r="219" s="317" customFormat="1"/>
    <row r="220" s="317" customFormat="1"/>
    <row r="221" s="317" customFormat="1"/>
    <row r="222" s="317" customFormat="1"/>
    <row r="223" s="317" customFormat="1"/>
    <row r="224" s="317" customFormat="1"/>
    <row r="225" s="317" customFormat="1"/>
    <row r="226" s="317" customFormat="1"/>
    <row r="227" s="317" customFormat="1"/>
    <row r="228" s="317" customFormat="1"/>
    <row r="229" s="317" customFormat="1"/>
    <row r="230" s="317" customFormat="1"/>
    <row r="231" s="317" customFormat="1"/>
    <row r="232" s="317" customFormat="1"/>
    <row r="233" s="317" customFormat="1"/>
    <row r="234" s="317" customFormat="1"/>
    <row r="235" s="317" customFormat="1"/>
    <row r="236" s="317" customFormat="1"/>
    <row r="237" s="317" customFormat="1"/>
    <row r="238" s="317" customFormat="1"/>
    <row r="239" s="317" customFormat="1"/>
    <row r="240" s="317" customFormat="1"/>
    <row r="241" s="317" customFormat="1"/>
    <row r="242" s="317" customFormat="1"/>
    <row r="243" s="317" customFormat="1"/>
    <row r="244" s="317" customFormat="1"/>
    <row r="245" s="317" customFormat="1"/>
    <row r="246" s="317" customFormat="1"/>
    <row r="247" s="317" customFormat="1"/>
    <row r="248" s="317" customFormat="1"/>
    <row r="249" s="317" customFormat="1"/>
    <row r="250" s="317" customFormat="1"/>
    <row r="251" s="317" customFormat="1"/>
    <row r="252" s="317" customFormat="1"/>
    <row r="253" s="317" customFormat="1"/>
    <row r="254" s="317" customFormat="1"/>
    <row r="255" s="317" customFormat="1"/>
    <row r="256" s="317" customFormat="1"/>
    <row r="257" s="317" customFormat="1"/>
    <row r="258" s="317" customFormat="1"/>
    <row r="259" s="317" customFormat="1"/>
    <row r="260" s="317" customFormat="1"/>
    <row r="261" s="317" customFormat="1"/>
    <row r="262" s="317" customFormat="1"/>
    <row r="263" s="317" customFormat="1"/>
    <row r="264" s="317" customFormat="1"/>
    <row r="265" s="317" customFormat="1"/>
    <row r="266" s="317" customFormat="1"/>
    <row r="267" s="317" customFormat="1"/>
    <row r="268" s="317" customFormat="1"/>
    <row r="269" s="317" customFormat="1"/>
    <row r="270" s="317" customFormat="1"/>
    <row r="271" s="317" customFormat="1"/>
    <row r="272" s="317" customFormat="1"/>
    <row r="273" s="317" customFormat="1"/>
    <row r="274" s="317" customFormat="1"/>
    <row r="275" s="317" customFormat="1"/>
    <row r="276" s="317" customFormat="1"/>
    <row r="277" s="317" customFormat="1"/>
    <row r="278" s="317" customFormat="1"/>
    <row r="279" s="317" customFormat="1"/>
    <row r="280" s="317" customFormat="1"/>
    <row r="281" s="317" customFormat="1"/>
    <row r="282" s="317" customFormat="1"/>
    <row r="283" s="317" customFormat="1"/>
    <row r="284" s="317" customFormat="1"/>
    <row r="285" s="317" customFormat="1"/>
    <row r="286" s="317" customFormat="1"/>
    <row r="287" s="317" customFormat="1"/>
    <row r="288" s="317" customFormat="1"/>
    <row r="289" s="317" customFormat="1"/>
    <row r="290" s="317" customFormat="1"/>
    <row r="291" s="317" customFormat="1"/>
    <row r="292" s="317" customFormat="1"/>
    <row r="293" s="317" customFormat="1"/>
    <row r="294" s="317" customFormat="1"/>
    <row r="295" s="317" customFormat="1"/>
    <row r="296" s="317" customFormat="1"/>
    <row r="297" s="317" customFormat="1"/>
    <row r="298" s="317" customFormat="1"/>
    <row r="299" s="317" customFormat="1"/>
    <row r="300" s="317" customFormat="1"/>
    <row r="301" s="317" customFormat="1"/>
    <row r="302" s="317" customFormat="1"/>
    <row r="303" s="317" customFormat="1"/>
    <row r="304" s="317" customFormat="1"/>
    <row r="305" s="317" customFormat="1"/>
    <row r="306" s="317" customFormat="1"/>
    <row r="307" s="317" customFormat="1"/>
    <row r="308" s="317" customFormat="1"/>
    <row r="309" s="317" customFormat="1"/>
    <row r="310" s="317" customFormat="1"/>
    <row r="311" s="317" customFormat="1"/>
    <row r="312" s="317" customFormat="1"/>
    <row r="313" s="317" customFormat="1"/>
    <row r="314" s="317" customFormat="1"/>
    <row r="315" s="317" customFormat="1"/>
    <row r="316" s="317" customFormat="1"/>
    <row r="317" s="317" customFormat="1"/>
    <row r="318" s="317" customFormat="1"/>
    <row r="319" s="317" customFormat="1"/>
    <row r="320" s="317" customFormat="1"/>
    <row r="321" s="317" customFormat="1"/>
    <row r="322" s="317" customFormat="1"/>
    <row r="323" s="317" customFormat="1"/>
    <row r="324" s="317" customFormat="1"/>
    <row r="325" s="317" customFormat="1"/>
    <row r="326" s="317" customFormat="1"/>
    <row r="327" s="317" customFormat="1"/>
    <row r="328" s="317" customFormat="1"/>
    <row r="329" s="317" customFormat="1"/>
    <row r="330" s="317" customFormat="1"/>
    <row r="331" s="317" customFormat="1"/>
    <row r="332" s="317" customFormat="1"/>
    <row r="333" s="317" customFormat="1"/>
    <row r="334" s="317" customFormat="1"/>
    <row r="335" s="317" customFormat="1"/>
    <row r="336" s="317" customFormat="1"/>
    <row r="337" s="317" customFormat="1"/>
    <row r="338" s="317" customFormat="1"/>
    <row r="339" s="317" customFormat="1"/>
    <row r="340" s="317" customFormat="1"/>
    <row r="341" s="317" customFormat="1"/>
    <row r="342" s="317" customFormat="1"/>
  </sheetData>
  <sheetProtection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56"/>
  </sheetPr>
  <dimension ref="A1:D31"/>
  <sheetViews>
    <sheetView topLeftCell="A23" zoomScale="70" zoomScaleNormal="70" workbookViewId="0">
      <selection activeCell="H17" sqref="H17"/>
    </sheetView>
  </sheetViews>
  <sheetFormatPr defaultColWidth="9.42578125" defaultRowHeight="13.15"/>
  <cols>
    <col min="1" max="1" width="25" style="536" bestFit="1" customWidth="1"/>
    <col min="2" max="2" width="65.5703125" style="536" bestFit="1" customWidth="1"/>
    <col min="3" max="3" width="28.42578125" style="536" customWidth="1"/>
    <col min="4" max="4" width="73" style="536" customWidth="1"/>
    <col min="5" max="16384" width="9.42578125" style="536"/>
  </cols>
  <sheetData>
    <row r="1" spans="1:4" ht="15.6">
      <c r="A1" s="533" t="s">
        <v>280</v>
      </c>
      <c r="B1" s="534"/>
      <c r="C1" s="535"/>
      <c r="D1" s="535"/>
    </row>
    <row r="2" spans="1:4">
      <c r="A2" s="230" t="s">
        <v>1303</v>
      </c>
      <c r="B2" s="397" t="str">
        <f>'Schedule 2_Balance Sheet'!C2</f>
        <v>Tufts Associated Health Plans, Inc. (TAHMO)</v>
      </c>
      <c r="C2" s="399"/>
      <c r="D2" s="535"/>
    </row>
    <row r="3" spans="1:4">
      <c r="A3" s="230" t="s">
        <v>1285</v>
      </c>
      <c r="B3" s="520" t="str">
        <f>'Schedule 2_Balance Sheet'!C3</f>
        <v>01/01/2024 - 12/31/2024</v>
      </c>
      <c r="C3" s="522"/>
      <c r="D3" s="535"/>
    </row>
    <row r="4" spans="1:4">
      <c r="A4" s="230" t="s">
        <v>1306</v>
      </c>
      <c r="B4" s="401">
        <f>'Schedule 2_Balance Sheet'!C4</f>
        <v>45657</v>
      </c>
      <c r="C4" s="399"/>
      <c r="D4" s="535"/>
    </row>
    <row r="5" spans="1:4">
      <c r="A5" s="230" t="s">
        <v>1307</v>
      </c>
      <c r="B5" s="397" t="str">
        <f>'Schedule 2_Balance Sheet'!C5</f>
        <v>Roshni Parikh</v>
      </c>
      <c r="C5" s="399"/>
      <c r="D5" s="535"/>
    </row>
    <row r="6" spans="1:4">
      <c r="A6" s="230" t="s">
        <v>1288</v>
      </c>
      <c r="B6" s="401">
        <f>'Schedule 2_Balance Sheet'!C6</f>
        <v>45657</v>
      </c>
      <c r="C6" s="399"/>
      <c r="D6" s="535"/>
    </row>
    <row r="7" spans="1:4" ht="15.6">
      <c r="A7" s="533"/>
      <c r="B7" s="537"/>
      <c r="C7" s="537"/>
      <c r="D7" s="535"/>
    </row>
    <row r="8" spans="1:4" ht="38.1" customHeight="1">
      <c r="A8" s="621" t="s">
        <v>1326</v>
      </c>
      <c r="B8" s="621" t="s">
        <v>1343</v>
      </c>
      <c r="C8" s="622" t="s">
        <v>1344</v>
      </c>
      <c r="D8" s="621" t="s">
        <v>1345</v>
      </c>
    </row>
    <row r="9" spans="1:4" ht="72.75" customHeight="1">
      <c r="A9" s="538">
        <v>1</v>
      </c>
      <c r="B9" s="539" t="s">
        <v>283</v>
      </c>
      <c r="C9" s="320"/>
      <c r="D9" s="692" t="s">
        <v>1346</v>
      </c>
    </row>
    <row r="10" spans="1:4" ht="60.75" customHeight="1">
      <c r="A10" s="538">
        <v>2</v>
      </c>
      <c r="B10" s="539" t="s">
        <v>286</v>
      </c>
      <c r="C10" s="320"/>
      <c r="D10" s="692" t="s">
        <v>1347</v>
      </c>
    </row>
    <row r="11" spans="1:4" ht="60.75" customHeight="1">
      <c r="A11" s="538">
        <v>3</v>
      </c>
      <c r="B11" s="540" t="s">
        <v>289</v>
      </c>
      <c r="C11" s="320"/>
      <c r="D11" s="692" t="s">
        <v>1347</v>
      </c>
    </row>
    <row r="12" spans="1:4" ht="60.75" customHeight="1">
      <c r="A12" s="538">
        <v>4</v>
      </c>
      <c r="B12" s="539" t="s">
        <v>292</v>
      </c>
      <c r="C12" s="320"/>
      <c r="D12" s="320" t="s">
        <v>597</v>
      </c>
    </row>
    <row r="13" spans="1:4" ht="60.75" customHeight="1">
      <c r="A13" s="538">
        <v>5</v>
      </c>
      <c r="B13" s="539" t="s">
        <v>295</v>
      </c>
      <c r="C13" s="320"/>
      <c r="D13" s="692" t="s">
        <v>1348</v>
      </c>
    </row>
    <row r="14" spans="1:4" ht="66">
      <c r="A14" s="538">
        <v>6</v>
      </c>
      <c r="B14" s="540" t="s">
        <v>1349</v>
      </c>
      <c r="C14" s="320"/>
      <c r="D14" s="320" t="s">
        <v>597</v>
      </c>
    </row>
    <row r="15" spans="1:4" ht="60.75" customHeight="1">
      <c r="A15" s="538">
        <v>7</v>
      </c>
      <c r="B15" s="539" t="s">
        <v>301</v>
      </c>
      <c r="C15" s="320"/>
      <c r="D15" s="320" t="s">
        <v>1350</v>
      </c>
    </row>
    <row r="16" spans="1:4" ht="60.75" customHeight="1">
      <c r="A16" s="538">
        <v>8</v>
      </c>
      <c r="B16" s="539" t="s">
        <v>304</v>
      </c>
      <c r="C16" s="320"/>
      <c r="D16" s="320" t="s">
        <v>597</v>
      </c>
    </row>
    <row r="17" spans="1:4" ht="60.75" customHeight="1">
      <c r="A17" s="538">
        <v>9</v>
      </c>
      <c r="B17" s="539" t="s">
        <v>307</v>
      </c>
      <c r="C17" s="320"/>
      <c r="D17" s="692" t="s">
        <v>1351</v>
      </c>
    </row>
    <row r="18" spans="1:4" ht="95.25" customHeight="1">
      <c r="A18" s="538">
        <v>10</v>
      </c>
      <c r="B18" s="539" t="s">
        <v>310</v>
      </c>
      <c r="C18" s="320"/>
      <c r="D18" s="692" t="s">
        <v>1352</v>
      </c>
    </row>
    <row r="19" spans="1:4" ht="60.75" customHeight="1">
      <c r="A19" s="538">
        <v>11</v>
      </c>
      <c r="B19" s="539" t="s">
        <v>313</v>
      </c>
      <c r="C19" s="320"/>
      <c r="D19" s="320" t="s">
        <v>597</v>
      </c>
    </row>
    <row r="20" spans="1:4" ht="60.75" customHeight="1">
      <c r="A20" s="538">
        <v>12</v>
      </c>
      <c r="B20" s="539" t="s">
        <v>316</v>
      </c>
      <c r="C20" s="320"/>
      <c r="D20" s="320" t="s">
        <v>597</v>
      </c>
    </row>
    <row r="21" spans="1:4" ht="60.75" customHeight="1">
      <c r="A21" s="538">
        <v>13</v>
      </c>
      <c r="B21" s="539" t="s">
        <v>319</v>
      </c>
      <c r="C21" s="320"/>
      <c r="D21" s="320" t="s">
        <v>597</v>
      </c>
    </row>
    <row r="22" spans="1:4" ht="60.75" customHeight="1">
      <c r="A22" s="538">
        <v>14</v>
      </c>
      <c r="B22" s="539" t="s">
        <v>322</v>
      </c>
      <c r="C22" s="320"/>
      <c r="D22" s="320" t="s">
        <v>597</v>
      </c>
    </row>
    <row r="23" spans="1:4" ht="60.75" customHeight="1">
      <c r="A23" s="538">
        <v>15</v>
      </c>
      <c r="B23" s="539" t="s">
        <v>325</v>
      </c>
      <c r="C23" s="320"/>
      <c r="D23" s="320" t="s">
        <v>1353</v>
      </c>
    </row>
    <row r="24" spans="1:4" ht="60.75" customHeight="1">
      <c r="A24" s="538">
        <v>16</v>
      </c>
      <c r="B24" s="539" t="s">
        <v>328</v>
      </c>
      <c r="C24" s="320"/>
      <c r="D24" s="320" t="s">
        <v>597</v>
      </c>
    </row>
    <row r="25" spans="1:4" ht="60.75" customHeight="1">
      <c r="A25" s="538">
        <v>17</v>
      </c>
      <c r="B25" s="539" t="s">
        <v>331</v>
      </c>
      <c r="C25" s="320"/>
      <c r="D25" s="320" t="s">
        <v>597</v>
      </c>
    </row>
    <row r="26" spans="1:4" ht="60.75" customHeight="1">
      <c r="A26" s="538">
        <v>18</v>
      </c>
      <c r="B26" s="539" t="s">
        <v>334</v>
      </c>
      <c r="C26" s="320"/>
      <c r="D26" s="692" t="s">
        <v>1354</v>
      </c>
    </row>
    <row r="27" spans="1:4">
      <c r="A27" s="541"/>
      <c r="B27" s="541"/>
      <c r="C27" s="541"/>
      <c r="D27" s="542"/>
    </row>
    <row r="28" spans="1:4">
      <c r="A28" s="541"/>
      <c r="B28" s="541"/>
      <c r="C28" s="541"/>
      <c r="D28" s="542"/>
    </row>
    <row r="29" spans="1:4">
      <c r="A29" s="541"/>
      <c r="B29" s="541"/>
      <c r="C29" s="541"/>
      <c r="D29" s="542"/>
    </row>
    <row r="30" spans="1:4">
      <c r="A30" s="543"/>
      <c r="B30" s="541"/>
      <c r="C30" s="542"/>
      <c r="D30" s="542"/>
    </row>
    <row r="31" spans="1:4">
      <c r="A31" s="544"/>
      <c r="B31" s="544"/>
      <c r="C31" s="541"/>
      <c r="D31" s="542"/>
    </row>
  </sheetData>
  <sheetProtection formatColumns="0" formatRows="0"/>
  <pageMargins left="0.75" right="0.75" top="1" bottom="1" header="0.5" footer="0.5"/>
  <pageSetup scale="52" orientation="portrait" r:id="rId1"/>
  <headerFooter alignWithMargins="0">
    <oddFooter>&amp;CPage &amp;P of &amp;N&amp;R&amp;D</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W190"/>
  <sheetViews>
    <sheetView topLeftCell="A5" zoomScale="90" zoomScaleNormal="90" workbookViewId="0">
      <selection activeCell="A42" sqref="A42:XFD42"/>
    </sheetView>
  </sheetViews>
  <sheetFormatPr defaultColWidth="9.42578125" defaultRowHeight="13.15"/>
  <cols>
    <col min="1" max="1" width="53" style="185" customWidth="1"/>
    <col min="2" max="5" width="14.5703125" style="185" customWidth="1"/>
    <col min="6" max="6" width="5.42578125" style="321" customWidth="1"/>
    <col min="7" max="7" width="9.42578125" style="321"/>
    <col min="8" max="8" width="15.7109375" style="698" bestFit="1" customWidth="1"/>
    <col min="9" max="9" width="13.7109375" style="698" bestFit="1" customWidth="1"/>
    <col min="10" max="23" width="9.42578125" style="321"/>
    <col min="24" max="16384" width="9.42578125" style="185"/>
  </cols>
  <sheetData>
    <row r="1" spans="1:23" s="179" customFormat="1" ht="21" customHeight="1">
      <c r="A1" s="17" t="s">
        <v>1355</v>
      </c>
      <c r="D1" s="759"/>
      <c r="E1" s="759"/>
      <c r="F1" s="710"/>
      <c r="G1" s="180"/>
      <c r="H1" s="699"/>
      <c r="I1" s="699"/>
      <c r="J1" s="180"/>
      <c r="K1" s="180"/>
      <c r="L1" s="180"/>
      <c r="M1" s="180"/>
      <c r="N1" s="180"/>
      <c r="O1" s="180"/>
      <c r="P1" s="180"/>
      <c r="Q1" s="180"/>
      <c r="R1" s="180"/>
      <c r="S1" s="180"/>
      <c r="T1" s="180"/>
      <c r="U1" s="180"/>
      <c r="V1" s="180"/>
      <c r="W1" s="180"/>
    </row>
    <row r="2" spans="1:23" s="179" customFormat="1" ht="21" customHeight="1">
      <c r="A2" s="15" t="s">
        <v>1303</v>
      </c>
      <c r="B2" s="397" t="str">
        <f>'Schedule 2_Balance Sheet'!C2</f>
        <v>Tufts Associated Health Plans, Inc. (TAHMO)</v>
      </c>
      <c r="C2" s="398"/>
      <c r="D2" s="398"/>
      <c r="E2" s="398"/>
      <c r="F2" s="399"/>
      <c r="G2" s="180"/>
      <c r="H2" s="699"/>
      <c r="I2" s="699"/>
      <c r="J2" s="180"/>
      <c r="K2" s="180"/>
      <c r="L2" s="180"/>
      <c r="M2" s="180"/>
      <c r="N2" s="180"/>
      <c r="O2" s="180"/>
      <c r="P2" s="180"/>
      <c r="Q2" s="180"/>
      <c r="R2" s="180"/>
      <c r="S2" s="180"/>
      <c r="T2" s="180"/>
      <c r="U2" s="180"/>
      <c r="V2" s="180"/>
      <c r="W2" s="180"/>
    </row>
    <row r="3" spans="1:23" s="179" customFormat="1" ht="21" customHeight="1">
      <c r="A3" s="15" t="s">
        <v>1285</v>
      </c>
      <c r="B3" s="520" t="str">
        <f>'Schedule 2_Balance Sheet'!C3</f>
        <v>01/01/2024 - 12/31/2024</v>
      </c>
      <c r="C3" s="521"/>
      <c r="D3" s="521"/>
      <c r="E3" s="521"/>
      <c r="F3" s="522"/>
      <c r="G3" s="180"/>
      <c r="H3" s="699"/>
      <c r="I3" s="699"/>
      <c r="J3" s="180"/>
      <c r="K3" s="180"/>
      <c r="L3" s="180"/>
      <c r="M3" s="180"/>
      <c r="N3" s="180"/>
      <c r="O3" s="180"/>
      <c r="P3" s="180"/>
      <c r="Q3" s="180"/>
      <c r="R3" s="180"/>
      <c r="S3" s="180"/>
      <c r="T3" s="180"/>
      <c r="U3" s="180"/>
      <c r="V3" s="180"/>
      <c r="W3" s="180"/>
    </row>
    <row r="4" spans="1:23" s="179" customFormat="1" ht="21" customHeight="1">
      <c r="A4" s="15" t="s">
        <v>1306</v>
      </c>
      <c r="B4" s="401">
        <f>'Schedule 2_Balance Sheet'!C4</f>
        <v>45657</v>
      </c>
      <c r="C4" s="398"/>
      <c r="D4" s="398"/>
      <c r="E4" s="398"/>
      <c r="F4" s="399"/>
      <c r="G4" s="180"/>
      <c r="H4" s="699"/>
      <c r="I4" s="699"/>
      <c r="J4" s="180"/>
      <c r="K4" s="180"/>
      <c r="L4" s="180"/>
      <c r="M4" s="180"/>
      <c r="N4" s="180"/>
      <c r="O4" s="180"/>
      <c r="P4" s="180"/>
      <c r="Q4" s="180"/>
      <c r="R4" s="180"/>
      <c r="S4" s="180"/>
      <c r="T4" s="180"/>
      <c r="U4" s="180"/>
      <c r="V4" s="180"/>
      <c r="W4" s="180"/>
    </row>
    <row r="5" spans="1:23" s="179" customFormat="1" ht="21" customHeight="1">
      <c r="A5" s="15" t="s">
        <v>1307</v>
      </c>
      <c r="B5" s="397" t="str">
        <f>'Schedule 2_Balance Sheet'!C5</f>
        <v>Roshni Parikh</v>
      </c>
      <c r="C5" s="398"/>
      <c r="D5" s="398"/>
      <c r="E5" s="398"/>
      <c r="F5" s="399"/>
      <c r="G5" s="180"/>
      <c r="H5" s="699"/>
      <c r="I5" s="699"/>
      <c r="J5" s="180"/>
      <c r="K5" s="180"/>
      <c r="L5" s="180"/>
      <c r="M5" s="180"/>
      <c r="N5" s="180"/>
      <c r="O5" s="180"/>
      <c r="P5" s="180"/>
      <c r="Q5" s="180"/>
      <c r="R5" s="180"/>
      <c r="S5" s="180"/>
      <c r="T5" s="180"/>
      <c r="U5" s="180"/>
      <c r="V5" s="180"/>
      <c r="W5" s="180"/>
    </row>
    <row r="6" spans="1:23" s="179" customFormat="1" ht="21" customHeight="1">
      <c r="A6" s="15" t="s">
        <v>1288</v>
      </c>
      <c r="B6" s="401">
        <f>'Schedule 2_Balance Sheet'!C6</f>
        <v>45657</v>
      </c>
      <c r="C6" s="398"/>
      <c r="D6" s="398"/>
      <c r="E6" s="398"/>
      <c r="F6" s="399"/>
      <c r="G6" s="180"/>
      <c r="H6" s="699"/>
      <c r="I6" s="699"/>
      <c r="J6" s="180"/>
      <c r="K6" s="180"/>
      <c r="L6" s="180"/>
      <c r="M6" s="180"/>
      <c r="N6" s="180"/>
      <c r="O6" s="180"/>
      <c r="P6" s="180"/>
      <c r="Q6" s="180"/>
      <c r="R6" s="180"/>
      <c r="S6" s="180"/>
      <c r="T6" s="180"/>
      <c r="U6" s="180"/>
      <c r="V6" s="180"/>
      <c r="W6" s="180"/>
    </row>
    <row r="7" spans="1:23">
      <c r="A7" s="230" t="s">
        <v>1309</v>
      </c>
      <c r="B7" s="136"/>
      <c r="C7" s="136"/>
      <c r="D7" s="136"/>
      <c r="E7" s="136"/>
    </row>
    <row r="8" spans="1:23">
      <c r="A8" s="26"/>
      <c r="B8" s="74"/>
      <c r="C8" s="74"/>
      <c r="D8" s="74"/>
      <c r="E8" s="74"/>
    </row>
    <row r="9" spans="1:23">
      <c r="A9" s="136"/>
      <c r="B9" s="75" t="s">
        <v>1291</v>
      </c>
      <c r="C9" s="75" t="s">
        <v>1298</v>
      </c>
      <c r="D9" s="75" t="s">
        <v>1299</v>
      </c>
      <c r="E9" s="75" t="s">
        <v>1300</v>
      </c>
    </row>
    <row r="10" spans="1:23">
      <c r="A10" s="135" t="s">
        <v>1356</v>
      </c>
      <c r="B10" s="320">
        <f>'Schedule 3A_Income Statement'!CO92</f>
        <v>10043485.09887436</v>
      </c>
      <c r="C10" s="320">
        <f>'Schedule 3A_Income Statement'!CP92</f>
        <v>-5476123.0403118134</v>
      </c>
      <c r="D10" s="320">
        <f>'Schedule 3A_Income Statement'!CQ92</f>
        <v>-4046525.3133207262</v>
      </c>
      <c r="E10" s="320">
        <f>'Schedule 3A_Income Statement'!CR92</f>
        <v>-5989341.5224514306</v>
      </c>
    </row>
    <row r="11" spans="1:23">
      <c r="A11" s="135" t="s">
        <v>1357</v>
      </c>
      <c r="B11" s="320"/>
      <c r="C11" s="320"/>
      <c r="D11" s="320"/>
      <c r="E11" s="320"/>
    </row>
    <row r="12" spans="1:23">
      <c r="A12" s="136"/>
      <c r="B12" s="187" t="s">
        <v>1315</v>
      </c>
      <c r="C12" s="187" t="s">
        <v>1315</v>
      </c>
      <c r="D12" s="187" t="s">
        <v>1315</v>
      </c>
      <c r="E12" s="187" t="s">
        <v>1315</v>
      </c>
    </row>
    <row r="13" spans="1:23">
      <c r="A13" s="135" t="s">
        <v>1358</v>
      </c>
      <c r="B13" s="186">
        <f>+B10+B11</f>
        <v>10043485.09887436</v>
      </c>
      <c r="C13" s="186">
        <f>+C10+C11</f>
        <v>-5476123.0403118134</v>
      </c>
      <c r="D13" s="186">
        <f>+D10+D11</f>
        <v>-4046525.3133207262</v>
      </c>
      <c r="E13" s="186">
        <f>+E10+E11</f>
        <v>-5989341.5224514306</v>
      </c>
    </row>
    <row r="14" spans="1:23">
      <c r="A14" s="136"/>
      <c r="B14" s="183" t="s">
        <v>1315</v>
      </c>
      <c r="C14" s="183" t="s">
        <v>1315</v>
      </c>
      <c r="D14" s="183" t="s">
        <v>1315</v>
      </c>
      <c r="E14" s="183" t="s">
        <v>1315</v>
      </c>
    </row>
    <row r="15" spans="1:23">
      <c r="A15" s="135" t="s">
        <v>1359</v>
      </c>
      <c r="B15" s="187"/>
      <c r="C15" s="187"/>
      <c r="D15" s="187"/>
      <c r="E15" s="187"/>
    </row>
    <row r="16" spans="1:23">
      <c r="A16" s="188" t="s">
        <v>1360</v>
      </c>
      <c r="B16" s="320"/>
      <c r="C16" s="320"/>
      <c r="D16" s="320"/>
      <c r="E16" s="320"/>
    </row>
    <row r="17" spans="1:5">
      <c r="A17" s="188" t="s">
        <v>1361</v>
      </c>
      <c r="B17" s="320">
        <f>-'Schedule 2_Balance Sheet'!C13+16840726</f>
        <v>-960007.21000000089</v>
      </c>
      <c r="C17" s="320">
        <f>-'Schedule 2_Balance Sheet'!D13+'Schedule 2_Balance Sheet'!C13</f>
        <v>11167246</v>
      </c>
      <c r="D17" s="320">
        <f>-'Schedule 2_Balance Sheet'!E13+'Schedule 2_Balance Sheet'!D13</f>
        <v>-123162.65999999922</v>
      </c>
      <c r="E17" s="320">
        <f>-'Schedule 2_Balance Sheet'!F13+'Schedule 2_Balance Sheet'!E13</f>
        <v>2171720.5700000003</v>
      </c>
    </row>
    <row r="18" spans="1:5">
      <c r="A18" s="188" t="s">
        <v>69</v>
      </c>
      <c r="B18" s="320">
        <f>-'Schedule 2_Balance Sheet'!C16</f>
        <v>0</v>
      </c>
      <c r="C18" s="320">
        <f>-'Schedule 2_Balance Sheet'!D16</f>
        <v>0</v>
      </c>
      <c r="D18" s="320">
        <f>-'Schedule 2_Balance Sheet'!E16</f>
        <v>0</v>
      </c>
      <c r="E18" s="320">
        <f>-'Schedule 2_Balance Sheet'!F16</f>
        <v>0</v>
      </c>
    </row>
    <row r="19" spans="1:5">
      <c r="A19" s="188" t="s">
        <v>1316</v>
      </c>
      <c r="B19" s="320">
        <f>-'Schedule 2_Balance Sheet'!C17-'Schedule 2_Balance Sheet'!C18-'Schedule 2_Balance Sheet'!C19-'Schedule 2_Balance Sheet'!C20+8202775+965528</f>
        <v>-18534524.25</v>
      </c>
      <c r="C19" s="320">
        <f>-SUM('Schedule 2_Balance Sheet'!D17:D20)+SUM('Schedule 2_Balance Sheet'!C17:C20)</f>
        <v>12395665.32</v>
      </c>
      <c r="D19" s="320">
        <f>-SUM('Schedule 2_Balance Sheet'!E17:E20)+SUM('Schedule 2_Balance Sheet'!D17:D20)+3000000</f>
        <v>-1716584.1120133325</v>
      </c>
      <c r="E19" s="320">
        <f>-SUM('Schedule 2_Balance Sheet'!F17:F20)+SUM('Schedule 2_Balance Sheet'!E17:E20)+3500000</f>
        <v>4052991.6620133296</v>
      </c>
    </row>
    <row r="20" spans="1:5">
      <c r="A20" s="188" t="s">
        <v>111</v>
      </c>
      <c r="B20" s="320"/>
      <c r="C20" s="320"/>
      <c r="D20" s="320"/>
      <c r="E20" s="320"/>
    </row>
    <row r="21" spans="1:5">
      <c r="A21" s="188" t="s">
        <v>1362</v>
      </c>
      <c r="B21" s="320">
        <f>'Schedule 2_Balance Sheet'!C67-54904631-B22-7691052-4618492-294828-936019-957869</f>
        <v>-7954529.4599999925</v>
      </c>
      <c r="C21" s="320">
        <f>'Schedule 2_Balance Sheet'!D67-'Schedule 2_Balance Sheet'!C67-C22+11795785-6442966-55065-986383+1138578</f>
        <v>17130491.769999988</v>
      </c>
      <c r="D21" s="320">
        <f>'Schedule 2_Balance Sheet'!E67-'Schedule 2_Balance Sheet'!D67-D22+11795785-9765217-2675907-762463+2156707</f>
        <v>-6510710.4099999964</v>
      </c>
      <c r="E21" s="320">
        <f>'Schedule 2_Balance Sheet'!F67-'Schedule 2_Balance Sheet'!E67-E22+8822364-4329740+5403263</f>
        <v>-49379660.899999999</v>
      </c>
    </row>
    <row r="22" spans="1:5">
      <c r="A22" s="188" t="s">
        <v>125</v>
      </c>
      <c r="B22" s="320">
        <f>'Schedule 2_Balance Sheet'!C60-875875</f>
        <v>0.2099999999627471</v>
      </c>
      <c r="C22" s="320">
        <f>'Schedule 2_Balance Sheet'!D60-'Schedule 2_Balance Sheet'!C60</f>
        <v>0</v>
      </c>
      <c r="D22" s="320">
        <f>'Schedule 2_Balance Sheet'!E60-'Schedule 2_Balance Sheet'!D60</f>
        <v>288666.79000000004</v>
      </c>
      <c r="E22" s="320">
        <f>'Schedule 2_Balance Sheet'!F60-'Schedule 2_Balance Sheet'!E60</f>
        <v>916753.81</v>
      </c>
    </row>
    <row r="23" spans="1:5">
      <c r="A23" s="188" t="s">
        <v>1363</v>
      </c>
      <c r="B23" s="320">
        <f>'Schedule 2_Balance Sheet'!C70-292207</f>
        <v>-158989.78999999166</v>
      </c>
      <c r="C23" s="320">
        <f>'Schedule 2_Balance Sheet'!D70-'Schedule 2_Balance Sheet'!C70</f>
        <v>4749.0099999904633</v>
      </c>
      <c r="D23" s="320">
        <f>'Schedule 2_Balance Sheet'!E70-'Schedule 2_Balance Sheet'!D70</f>
        <v>31981.17999997735</v>
      </c>
      <c r="E23" s="320">
        <f>'Schedule 2_Balance Sheet'!F70-'Schedule 2_Balance Sheet'!E70</f>
        <v>-13066.379999995232</v>
      </c>
    </row>
    <row r="24" spans="1:5">
      <c r="A24" s="136"/>
      <c r="B24" s="187" t="s">
        <v>1315</v>
      </c>
      <c r="C24" s="187" t="s">
        <v>1315</v>
      </c>
      <c r="D24" s="187" t="s">
        <v>1315</v>
      </c>
      <c r="E24" s="187" t="s">
        <v>1315</v>
      </c>
    </row>
    <row r="25" spans="1:5">
      <c r="A25" s="135" t="s">
        <v>1364</v>
      </c>
      <c r="B25" s="186">
        <f>SUM(B16:B23)</f>
        <v>-27608050.499999985</v>
      </c>
      <c r="C25" s="186">
        <f>SUM(C16:C23)</f>
        <v>40698152.099999979</v>
      </c>
      <c r="D25" s="186">
        <f>SUM(D16:D23)</f>
        <v>-8029809.2120133508</v>
      </c>
      <c r="E25" s="186">
        <f>SUM(E16:E23)</f>
        <v>-42251261.237986661</v>
      </c>
    </row>
    <row r="26" spans="1:5">
      <c r="A26" s="136"/>
      <c r="B26" s="187" t="s">
        <v>1315</v>
      </c>
      <c r="C26" s="187" t="s">
        <v>1315</v>
      </c>
      <c r="D26" s="187" t="s">
        <v>1315</v>
      </c>
      <c r="E26" s="187" t="s">
        <v>1315</v>
      </c>
    </row>
    <row r="27" spans="1:5">
      <c r="A27" s="135" t="s">
        <v>1365</v>
      </c>
      <c r="B27" s="186">
        <f>+B25+B13</f>
        <v>-17564565.401125625</v>
      </c>
      <c r="C27" s="186">
        <f>+C25+C13</f>
        <v>35222029.059688166</v>
      </c>
      <c r="D27" s="186">
        <f>+D25+D13</f>
        <v>-12076334.525334077</v>
      </c>
      <c r="E27" s="186">
        <f>+E25+E13</f>
        <v>-48240602.760438092</v>
      </c>
    </row>
    <row r="28" spans="1:5">
      <c r="A28" s="136"/>
      <c r="B28" s="187" t="s">
        <v>1315</v>
      </c>
      <c r="C28" s="187" t="s">
        <v>1315</v>
      </c>
      <c r="D28" s="187" t="s">
        <v>1315</v>
      </c>
      <c r="E28" s="187" t="s">
        <v>1315</v>
      </c>
    </row>
    <row r="29" spans="1:5">
      <c r="A29" s="135" t="s">
        <v>1366</v>
      </c>
      <c r="B29" s="320"/>
      <c r="C29" s="320"/>
      <c r="D29" s="320"/>
      <c r="E29" s="320"/>
    </row>
    <row r="30" spans="1:5">
      <c r="A30" s="135" t="s">
        <v>1367</v>
      </c>
      <c r="B30" s="320"/>
      <c r="C30" s="320"/>
      <c r="D30" s="320"/>
      <c r="E30" s="320"/>
    </row>
    <row r="31" spans="1:5">
      <c r="A31" s="135" t="s">
        <v>1368</v>
      </c>
      <c r="B31" s="320"/>
      <c r="C31" s="320"/>
      <c r="D31" s="320"/>
      <c r="E31" s="320"/>
    </row>
    <row r="32" spans="1:5">
      <c r="A32" s="135" t="s">
        <v>1369</v>
      </c>
      <c r="B32" s="320"/>
      <c r="C32" s="320"/>
      <c r="D32" s="320"/>
      <c r="E32" s="320"/>
    </row>
    <row r="33" spans="1:9">
      <c r="A33" s="136"/>
      <c r="B33" s="187" t="s">
        <v>1315</v>
      </c>
      <c r="C33" s="187" t="s">
        <v>1315</v>
      </c>
      <c r="D33" s="187" t="s">
        <v>1315</v>
      </c>
      <c r="E33" s="187" t="s">
        <v>1315</v>
      </c>
    </row>
    <row r="34" spans="1:9">
      <c r="A34" s="136"/>
      <c r="B34" s="178"/>
      <c r="C34" s="178"/>
      <c r="D34" s="178"/>
      <c r="E34" s="178"/>
    </row>
    <row r="35" spans="1:9">
      <c r="A35" s="136"/>
      <c r="B35" s="187" t="s">
        <v>1315</v>
      </c>
      <c r="C35" s="187" t="s">
        <v>1315</v>
      </c>
      <c r="D35" s="187" t="s">
        <v>1315</v>
      </c>
      <c r="E35" s="187" t="s">
        <v>1315</v>
      </c>
    </row>
    <row r="36" spans="1:9">
      <c r="A36" s="135" t="s">
        <v>1370</v>
      </c>
      <c r="B36" s="186">
        <f>SUM(B27:B35)</f>
        <v>-17564565.401125625</v>
      </c>
      <c r="C36" s="186">
        <f>SUM(C27:C35)</f>
        <v>35222029.059688166</v>
      </c>
      <c r="D36" s="186">
        <f>SUM(D27:D35)</f>
        <v>-12076334.525334077</v>
      </c>
      <c r="E36" s="186">
        <f>SUM(E27:E35)</f>
        <v>-48240602.760438092</v>
      </c>
    </row>
    <row r="37" spans="1:9">
      <c r="A37" s="136"/>
      <c r="B37" s="184"/>
      <c r="C37" s="184"/>
      <c r="D37" s="184"/>
      <c r="E37" s="184"/>
    </row>
    <row r="38" spans="1:9">
      <c r="A38" s="136"/>
      <c r="B38" s="184"/>
      <c r="C38" s="184"/>
      <c r="D38" s="184"/>
      <c r="E38" s="184"/>
    </row>
    <row r="39" spans="1:9">
      <c r="A39" s="135" t="s">
        <v>1371</v>
      </c>
      <c r="B39" s="320">
        <v>108398390.94</v>
      </c>
      <c r="C39" s="186">
        <f>+B40</f>
        <v>90833825.538874373</v>
      </c>
      <c r="D39" s="186">
        <f>+C40</f>
        <v>126055854.59856254</v>
      </c>
      <c r="E39" s="186">
        <f>+D40</f>
        <v>113979520.07322846</v>
      </c>
    </row>
    <row r="40" spans="1:9">
      <c r="A40" s="135" t="s">
        <v>1372</v>
      </c>
      <c r="B40" s="186">
        <f>+B39+B36</f>
        <v>90833825.538874373</v>
      </c>
      <c r="C40" s="186">
        <f>+C39+C36</f>
        <v>126055854.59856254</v>
      </c>
      <c r="D40" s="186">
        <f>+D39+D36</f>
        <v>113979520.07322846</v>
      </c>
      <c r="E40" s="186">
        <f>+E39+E36</f>
        <v>65738917.312790371</v>
      </c>
    </row>
    <row r="41" spans="1:9" s="321" customFormat="1">
      <c r="A41" s="322"/>
      <c r="B41" s="323"/>
      <c r="C41" s="323"/>
      <c r="D41" s="323"/>
      <c r="E41" s="323"/>
      <c r="H41" s="698"/>
      <c r="I41" s="698"/>
    </row>
    <row r="42" spans="1:9" s="321" customFormat="1">
      <c r="A42" s="322"/>
      <c r="B42" s="324"/>
      <c r="C42" s="695"/>
      <c r="D42" s="695"/>
      <c r="E42" s="695"/>
      <c r="H42" s="698"/>
      <c r="I42" s="698"/>
    </row>
    <row r="43" spans="1:9" s="321" customFormat="1">
      <c r="B43" s="324"/>
      <c r="C43" s="324"/>
      <c r="D43" s="324"/>
      <c r="E43" s="324"/>
      <c r="H43" s="698"/>
      <c r="I43" s="698"/>
    </row>
    <row r="44" spans="1:9" s="321" customFormat="1">
      <c r="H44" s="698"/>
      <c r="I44" s="698"/>
    </row>
    <row r="45" spans="1:9" s="321" customFormat="1">
      <c r="B45" s="324"/>
      <c r="C45" s="324"/>
      <c r="D45" s="324"/>
      <c r="E45" s="325"/>
      <c r="H45" s="698"/>
      <c r="I45" s="698"/>
    </row>
    <row r="46" spans="1:9" s="321" customFormat="1">
      <c r="H46" s="698"/>
      <c r="I46" s="698"/>
    </row>
    <row r="47" spans="1:9" s="321" customFormat="1">
      <c r="B47" s="325"/>
      <c r="D47" s="325"/>
      <c r="E47" s="325"/>
      <c r="H47" s="698"/>
      <c r="I47" s="698"/>
    </row>
    <row r="48" spans="1:9" s="321" customFormat="1">
      <c r="C48" s="325"/>
      <c r="H48" s="698"/>
      <c r="I48" s="698"/>
    </row>
    <row r="49" spans="4:9" s="321" customFormat="1">
      <c r="H49" s="698"/>
      <c r="I49" s="698"/>
    </row>
    <row r="50" spans="4:9" s="321" customFormat="1">
      <c r="H50" s="698"/>
      <c r="I50" s="698"/>
    </row>
    <row r="51" spans="4:9" s="321" customFormat="1">
      <c r="D51" s="326"/>
      <c r="H51" s="698"/>
      <c r="I51" s="698"/>
    </row>
    <row r="52" spans="4:9" s="321" customFormat="1">
      <c r="H52" s="698"/>
      <c r="I52" s="698"/>
    </row>
    <row r="53" spans="4:9" s="321" customFormat="1">
      <c r="H53" s="698"/>
      <c r="I53" s="698"/>
    </row>
    <row r="54" spans="4:9" s="321" customFormat="1">
      <c r="H54" s="698"/>
      <c r="I54" s="698"/>
    </row>
    <row r="55" spans="4:9" s="321" customFormat="1">
      <c r="H55" s="698"/>
      <c r="I55" s="698"/>
    </row>
    <row r="56" spans="4:9" s="321" customFormat="1">
      <c r="H56" s="698"/>
      <c r="I56" s="698"/>
    </row>
    <row r="57" spans="4:9" s="321" customFormat="1">
      <c r="H57" s="698"/>
      <c r="I57" s="698"/>
    </row>
    <row r="58" spans="4:9" s="321" customFormat="1">
      <c r="H58" s="698"/>
      <c r="I58" s="698"/>
    </row>
    <row r="59" spans="4:9" s="321" customFormat="1">
      <c r="H59" s="698"/>
      <c r="I59" s="698"/>
    </row>
    <row r="60" spans="4:9" s="321" customFormat="1">
      <c r="H60" s="698"/>
      <c r="I60" s="698"/>
    </row>
    <row r="61" spans="4:9" s="321" customFormat="1">
      <c r="H61" s="698"/>
      <c r="I61" s="698"/>
    </row>
    <row r="62" spans="4:9" s="321" customFormat="1">
      <c r="H62" s="698"/>
      <c r="I62" s="698"/>
    </row>
    <row r="63" spans="4:9" s="321" customFormat="1">
      <c r="H63" s="698"/>
      <c r="I63" s="698"/>
    </row>
    <row r="64" spans="4:9" s="321" customFormat="1">
      <c r="H64" s="698"/>
      <c r="I64" s="698"/>
    </row>
    <row r="65" spans="8:9" s="321" customFormat="1">
      <c r="H65" s="698"/>
      <c r="I65" s="698"/>
    </row>
    <row r="66" spans="8:9" s="321" customFormat="1">
      <c r="H66" s="698"/>
      <c r="I66" s="698"/>
    </row>
    <row r="67" spans="8:9" s="321" customFormat="1">
      <c r="H67" s="698"/>
      <c r="I67" s="698"/>
    </row>
    <row r="68" spans="8:9" s="321" customFormat="1">
      <c r="H68" s="698"/>
      <c r="I68" s="698"/>
    </row>
    <row r="69" spans="8:9" s="321" customFormat="1">
      <c r="H69" s="698"/>
      <c r="I69" s="698"/>
    </row>
    <row r="70" spans="8:9" s="321" customFormat="1">
      <c r="H70" s="698"/>
      <c r="I70" s="698"/>
    </row>
    <row r="71" spans="8:9" s="321" customFormat="1">
      <c r="H71" s="698"/>
      <c r="I71" s="698"/>
    </row>
    <row r="72" spans="8:9" s="321" customFormat="1">
      <c r="H72" s="698"/>
      <c r="I72" s="698"/>
    </row>
    <row r="73" spans="8:9" s="321" customFormat="1">
      <c r="H73" s="698"/>
      <c r="I73" s="698"/>
    </row>
    <row r="74" spans="8:9" s="321" customFormat="1">
      <c r="H74" s="698"/>
      <c r="I74" s="698"/>
    </row>
    <row r="75" spans="8:9" s="321" customFormat="1">
      <c r="H75" s="698"/>
      <c r="I75" s="698"/>
    </row>
    <row r="76" spans="8:9" s="321" customFormat="1">
      <c r="H76" s="698"/>
      <c r="I76" s="698"/>
    </row>
    <row r="77" spans="8:9" s="321" customFormat="1">
      <c r="H77" s="698"/>
      <c r="I77" s="698"/>
    </row>
    <row r="78" spans="8:9" s="321" customFormat="1">
      <c r="H78" s="698"/>
      <c r="I78" s="698"/>
    </row>
    <row r="79" spans="8:9" s="321" customFormat="1">
      <c r="H79" s="698"/>
      <c r="I79" s="698"/>
    </row>
    <row r="80" spans="8:9" s="321" customFormat="1">
      <c r="H80" s="698"/>
      <c r="I80" s="698"/>
    </row>
    <row r="81" spans="8:9" s="321" customFormat="1">
      <c r="H81" s="698"/>
      <c r="I81" s="698"/>
    </row>
    <row r="82" spans="8:9" s="321" customFormat="1">
      <c r="H82" s="698"/>
      <c r="I82" s="698"/>
    </row>
    <row r="83" spans="8:9" s="321" customFormat="1">
      <c r="H83" s="698"/>
      <c r="I83" s="698"/>
    </row>
    <row r="84" spans="8:9" s="321" customFormat="1">
      <c r="H84" s="698"/>
      <c r="I84" s="698"/>
    </row>
    <row r="85" spans="8:9" s="321" customFormat="1">
      <c r="H85" s="698"/>
      <c r="I85" s="698"/>
    </row>
    <row r="86" spans="8:9" s="321" customFormat="1">
      <c r="H86" s="698"/>
      <c r="I86" s="698"/>
    </row>
    <row r="87" spans="8:9" s="321" customFormat="1">
      <c r="H87" s="698"/>
      <c r="I87" s="698"/>
    </row>
    <row r="88" spans="8:9" s="321" customFormat="1">
      <c r="H88" s="698"/>
      <c r="I88" s="698"/>
    </row>
    <row r="89" spans="8:9" s="321" customFormat="1">
      <c r="H89" s="698"/>
      <c r="I89" s="698"/>
    </row>
    <row r="90" spans="8:9" s="321" customFormat="1">
      <c r="H90" s="698"/>
      <c r="I90" s="698"/>
    </row>
    <row r="91" spans="8:9" s="321" customFormat="1">
      <c r="H91" s="698"/>
      <c r="I91" s="698"/>
    </row>
    <row r="92" spans="8:9" s="321" customFormat="1">
      <c r="H92" s="698"/>
      <c r="I92" s="698"/>
    </row>
    <row r="93" spans="8:9" s="321" customFormat="1">
      <c r="H93" s="698"/>
      <c r="I93" s="698"/>
    </row>
    <row r="94" spans="8:9" s="321" customFormat="1">
      <c r="H94" s="698"/>
      <c r="I94" s="698"/>
    </row>
    <row r="95" spans="8:9" s="321" customFormat="1">
      <c r="H95" s="698"/>
      <c r="I95" s="698"/>
    </row>
    <row r="96" spans="8:9" s="321" customFormat="1">
      <c r="H96" s="698"/>
      <c r="I96" s="698"/>
    </row>
    <row r="97" spans="8:9" s="321" customFormat="1">
      <c r="H97" s="698"/>
      <c r="I97" s="698"/>
    </row>
    <row r="98" spans="8:9" s="321" customFormat="1">
      <c r="H98" s="698"/>
      <c r="I98" s="698"/>
    </row>
    <row r="99" spans="8:9" s="321" customFormat="1">
      <c r="H99" s="698"/>
      <c r="I99" s="698"/>
    </row>
    <row r="100" spans="8:9" s="321" customFormat="1">
      <c r="H100" s="698"/>
      <c r="I100" s="698"/>
    </row>
    <row r="101" spans="8:9" s="321" customFormat="1">
      <c r="H101" s="698"/>
      <c r="I101" s="698"/>
    </row>
    <row r="102" spans="8:9" s="321" customFormat="1">
      <c r="H102" s="698"/>
      <c r="I102" s="698"/>
    </row>
    <row r="103" spans="8:9" s="321" customFormat="1">
      <c r="H103" s="698"/>
      <c r="I103" s="698"/>
    </row>
    <row r="104" spans="8:9" s="321" customFormat="1">
      <c r="H104" s="698"/>
      <c r="I104" s="698"/>
    </row>
    <row r="105" spans="8:9" s="321" customFormat="1">
      <c r="H105" s="698"/>
      <c r="I105" s="698"/>
    </row>
    <row r="106" spans="8:9" s="321" customFormat="1">
      <c r="H106" s="698"/>
      <c r="I106" s="698"/>
    </row>
    <row r="107" spans="8:9" s="321" customFormat="1">
      <c r="H107" s="698"/>
      <c r="I107" s="698"/>
    </row>
    <row r="108" spans="8:9" s="321" customFormat="1">
      <c r="H108" s="698"/>
      <c r="I108" s="698"/>
    </row>
    <row r="109" spans="8:9" s="321" customFormat="1">
      <c r="H109" s="698"/>
      <c r="I109" s="698"/>
    </row>
    <row r="110" spans="8:9" s="321" customFormat="1">
      <c r="H110" s="698"/>
      <c r="I110" s="698"/>
    </row>
    <row r="111" spans="8:9" s="321" customFormat="1">
      <c r="H111" s="698"/>
      <c r="I111" s="698"/>
    </row>
    <row r="112" spans="8:9" s="321" customFormat="1">
      <c r="H112" s="698"/>
      <c r="I112" s="698"/>
    </row>
    <row r="113" spans="8:9" s="321" customFormat="1">
      <c r="H113" s="698"/>
      <c r="I113" s="698"/>
    </row>
    <row r="114" spans="8:9" s="321" customFormat="1">
      <c r="H114" s="698"/>
      <c r="I114" s="698"/>
    </row>
    <row r="115" spans="8:9" s="321" customFormat="1">
      <c r="H115" s="698"/>
      <c r="I115" s="698"/>
    </row>
    <row r="116" spans="8:9" s="321" customFormat="1">
      <c r="H116" s="698"/>
      <c r="I116" s="698"/>
    </row>
    <row r="117" spans="8:9" s="321" customFormat="1">
      <c r="H117" s="698"/>
      <c r="I117" s="698"/>
    </row>
    <row r="118" spans="8:9" s="321" customFormat="1">
      <c r="H118" s="698"/>
      <c r="I118" s="698"/>
    </row>
    <row r="119" spans="8:9" s="321" customFormat="1">
      <c r="H119" s="698"/>
      <c r="I119" s="698"/>
    </row>
    <row r="120" spans="8:9" s="321" customFormat="1">
      <c r="H120" s="698"/>
      <c r="I120" s="698"/>
    </row>
    <row r="121" spans="8:9" s="321" customFormat="1">
      <c r="H121" s="698"/>
      <c r="I121" s="698"/>
    </row>
    <row r="122" spans="8:9" s="321" customFormat="1">
      <c r="H122" s="698"/>
      <c r="I122" s="698"/>
    </row>
    <row r="123" spans="8:9" s="321" customFormat="1">
      <c r="H123" s="698"/>
      <c r="I123" s="698"/>
    </row>
    <row r="124" spans="8:9" s="321" customFormat="1">
      <c r="H124" s="698"/>
      <c r="I124" s="698"/>
    </row>
    <row r="125" spans="8:9" s="321" customFormat="1">
      <c r="H125" s="698"/>
      <c r="I125" s="698"/>
    </row>
    <row r="126" spans="8:9" s="321" customFormat="1">
      <c r="H126" s="698"/>
      <c r="I126" s="698"/>
    </row>
    <row r="127" spans="8:9" s="321" customFormat="1">
      <c r="H127" s="698"/>
      <c r="I127" s="698"/>
    </row>
    <row r="128" spans="8:9" s="321" customFormat="1">
      <c r="H128" s="698"/>
      <c r="I128" s="698"/>
    </row>
    <row r="129" spans="8:9" s="321" customFormat="1">
      <c r="H129" s="698"/>
      <c r="I129" s="698"/>
    </row>
    <row r="130" spans="8:9" s="321" customFormat="1">
      <c r="H130" s="698"/>
      <c r="I130" s="698"/>
    </row>
    <row r="131" spans="8:9" s="321" customFormat="1">
      <c r="H131" s="698"/>
      <c r="I131" s="698"/>
    </row>
    <row r="132" spans="8:9" s="321" customFormat="1">
      <c r="H132" s="698"/>
      <c r="I132" s="698"/>
    </row>
    <row r="133" spans="8:9" s="321" customFormat="1">
      <c r="H133" s="698"/>
      <c r="I133" s="698"/>
    </row>
    <row r="134" spans="8:9" s="321" customFormat="1">
      <c r="H134" s="698"/>
      <c r="I134" s="698"/>
    </row>
    <row r="135" spans="8:9" s="321" customFormat="1">
      <c r="H135" s="698"/>
      <c r="I135" s="698"/>
    </row>
    <row r="136" spans="8:9" s="321" customFormat="1">
      <c r="H136" s="698"/>
      <c r="I136" s="698"/>
    </row>
    <row r="137" spans="8:9" s="321" customFormat="1">
      <c r="H137" s="698"/>
      <c r="I137" s="698"/>
    </row>
    <row r="138" spans="8:9" s="321" customFormat="1">
      <c r="H138" s="698"/>
      <c r="I138" s="698"/>
    </row>
    <row r="139" spans="8:9" s="321" customFormat="1">
      <c r="H139" s="698"/>
      <c r="I139" s="698"/>
    </row>
    <row r="140" spans="8:9" s="321" customFormat="1">
      <c r="H140" s="698"/>
      <c r="I140" s="698"/>
    </row>
    <row r="141" spans="8:9" s="321" customFormat="1">
      <c r="H141" s="698"/>
      <c r="I141" s="698"/>
    </row>
    <row r="142" spans="8:9" s="321" customFormat="1">
      <c r="H142" s="698"/>
      <c r="I142" s="698"/>
    </row>
    <row r="143" spans="8:9" s="321" customFormat="1">
      <c r="H143" s="698"/>
      <c r="I143" s="698"/>
    </row>
    <row r="144" spans="8:9" s="321" customFormat="1">
      <c r="H144" s="698"/>
      <c r="I144" s="698"/>
    </row>
    <row r="145" spans="8:9" s="321" customFormat="1">
      <c r="H145" s="698"/>
      <c r="I145" s="698"/>
    </row>
    <row r="146" spans="8:9" s="321" customFormat="1">
      <c r="H146" s="698"/>
      <c r="I146" s="698"/>
    </row>
    <row r="147" spans="8:9" s="321" customFormat="1">
      <c r="H147" s="698"/>
      <c r="I147" s="698"/>
    </row>
    <row r="148" spans="8:9" s="321" customFormat="1">
      <c r="H148" s="698"/>
      <c r="I148" s="698"/>
    </row>
    <row r="149" spans="8:9" s="321" customFormat="1">
      <c r="H149" s="698"/>
      <c r="I149" s="698"/>
    </row>
    <row r="150" spans="8:9" s="321" customFormat="1">
      <c r="H150" s="698"/>
      <c r="I150" s="698"/>
    </row>
    <row r="151" spans="8:9" s="321" customFormat="1">
      <c r="H151" s="698"/>
      <c r="I151" s="698"/>
    </row>
    <row r="152" spans="8:9" s="321" customFormat="1">
      <c r="H152" s="698"/>
      <c r="I152" s="698"/>
    </row>
    <row r="153" spans="8:9" s="321" customFormat="1">
      <c r="H153" s="698"/>
      <c r="I153" s="698"/>
    </row>
    <row r="154" spans="8:9" s="321" customFormat="1">
      <c r="H154" s="698"/>
      <c r="I154" s="698"/>
    </row>
    <row r="155" spans="8:9" s="321" customFormat="1">
      <c r="H155" s="698"/>
      <c r="I155" s="698"/>
    </row>
    <row r="156" spans="8:9" s="321" customFormat="1">
      <c r="H156" s="698"/>
      <c r="I156" s="698"/>
    </row>
    <row r="157" spans="8:9" s="321" customFormat="1">
      <c r="H157" s="698"/>
      <c r="I157" s="698"/>
    </row>
    <row r="158" spans="8:9" s="321" customFormat="1">
      <c r="H158" s="698"/>
      <c r="I158" s="698"/>
    </row>
    <row r="159" spans="8:9" s="321" customFormat="1">
      <c r="H159" s="698"/>
      <c r="I159" s="698"/>
    </row>
    <row r="160" spans="8:9" s="321" customFormat="1">
      <c r="H160" s="698"/>
      <c r="I160" s="698"/>
    </row>
    <row r="161" spans="8:9" s="321" customFormat="1">
      <c r="H161" s="698"/>
      <c r="I161" s="698"/>
    </row>
    <row r="162" spans="8:9" s="321" customFormat="1">
      <c r="H162" s="698"/>
      <c r="I162" s="698"/>
    </row>
    <row r="163" spans="8:9" s="321" customFormat="1">
      <c r="H163" s="698"/>
      <c r="I163" s="698"/>
    </row>
    <row r="164" spans="8:9" s="321" customFormat="1">
      <c r="H164" s="698"/>
      <c r="I164" s="698"/>
    </row>
    <row r="165" spans="8:9" s="321" customFormat="1">
      <c r="H165" s="698"/>
      <c r="I165" s="698"/>
    </row>
    <row r="166" spans="8:9" s="321" customFormat="1">
      <c r="H166" s="698"/>
      <c r="I166" s="698"/>
    </row>
    <row r="167" spans="8:9" s="321" customFormat="1">
      <c r="H167" s="698"/>
      <c r="I167" s="698"/>
    </row>
    <row r="168" spans="8:9" s="321" customFormat="1">
      <c r="H168" s="698"/>
      <c r="I168" s="698"/>
    </row>
    <row r="169" spans="8:9" s="321" customFormat="1">
      <c r="H169" s="698"/>
      <c r="I169" s="698"/>
    </row>
    <row r="170" spans="8:9" s="321" customFormat="1">
      <c r="H170" s="698"/>
      <c r="I170" s="698"/>
    </row>
    <row r="171" spans="8:9" s="321" customFormat="1">
      <c r="H171" s="698"/>
      <c r="I171" s="698"/>
    </row>
    <row r="172" spans="8:9" s="321" customFormat="1">
      <c r="H172" s="698"/>
      <c r="I172" s="698"/>
    </row>
    <row r="173" spans="8:9" s="321" customFormat="1">
      <c r="H173" s="698"/>
      <c r="I173" s="698"/>
    </row>
    <row r="174" spans="8:9" s="321" customFormat="1">
      <c r="H174" s="698"/>
      <c r="I174" s="698"/>
    </row>
    <row r="175" spans="8:9" s="321" customFormat="1">
      <c r="H175" s="698"/>
      <c r="I175" s="698"/>
    </row>
    <row r="176" spans="8:9" s="321" customFormat="1">
      <c r="H176" s="698"/>
      <c r="I176" s="698"/>
    </row>
    <row r="177" spans="8:9" s="321" customFormat="1">
      <c r="H177" s="698"/>
      <c r="I177" s="698"/>
    </row>
    <row r="178" spans="8:9" s="321" customFormat="1">
      <c r="H178" s="698"/>
      <c r="I178" s="698"/>
    </row>
    <row r="179" spans="8:9" s="321" customFormat="1">
      <c r="H179" s="698"/>
      <c r="I179" s="698"/>
    </row>
    <row r="180" spans="8:9" s="321" customFormat="1">
      <c r="H180" s="698"/>
      <c r="I180" s="698"/>
    </row>
    <row r="181" spans="8:9" s="321" customFormat="1">
      <c r="H181" s="698"/>
      <c r="I181" s="698"/>
    </row>
    <row r="182" spans="8:9" s="321" customFormat="1">
      <c r="H182" s="698"/>
      <c r="I182" s="698"/>
    </row>
    <row r="183" spans="8:9" s="321" customFormat="1">
      <c r="H183" s="698"/>
      <c r="I183" s="698"/>
    </row>
    <row r="184" spans="8:9" s="321" customFormat="1">
      <c r="H184" s="698"/>
      <c r="I184" s="698"/>
    </row>
    <row r="185" spans="8:9" s="321" customFormat="1">
      <c r="H185" s="698"/>
      <c r="I185" s="698"/>
    </row>
    <row r="186" spans="8:9" s="321" customFormat="1">
      <c r="H186" s="698"/>
      <c r="I186" s="698"/>
    </row>
    <row r="187" spans="8:9" s="321" customFormat="1">
      <c r="H187" s="698"/>
      <c r="I187" s="698"/>
    </row>
    <row r="188" spans="8:9" s="321" customFormat="1">
      <c r="H188" s="698"/>
      <c r="I188" s="698"/>
    </row>
    <row r="189" spans="8:9" s="321" customFormat="1">
      <c r="H189" s="698"/>
      <c r="I189" s="698"/>
    </row>
    <row r="190" spans="8:9" s="321" customFormat="1">
      <c r="H190" s="698"/>
      <c r="I190" s="698"/>
    </row>
  </sheetData>
  <sheetProtection formatColumns="0"/>
  <mergeCells count="1">
    <mergeCell ref="D1:E1"/>
  </mergeCells>
  <phoneticPr fontId="0" type="noConversion"/>
  <pageMargins left="0.75" right="0.75" top="1" bottom="1" header="0.5" footer="0.5"/>
  <pageSetup scale="7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Y63"/>
  <sheetViews>
    <sheetView topLeftCell="A18" zoomScale="90" zoomScaleNormal="90" workbookViewId="0">
      <selection activeCell="P57" sqref="P57"/>
    </sheetView>
  </sheetViews>
  <sheetFormatPr defaultColWidth="9.42578125" defaultRowHeight="13.15"/>
  <cols>
    <col min="1" max="1" width="6.5703125" style="334" customWidth="1"/>
    <col min="2" max="2" width="38.42578125" style="327" customWidth="1"/>
    <col min="3" max="3" width="11.5703125" style="327" bestFit="1" customWidth="1"/>
    <col min="4" max="4" width="14.5703125" style="327" customWidth="1"/>
    <col min="5" max="5" width="18.42578125" style="327" customWidth="1"/>
    <col min="6" max="7" width="14.5703125" style="327" customWidth="1"/>
    <col min="8" max="8" width="17.42578125" style="327" customWidth="1"/>
    <col min="9" max="19" width="14.5703125" style="327" customWidth="1"/>
    <col min="20" max="20" width="17.28515625" style="327" customWidth="1"/>
    <col min="21" max="22" width="14.5703125" style="327" customWidth="1"/>
    <col min="23" max="23" width="17.7109375" style="327" customWidth="1"/>
    <col min="24" max="34" width="14.5703125" style="327" customWidth="1"/>
    <col min="35" max="35" width="17.28515625" style="327" customWidth="1"/>
    <col min="36" max="37" width="14.5703125" style="327" customWidth="1"/>
    <col min="38" max="38" width="17.5703125" style="327" customWidth="1"/>
    <col min="39" max="49" width="14.5703125" style="327" customWidth="1"/>
    <col min="50" max="50" width="17.28515625" style="327" customWidth="1"/>
    <col min="51" max="52" width="14.5703125" style="327" customWidth="1"/>
    <col min="53" max="53" width="16.7109375" style="327" customWidth="1"/>
    <col min="54" max="64" width="14.5703125" style="327" customWidth="1"/>
    <col min="65" max="65" width="17.28515625" style="327" customWidth="1"/>
    <col min="66" max="67" width="14.5703125" style="327" customWidth="1"/>
    <col min="68" max="68" width="16.7109375" style="327" customWidth="1"/>
    <col min="69" max="77" width="14.5703125" style="327" customWidth="1"/>
    <col min="78" max="16384" width="9.42578125" style="327"/>
  </cols>
  <sheetData>
    <row r="1" spans="1:77" ht="15.6">
      <c r="A1" s="17" t="s">
        <v>1373</v>
      </c>
      <c r="B1" s="336"/>
      <c r="C1" s="336"/>
      <c r="D1" s="337"/>
      <c r="E1" s="337"/>
      <c r="F1" s="337"/>
      <c r="G1" s="337"/>
    </row>
    <row r="2" spans="1:77" ht="15.6">
      <c r="A2" s="338"/>
      <c r="B2" s="15" t="s">
        <v>1303</v>
      </c>
      <c r="C2" s="15"/>
      <c r="D2" s="397" t="str">
        <f>'Schedule 2_Balance Sheet'!C2</f>
        <v>Tufts Associated Health Plans, Inc. (TAHMO)</v>
      </c>
      <c r="E2" s="398"/>
      <c r="F2" s="398"/>
      <c r="G2" s="398"/>
      <c r="H2" s="399"/>
    </row>
    <row r="3" spans="1:77" ht="15.6">
      <c r="A3" s="339"/>
      <c r="B3" s="15" t="s">
        <v>1285</v>
      </c>
      <c r="C3" s="15"/>
      <c r="D3" s="520" t="str">
        <f>'Schedule 2_Balance Sheet'!C3</f>
        <v>01/01/2024 - 12/31/2024</v>
      </c>
      <c r="E3" s="521"/>
      <c r="F3" s="521"/>
      <c r="G3" s="521"/>
      <c r="H3" s="522"/>
    </row>
    <row r="4" spans="1:77" s="329" customFormat="1" ht="18" customHeight="1">
      <c r="A4" s="237"/>
      <c r="B4" s="15" t="s">
        <v>1306</v>
      </c>
      <c r="C4" s="15"/>
      <c r="D4" s="401">
        <f>'Schedule 2_Balance Sheet'!C4</f>
        <v>45657</v>
      </c>
      <c r="E4" s="398"/>
      <c r="F4" s="398"/>
      <c r="G4" s="398"/>
      <c r="H4" s="399"/>
      <c r="I4" s="328"/>
      <c r="J4" s="328"/>
      <c r="K4" s="328"/>
      <c r="L4" s="328"/>
      <c r="M4" s="328"/>
      <c r="U4" s="328"/>
      <c r="V4" s="328"/>
      <c r="X4" s="328"/>
      <c r="AF4" s="328"/>
      <c r="AG4" s="328"/>
      <c r="AI4" s="328"/>
      <c r="AP4" s="328"/>
      <c r="AQ4" s="328"/>
      <c r="AR4" s="328"/>
      <c r="AS4" s="328"/>
      <c r="AT4" s="328"/>
    </row>
    <row r="5" spans="1:77" s="329" customFormat="1" ht="15.6">
      <c r="A5" s="237"/>
      <c r="B5" s="15" t="s">
        <v>1307</v>
      </c>
      <c r="C5" s="15"/>
      <c r="D5" s="397" t="str">
        <f>'Schedule 2_Balance Sheet'!C5</f>
        <v>Roshni Parikh</v>
      </c>
      <c r="E5" s="398"/>
      <c r="F5" s="398"/>
      <c r="G5" s="398"/>
      <c r="H5" s="399"/>
    </row>
    <row r="6" spans="1:77" s="329" customFormat="1" ht="15.6">
      <c r="A6" s="238"/>
      <c r="B6" s="15" t="s">
        <v>1288</v>
      </c>
      <c r="C6" s="15"/>
      <c r="D6" s="401">
        <f>'Schedule 2_Balance Sheet'!C6</f>
        <v>45657</v>
      </c>
      <c r="E6" s="398"/>
      <c r="F6" s="398"/>
      <c r="G6" s="398"/>
      <c r="H6" s="399"/>
    </row>
    <row r="7" spans="1:77" s="329" customFormat="1" ht="18" customHeight="1">
      <c r="A7" s="237" t="s">
        <v>1374</v>
      </c>
      <c r="B7" s="239"/>
      <c r="C7" s="239"/>
      <c r="D7" s="145"/>
      <c r="E7" s="145"/>
      <c r="F7" s="145"/>
      <c r="G7" s="145"/>
    </row>
    <row r="8" spans="1:77" s="329" customFormat="1" ht="18" customHeight="1">
      <c r="A8" s="237" t="s">
        <v>1375</v>
      </c>
      <c r="B8" s="239"/>
      <c r="C8" s="239"/>
      <c r="D8" s="145"/>
      <c r="E8" s="145"/>
      <c r="F8" s="145"/>
      <c r="G8" s="145"/>
    </row>
    <row r="9" spans="1:77" s="329" customFormat="1" ht="18" customHeight="1">
      <c r="A9" s="330" t="s">
        <v>1289</v>
      </c>
    </row>
    <row r="10" spans="1:77" s="329" customFormat="1" ht="11.25" customHeight="1">
      <c r="A10" s="331"/>
      <c r="P10" s="696"/>
      <c r="AE10" s="696"/>
    </row>
    <row r="11" spans="1:77" s="329" customFormat="1" ht="14.25" customHeight="1">
      <c r="A11" s="330"/>
      <c r="P11" s="696"/>
      <c r="AE11" s="696"/>
      <c r="AT11" s="696"/>
      <c r="BX11" s="696"/>
    </row>
    <row r="12" spans="1:77" s="329" customFormat="1" ht="15" customHeight="1">
      <c r="A12" s="331"/>
      <c r="P12" s="696"/>
      <c r="Q12" s="696"/>
      <c r="AE12" s="696"/>
      <c r="AF12" s="696"/>
      <c r="AT12" s="696"/>
      <c r="AU12" s="696"/>
      <c r="BX12" s="696"/>
      <c r="BY12" s="696"/>
    </row>
    <row r="13" spans="1:77" s="329" customFormat="1" ht="15" customHeight="1">
      <c r="A13" s="227"/>
      <c r="B13" s="146"/>
      <c r="C13" s="627"/>
      <c r="D13" s="151" t="s">
        <v>1291</v>
      </c>
      <c r="E13" s="152"/>
      <c r="F13" s="152"/>
      <c r="G13" s="152"/>
      <c r="H13" s="152"/>
      <c r="I13" s="152"/>
      <c r="J13" s="152"/>
      <c r="K13" s="152"/>
      <c r="L13" s="152"/>
      <c r="M13" s="152"/>
      <c r="N13" s="152"/>
      <c r="O13" s="152"/>
      <c r="P13" s="630"/>
      <c r="Q13" s="630"/>
      <c r="R13" s="145"/>
      <c r="S13" s="147" t="s">
        <v>1298</v>
      </c>
      <c r="T13" s="148"/>
      <c r="U13" s="148"/>
      <c r="V13" s="148"/>
      <c r="W13" s="148"/>
      <c r="X13" s="148"/>
      <c r="Y13" s="148"/>
      <c r="Z13" s="148"/>
      <c r="AA13" s="148"/>
      <c r="AB13" s="148"/>
      <c r="AC13" s="148"/>
      <c r="AD13" s="148"/>
      <c r="AE13" s="149"/>
      <c r="AF13" s="630"/>
      <c r="AG13" s="145"/>
      <c r="AH13" s="147" t="s">
        <v>1299</v>
      </c>
      <c r="AI13" s="148"/>
      <c r="AJ13" s="148"/>
      <c r="AK13" s="148"/>
      <c r="AL13" s="148"/>
      <c r="AM13" s="148"/>
      <c r="AN13" s="148"/>
      <c r="AO13" s="148"/>
      <c r="AP13" s="148"/>
      <c r="AQ13" s="148"/>
      <c r="AR13" s="148"/>
      <c r="AS13" s="148"/>
      <c r="AT13" s="149"/>
      <c r="AU13" s="630"/>
      <c r="AV13" s="145"/>
      <c r="AW13" s="147" t="s">
        <v>1300</v>
      </c>
      <c r="AX13" s="148"/>
      <c r="AY13" s="148"/>
      <c r="AZ13" s="148"/>
      <c r="BA13" s="148"/>
      <c r="BB13" s="148"/>
      <c r="BC13" s="148"/>
      <c r="BD13" s="148"/>
      <c r="BE13" s="148"/>
      <c r="BF13" s="148"/>
      <c r="BG13" s="148"/>
      <c r="BH13" s="148"/>
      <c r="BI13" s="149"/>
      <c r="BJ13" s="630"/>
      <c r="BL13" s="147" t="s">
        <v>1301</v>
      </c>
      <c r="BM13" s="148"/>
      <c r="BN13" s="148"/>
      <c r="BO13" s="148"/>
      <c r="BP13" s="148"/>
      <c r="BQ13" s="148"/>
      <c r="BR13" s="148"/>
      <c r="BS13" s="148"/>
      <c r="BT13" s="148"/>
      <c r="BU13" s="148"/>
      <c r="BV13" s="148"/>
      <c r="BW13" s="148"/>
      <c r="BX13" s="149"/>
      <c r="BY13" s="630"/>
    </row>
    <row r="14" spans="1:77" s="332" customFormat="1" ht="15" customHeight="1">
      <c r="A14" s="125" t="s">
        <v>434</v>
      </c>
      <c r="B14" s="150"/>
      <c r="C14" s="150"/>
      <c r="D14" s="781" t="s">
        <v>1376</v>
      </c>
      <c r="E14" s="781" t="s">
        <v>343</v>
      </c>
      <c r="F14" s="781" t="s">
        <v>345</v>
      </c>
      <c r="G14" s="781" t="s">
        <v>1377</v>
      </c>
      <c r="H14" s="781" t="s">
        <v>349</v>
      </c>
      <c r="I14" s="781" t="s">
        <v>351</v>
      </c>
      <c r="J14" s="781" t="s">
        <v>353</v>
      </c>
      <c r="K14" s="151" t="s">
        <v>1378</v>
      </c>
      <c r="L14" s="152"/>
      <c r="M14" s="152"/>
      <c r="N14" s="152"/>
      <c r="O14" s="148"/>
      <c r="P14" s="783" t="s">
        <v>365</v>
      </c>
      <c r="Q14" s="785" t="s">
        <v>1379</v>
      </c>
      <c r="R14" s="153"/>
      <c r="S14" s="781" t="s">
        <v>1376</v>
      </c>
      <c r="T14" s="781" t="s">
        <v>343</v>
      </c>
      <c r="U14" s="781" t="s">
        <v>345</v>
      </c>
      <c r="V14" s="781" t="s">
        <v>1377</v>
      </c>
      <c r="W14" s="781" t="s">
        <v>349</v>
      </c>
      <c r="X14" s="781" t="s">
        <v>351</v>
      </c>
      <c r="Y14" s="781" t="s">
        <v>353</v>
      </c>
      <c r="Z14" s="151" t="s">
        <v>1378</v>
      </c>
      <c r="AA14" s="152"/>
      <c r="AB14" s="152"/>
      <c r="AC14" s="152"/>
      <c r="AD14" s="148"/>
      <c r="AE14" s="783" t="s">
        <v>365</v>
      </c>
      <c r="AF14" s="785" t="s">
        <v>1379</v>
      </c>
      <c r="AG14" s="153"/>
      <c r="AH14" s="781" t="s">
        <v>1376</v>
      </c>
      <c r="AI14" s="781" t="s">
        <v>343</v>
      </c>
      <c r="AJ14" s="781" t="s">
        <v>345</v>
      </c>
      <c r="AK14" s="781" t="s">
        <v>1377</v>
      </c>
      <c r="AL14" s="781" t="s">
        <v>349</v>
      </c>
      <c r="AM14" s="781" t="s">
        <v>351</v>
      </c>
      <c r="AN14" s="781" t="s">
        <v>353</v>
      </c>
      <c r="AO14" s="151" t="s">
        <v>1378</v>
      </c>
      <c r="AP14" s="152"/>
      <c r="AQ14" s="152"/>
      <c r="AR14" s="152"/>
      <c r="AS14" s="148"/>
      <c r="AT14" s="783" t="s">
        <v>365</v>
      </c>
      <c r="AU14" s="785" t="s">
        <v>1379</v>
      </c>
      <c r="AV14" s="153"/>
      <c r="AW14" s="781" t="s">
        <v>1376</v>
      </c>
      <c r="AX14" s="781" t="s">
        <v>343</v>
      </c>
      <c r="AY14" s="781" t="s">
        <v>345</v>
      </c>
      <c r="AZ14" s="781" t="s">
        <v>1377</v>
      </c>
      <c r="BA14" s="781" t="s">
        <v>349</v>
      </c>
      <c r="BB14" s="781" t="s">
        <v>351</v>
      </c>
      <c r="BC14" s="781" t="s">
        <v>353</v>
      </c>
      <c r="BD14" s="151" t="s">
        <v>1378</v>
      </c>
      <c r="BE14" s="152"/>
      <c r="BF14" s="152"/>
      <c r="BG14" s="152"/>
      <c r="BH14" s="148"/>
      <c r="BI14" s="783" t="s">
        <v>1380</v>
      </c>
      <c r="BJ14" s="785" t="s">
        <v>1379</v>
      </c>
      <c r="BL14" s="781" t="s">
        <v>1376</v>
      </c>
      <c r="BM14" s="781" t="s">
        <v>343</v>
      </c>
      <c r="BN14" s="781" t="s">
        <v>345</v>
      </c>
      <c r="BO14" s="781" t="s">
        <v>1377</v>
      </c>
      <c r="BP14" s="781" t="s">
        <v>349</v>
      </c>
      <c r="BQ14" s="781" t="s">
        <v>351</v>
      </c>
      <c r="BR14" s="781" t="s">
        <v>353</v>
      </c>
      <c r="BS14" s="151" t="s">
        <v>1378</v>
      </c>
      <c r="BT14" s="152"/>
      <c r="BU14" s="152"/>
      <c r="BV14" s="152"/>
      <c r="BW14" s="148"/>
      <c r="BX14" s="783" t="s">
        <v>1380</v>
      </c>
      <c r="BY14" s="785" t="s">
        <v>1379</v>
      </c>
    </row>
    <row r="15" spans="1:77" s="333" customFormat="1" ht="35.65" customHeight="1">
      <c r="A15" s="127" t="s">
        <v>437</v>
      </c>
      <c r="B15" s="154"/>
      <c r="C15" s="154"/>
      <c r="D15" s="782"/>
      <c r="E15" s="782"/>
      <c r="F15" s="782"/>
      <c r="G15" s="782"/>
      <c r="H15" s="782"/>
      <c r="I15" s="782"/>
      <c r="J15" s="782"/>
      <c r="K15" s="618" t="s">
        <v>355</v>
      </c>
      <c r="L15" s="632" t="s">
        <v>1381</v>
      </c>
      <c r="M15" s="618" t="s">
        <v>1382</v>
      </c>
      <c r="N15" s="618" t="s">
        <v>361</v>
      </c>
      <c r="O15" s="618" t="s">
        <v>1383</v>
      </c>
      <c r="P15" s="784"/>
      <c r="Q15" s="786"/>
      <c r="R15" s="155"/>
      <c r="S15" s="782"/>
      <c r="T15" s="782"/>
      <c r="U15" s="782"/>
      <c r="V15" s="782"/>
      <c r="W15" s="782"/>
      <c r="X15" s="782"/>
      <c r="Y15" s="782"/>
      <c r="Z15" s="618" t="s">
        <v>355</v>
      </c>
      <c r="AA15" s="632" t="s">
        <v>1381</v>
      </c>
      <c r="AB15" s="618" t="s">
        <v>1382</v>
      </c>
      <c r="AC15" s="618" t="s">
        <v>361</v>
      </c>
      <c r="AD15" s="618" t="s">
        <v>1383</v>
      </c>
      <c r="AE15" s="784"/>
      <c r="AF15" s="786"/>
      <c r="AG15" s="155"/>
      <c r="AH15" s="782"/>
      <c r="AI15" s="782"/>
      <c r="AJ15" s="782"/>
      <c r="AK15" s="782"/>
      <c r="AL15" s="782"/>
      <c r="AM15" s="782"/>
      <c r="AN15" s="782"/>
      <c r="AO15" s="618" t="s">
        <v>355</v>
      </c>
      <c r="AP15" s="632" t="s">
        <v>1381</v>
      </c>
      <c r="AQ15" s="618" t="s">
        <v>1382</v>
      </c>
      <c r="AR15" s="618" t="s">
        <v>361</v>
      </c>
      <c r="AS15" s="618" t="s">
        <v>1383</v>
      </c>
      <c r="AT15" s="784"/>
      <c r="AU15" s="786"/>
      <c r="AV15" s="155"/>
      <c r="AW15" s="782"/>
      <c r="AX15" s="782"/>
      <c r="AY15" s="782"/>
      <c r="AZ15" s="782"/>
      <c r="BA15" s="782"/>
      <c r="BB15" s="782"/>
      <c r="BC15" s="782"/>
      <c r="BD15" s="618" t="s">
        <v>355</v>
      </c>
      <c r="BE15" s="632" t="s">
        <v>1381</v>
      </c>
      <c r="BF15" s="618" t="s">
        <v>1382</v>
      </c>
      <c r="BG15" s="618" t="s">
        <v>361</v>
      </c>
      <c r="BH15" s="618" t="s">
        <v>1383</v>
      </c>
      <c r="BI15" s="784"/>
      <c r="BJ15" s="786"/>
      <c r="BL15" s="782"/>
      <c r="BM15" s="782"/>
      <c r="BN15" s="782"/>
      <c r="BO15" s="782"/>
      <c r="BP15" s="782"/>
      <c r="BQ15" s="782"/>
      <c r="BR15" s="782"/>
      <c r="BS15" s="618" t="s">
        <v>355</v>
      </c>
      <c r="BT15" s="632" t="s">
        <v>1381</v>
      </c>
      <c r="BU15" s="618" t="s">
        <v>1382</v>
      </c>
      <c r="BV15" s="618" t="s">
        <v>361</v>
      </c>
      <c r="BW15" s="618" t="s">
        <v>1383</v>
      </c>
      <c r="BX15" s="784"/>
      <c r="BY15" s="786"/>
    </row>
    <row r="16" spans="1:77" s="329" customFormat="1">
      <c r="A16" s="156"/>
      <c r="B16" s="157" t="s">
        <v>1384</v>
      </c>
      <c r="C16" s="169"/>
      <c r="D16" s="158"/>
      <c r="E16" s="158"/>
      <c r="F16" s="159"/>
      <c r="G16" s="158"/>
      <c r="H16" s="158"/>
      <c r="I16" s="159"/>
      <c r="J16" s="159"/>
      <c r="K16" s="160"/>
      <c r="L16" s="160"/>
      <c r="M16" s="160"/>
      <c r="N16" s="160"/>
      <c r="O16" s="160"/>
      <c r="P16" s="159"/>
      <c r="Q16" s="159"/>
      <c r="R16" s="145"/>
      <c r="S16" s="158"/>
      <c r="T16" s="158"/>
      <c r="U16" s="159"/>
      <c r="V16" s="158"/>
      <c r="W16" s="158"/>
      <c r="X16" s="159"/>
      <c r="Y16" s="159"/>
      <c r="Z16" s="160"/>
      <c r="AA16" s="160"/>
      <c r="AB16" s="160"/>
      <c r="AC16" s="160"/>
      <c r="AD16" s="160"/>
      <c r="AE16" s="159"/>
      <c r="AF16" s="934"/>
      <c r="AG16" s="145"/>
      <c r="AH16" s="158"/>
      <c r="AI16" s="158"/>
      <c r="AJ16" s="159"/>
      <c r="AK16" s="158"/>
      <c r="AL16" s="158"/>
      <c r="AM16" s="159"/>
      <c r="AN16" s="159"/>
      <c r="AO16" s="160"/>
      <c r="AP16" s="160"/>
      <c r="AQ16" s="160"/>
      <c r="AR16" s="160"/>
      <c r="AS16" s="160"/>
      <c r="AT16" s="159"/>
      <c r="AU16" s="934"/>
      <c r="AV16" s="145"/>
      <c r="AW16" s="158"/>
      <c r="AX16" s="158"/>
      <c r="AY16" s="159"/>
      <c r="AZ16" s="158"/>
      <c r="BA16" s="158"/>
      <c r="BB16" s="159"/>
      <c r="BC16" s="159"/>
      <c r="BD16" s="160"/>
      <c r="BE16" s="160"/>
      <c r="BF16" s="160"/>
      <c r="BG16" s="160"/>
      <c r="BH16" s="160"/>
      <c r="BI16" s="159"/>
      <c r="BJ16" s="934"/>
      <c r="BL16" s="158"/>
      <c r="BM16" s="158"/>
      <c r="BN16" s="159"/>
      <c r="BO16" s="158"/>
      <c r="BP16" s="158"/>
      <c r="BQ16" s="159"/>
      <c r="BR16" s="159"/>
      <c r="BS16" s="160"/>
      <c r="BT16" s="160"/>
      <c r="BU16" s="160"/>
      <c r="BV16" s="160"/>
      <c r="BW16" s="160"/>
      <c r="BX16" s="159"/>
      <c r="BY16" s="934"/>
    </row>
    <row r="17" spans="1:77" s="329" customFormat="1">
      <c r="A17" s="161"/>
      <c r="B17" s="162" t="s">
        <v>439</v>
      </c>
      <c r="C17" s="628"/>
      <c r="D17" s="163"/>
      <c r="E17" s="163"/>
      <c r="F17" s="164"/>
      <c r="G17" s="163"/>
      <c r="H17" s="163"/>
      <c r="I17" s="164"/>
      <c r="J17" s="164"/>
      <c r="K17" s="165"/>
      <c r="L17" s="165"/>
      <c r="M17" s="165"/>
      <c r="N17" s="165"/>
      <c r="O17" s="165"/>
      <c r="P17" s="164"/>
      <c r="Q17" s="164"/>
      <c r="R17" s="145"/>
      <c r="S17" s="163"/>
      <c r="T17" s="163"/>
      <c r="U17" s="164"/>
      <c r="V17" s="163"/>
      <c r="W17" s="163"/>
      <c r="X17" s="164"/>
      <c r="Y17" s="164"/>
      <c r="Z17" s="165"/>
      <c r="AA17" s="165"/>
      <c r="AB17" s="165"/>
      <c r="AC17" s="165"/>
      <c r="AD17" s="165"/>
      <c r="AE17" s="164"/>
      <c r="AF17" s="935"/>
      <c r="AG17" s="145"/>
      <c r="AH17" s="163"/>
      <c r="AI17" s="163"/>
      <c r="AJ17" s="164"/>
      <c r="AK17" s="163"/>
      <c r="AL17" s="163"/>
      <c r="AM17" s="164"/>
      <c r="AN17" s="164"/>
      <c r="AO17" s="165"/>
      <c r="AP17" s="165"/>
      <c r="AQ17" s="165"/>
      <c r="AR17" s="165"/>
      <c r="AS17" s="165"/>
      <c r="AT17" s="164"/>
      <c r="AU17" s="935"/>
      <c r="AV17" s="145"/>
      <c r="AW17" s="163"/>
      <c r="AX17" s="163"/>
      <c r="AY17" s="164"/>
      <c r="AZ17" s="163"/>
      <c r="BA17" s="163"/>
      <c r="BB17" s="164"/>
      <c r="BC17" s="164"/>
      <c r="BD17" s="165"/>
      <c r="BE17" s="165"/>
      <c r="BF17" s="165"/>
      <c r="BG17" s="165"/>
      <c r="BH17" s="165"/>
      <c r="BI17" s="164"/>
      <c r="BJ17" s="935"/>
      <c r="BL17" s="163"/>
      <c r="BM17" s="163"/>
      <c r="BN17" s="164"/>
      <c r="BO17" s="163"/>
      <c r="BP17" s="163"/>
      <c r="BQ17" s="164"/>
      <c r="BR17" s="164"/>
      <c r="BS17" s="165"/>
      <c r="BT17" s="165"/>
      <c r="BU17" s="165"/>
      <c r="BV17" s="165"/>
      <c r="BW17" s="165"/>
      <c r="BX17" s="164"/>
      <c r="BY17" s="935"/>
    </row>
    <row r="18" spans="1:77" s="329" customFormat="1">
      <c r="A18" s="166">
        <v>1</v>
      </c>
      <c r="B18" s="120" t="s">
        <v>197</v>
      </c>
      <c r="C18" s="120" t="s">
        <v>375</v>
      </c>
      <c r="D18" s="231">
        <v>12187393.829999996</v>
      </c>
      <c r="E18" s="231"/>
      <c r="F18" s="340">
        <f>SUM(D18:E18)</f>
        <v>12187393.829999996</v>
      </c>
      <c r="G18" s="231">
        <v>3154995.3599999994</v>
      </c>
      <c r="H18" s="231"/>
      <c r="I18" s="340">
        <f>SUM(G18:H18)</f>
        <v>3154995.3599999994</v>
      </c>
      <c r="J18" s="340">
        <f>F18+I18</f>
        <v>15342389.189999996</v>
      </c>
      <c r="K18" s="231">
        <v>3483.2991215859633</v>
      </c>
      <c r="L18" s="231"/>
      <c r="M18" s="231"/>
      <c r="N18" s="231"/>
      <c r="O18" s="635"/>
      <c r="P18" s="222">
        <f>SUM(J18:N18)</f>
        <v>15345872.489121582</v>
      </c>
      <c r="Q18" s="936">
        <f>P18-O18-'Schedule 3A_Income Statement'!CO35</f>
        <v>0</v>
      </c>
      <c r="R18" s="223"/>
      <c r="S18" s="231">
        <v>12958149.970000001</v>
      </c>
      <c r="T18" s="231"/>
      <c r="U18" s="340">
        <f>SUM(S18:T18)</f>
        <v>12958149.970000001</v>
      </c>
      <c r="V18" s="231">
        <v>2245038.0299999998</v>
      </c>
      <c r="W18" s="231"/>
      <c r="X18" s="340">
        <f>SUM(V18:W18)</f>
        <v>2245038.0299999998</v>
      </c>
      <c r="Y18" s="340">
        <f>U18+X18</f>
        <v>15203188</v>
      </c>
      <c r="Z18" s="231">
        <v>23823.153329838009</v>
      </c>
      <c r="AA18" s="231"/>
      <c r="AB18" s="231"/>
      <c r="AC18" s="231"/>
      <c r="AD18" s="635"/>
      <c r="AE18" s="222">
        <f>SUM(Y18:AC18)</f>
        <v>15227011.153329838</v>
      </c>
      <c r="AF18" s="936">
        <f>AE18-AD18-'Schedule 3A_Income Statement'!CP35</f>
        <v>0</v>
      </c>
      <c r="AG18" s="223"/>
      <c r="AH18" s="231">
        <v>13627761.23</v>
      </c>
      <c r="AI18" s="231"/>
      <c r="AJ18" s="340">
        <f>SUM(AH18:AI18)</f>
        <v>13627761.23</v>
      </c>
      <c r="AK18" s="231">
        <v>2581013.4900000002</v>
      </c>
      <c r="AL18" s="231"/>
      <c r="AM18" s="340">
        <f>SUM(AK18:AL18)</f>
        <v>2581013.4900000002</v>
      </c>
      <c r="AN18" s="340">
        <f>AJ18+AM18</f>
        <v>16208774.720000001</v>
      </c>
      <c r="AO18" s="231">
        <v>113231.25391254977</v>
      </c>
      <c r="AP18" s="231"/>
      <c r="AQ18" s="231"/>
      <c r="AR18" s="231"/>
      <c r="AS18" s="635"/>
      <c r="AT18" s="222">
        <f>SUM(AN18:AR18)</f>
        <v>16322005.97391255</v>
      </c>
      <c r="AU18" s="936">
        <f>AT18-AS18-'Schedule 3A_Income Statement'!CQ35</f>
        <v>0</v>
      </c>
      <c r="AV18" s="223"/>
      <c r="AW18" s="231">
        <v>13752284.149999999</v>
      </c>
      <c r="AX18" s="231"/>
      <c r="AY18" s="340">
        <f>SUM(AW18:AX18)</f>
        <v>13752284.149999999</v>
      </c>
      <c r="AZ18" s="231">
        <v>3213460.9199999995</v>
      </c>
      <c r="BA18" s="231"/>
      <c r="BB18" s="340">
        <f>SUM(AZ18:BA18)</f>
        <v>3213460.9199999995</v>
      </c>
      <c r="BC18" s="340">
        <f>AY18+BB18</f>
        <v>16965745.069999997</v>
      </c>
      <c r="BD18" s="231">
        <v>331701.71212154411</v>
      </c>
      <c r="BE18" s="231"/>
      <c r="BF18" s="231"/>
      <c r="BG18" s="231"/>
      <c r="BH18" s="635"/>
      <c r="BI18" s="222">
        <f>SUM(BC18:BG18)</f>
        <v>17297446.782121539</v>
      </c>
      <c r="BJ18" s="936">
        <f>BI18-BH18-'Schedule 3A_Income Statement'!CR35</f>
        <v>0</v>
      </c>
      <c r="BL18" s="340">
        <f>D18+S18+AH18+AW18</f>
        <v>52525589.18</v>
      </c>
      <c r="BM18" s="340">
        <f t="shared" ref="BM18:BM45" si="0">E18+T18+AI18+AX18</f>
        <v>0</v>
      </c>
      <c r="BN18" s="340">
        <f t="shared" ref="BN18:BN45" si="1">F18+U18+AJ18+AY18</f>
        <v>52525589.18</v>
      </c>
      <c r="BO18" s="340">
        <f t="shared" ref="BO18:BO45" si="2">G18+V18+AK18+AZ18</f>
        <v>11194507.799999999</v>
      </c>
      <c r="BP18" s="340">
        <f t="shared" ref="BP18:BP45" si="3">H18+W18+AL18+BA18</f>
        <v>0</v>
      </c>
      <c r="BQ18" s="340">
        <f t="shared" ref="BQ18:BQ45" si="4">I18+X18+AM18+BB18</f>
        <v>11194507.799999999</v>
      </c>
      <c r="BR18" s="340">
        <f t="shared" ref="BR18:BR45" si="5">J18+Y18+AN18+BC18</f>
        <v>63720096.979999989</v>
      </c>
      <c r="BS18" s="340">
        <f t="shared" ref="BS18:BS45" si="6">K18+Z18+AO18+BD18</f>
        <v>472239.41848551785</v>
      </c>
      <c r="BT18" s="340">
        <f t="shared" ref="BT18:BT45" si="7">L18+AA18+AP18+BE18</f>
        <v>0</v>
      </c>
      <c r="BU18" s="340">
        <f t="shared" ref="BU18:BU45" si="8">M18+AB18+AQ18+BF18</f>
        <v>0</v>
      </c>
      <c r="BV18" s="340">
        <f t="shared" ref="BV18:BV45" si="9">N18+AC18+AR18+BG18</f>
        <v>0</v>
      </c>
      <c r="BW18" s="340">
        <f t="shared" ref="BW18:BW45" si="10">O18+AD18+AS18+BH18</f>
        <v>0</v>
      </c>
      <c r="BX18" s="340">
        <f t="shared" ref="BX18:BX45" si="11">P18+AE18+AT18+BI18</f>
        <v>64192336.398485512</v>
      </c>
      <c r="BY18" s="340">
        <f t="shared" ref="BY18:BY45" si="12">Q18+AF18+AU18+BJ18</f>
        <v>0</v>
      </c>
    </row>
    <row r="19" spans="1:77" s="329" customFormat="1">
      <c r="A19" s="167">
        <v>2</v>
      </c>
      <c r="B19" s="122" t="s">
        <v>199</v>
      </c>
      <c r="C19" s="122" t="s">
        <v>375</v>
      </c>
      <c r="D19" s="231">
        <v>591760.79</v>
      </c>
      <c r="E19" s="231"/>
      <c r="F19" s="340">
        <f t="shared" ref="F19:F52" si="13">SUM(D19:E19)</f>
        <v>591760.79</v>
      </c>
      <c r="G19" s="231">
        <v>32176</v>
      </c>
      <c r="H19" s="231"/>
      <c r="I19" s="340">
        <f t="shared" ref="I19:I45" si="14">SUM(G19:H19)</f>
        <v>32176</v>
      </c>
      <c r="J19" s="340">
        <f t="shared" ref="J19:J45" si="15">F19+I19</f>
        <v>623936.79</v>
      </c>
      <c r="K19" s="231">
        <v>161.31406787302353</v>
      </c>
      <c r="L19" s="231"/>
      <c r="M19" s="231"/>
      <c r="N19" s="231"/>
      <c r="O19" s="635"/>
      <c r="P19" s="222">
        <f t="shared" ref="P19:P45" si="16">SUM(J19:N19)</f>
        <v>624098.10406787309</v>
      </c>
      <c r="Q19" s="936">
        <f>P19-O19-'Schedule 3A_Income Statement'!CO36</f>
        <v>0</v>
      </c>
      <c r="R19" s="223"/>
      <c r="S19" s="231">
        <v>525908.55000000005</v>
      </c>
      <c r="T19" s="231"/>
      <c r="U19" s="340">
        <f t="shared" ref="U19:U45" si="17">SUM(S19:T19)</f>
        <v>525908.55000000005</v>
      </c>
      <c r="V19" s="231">
        <v>70114.34</v>
      </c>
      <c r="W19" s="231"/>
      <c r="X19" s="340">
        <f t="shared" ref="X19:X45" si="18">SUM(V19:W19)</f>
        <v>70114.34</v>
      </c>
      <c r="Y19" s="340">
        <f t="shared" ref="Y19:Y45" si="19">U19+X19</f>
        <v>596022.89</v>
      </c>
      <c r="Z19" s="231">
        <v>947.27561180894395</v>
      </c>
      <c r="AA19" s="231"/>
      <c r="AB19" s="231"/>
      <c r="AC19" s="231"/>
      <c r="AD19" s="635"/>
      <c r="AE19" s="222">
        <f t="shared" ref="AE19:AE45" si="20">SUM(Y19:AC19)</f>
        <v>596970.165611809</v>
      </c>
      <c r="AF19" s="936">
        <f>AE19-AD19-'Schedule 3A_Income Statement'!CP36</f>
        <v>0</v>
      </c>
      <c r="AG19" s="223"/>
      <c r="AH19" s="231">
        <v>410371.10000000003</v>
      </c>
      <c r="AI19" s="231"/>
      <c r="AJ19" s="340">
        <f t="shared" ref="AJ19:AJ45" si="21">SUM(AH19:AI19)</f>
        <v>410371.10000000003</v>
      </c>
      <c r="AK19" s="231">
        <v>36623.480000000003</v>
      </c>
      <c r="AL19" s="231"/>
      <c r="AM19" s="340">
        <f t="shared" ref="AM19:AM45" si="22">SUM(AK19:AL19)</f>
        <v>36623.480000000003</v>
      </c>
      <c r="AN19" s="340">
        <f t="shared" ref="AN19:AN45" si="23">AJ19+AM19</f>
        <v>446994.58</v>
      </c>
      <c r="AO19" s="231">
        <v>3203.9176978478617</v>
      </c>
      <c r="AP19" s="231"/>
      <c r="AQ19" s="231"/>
      <c r="AR19" s="231"/>
      <c r="AS19" s="635"/>
      <c r="AT19" s="222">
        <f t="shared" ref="AT19:AT45" si="24">SUM(AN19:AR19)</f>
        <v>450198.4976978479</v>
      </c>
      <c r="AU19" s="936">
        <f>AT19-AS19-'Schedule 3A_Income Statement'!CQ36</f>
        <v>0</v>
      </c>
      <c r="AV19" s="223"/>
      <c r="AW19" s="231">
        <v>444807.45999999996</v>
      </c>
      <c r="AX19" s="231"/>
      <c r="AY19" s="340">
        <f t="shared" ref="AY19:AY45" si="25">SUM(AW19:AX19)</f>
        <v>444807.45999999996</v>
      </c>
      <c r="AZ19" s="231">
        <v>43052.729999999996</v>
      </c>
      <c r="BA19" s="231"/>
      <c r="BB19" s="340">
        <f t="shared" ref="BB19:BB45" si="26">SUM(AZ19:BA19)</f>
        <v>43052.729999999996</v>
      </c>
      <c r="BC19" s="340">
        <f t="shared" ref="BC19:BC45" si="27">AY19+BB19</f>
        <v>487860.18999999994</v>
      </c>
      <c r="BD19" s="231">
        <v>9768.6540962806575</v>
      </c>
      <c r="BE19" s="231"/>
      <c r="BF19" s="231"/>
      <c r="BG19" s="231"/>
      <c r="BH19" s="635"/>
      <c r="BI19" s="222">
        <f t="shared" ref="BI19:BI45" si="28">SUM(BC19:BG19)</f>
        <v>497628.84409628058</v>
      </c>
      <c r="BJ19" s="936">
        <f>BI19-BH19-'Schedule 3A_Income Statement'!CR36</f>
        <v>0</v>
      </c>
      <c r="BL19" s="340">
        <f t="shared" ref="BL19:BL45" si="29">D19+S19+AH19+AW19</f>
        <v>1972847.9000000001</v>
      </c>
      <c r="BM19" s="340">
        <f t="shared" si="0"/>
        <v>0</v>
      </c>
      <c r="BN19" s="340">
        <f t="shared" si="1"/>
        <v>1972847.9000000001</v>
      </c>
      <c r="BO19" s="340">
        <f t="shared" si="2"/>
        <v>181966.55</v>
      </c>
      <c r="BP19" s="340">
        <f t="shared" si="3"/>
        <v>0</v>
      </c>
      <c r="BQ19" s="340">
        <f t="shared" si="4"/>
        <v>181966.55</v>
      </c>
      <c r="BR19" s="340">
        <f t="shared" si="5"/>
        <v>2154814.4500000002</v>
      </c>
      <c r="BS19" s="340">
        <f t="shared" si="6"/>
        <v>14081.161473810487</v>
      </c>
      <c r="BT19" s="340">
        <f t="shared" si="7"/>
        <v>0</v>
      </c>
      <c r="BU19" s="340">
        <f t="shared" si="8"/>
        <v>0</v>
      </c>
      <c r="BV19" s="340">
        <f t="shared" si="9"/>
        <v>0</v>
      </c>
      <c r="BW19" s="340">
        <f t="shared" si="10"/>
        <v>0</v>
      </c>
      <c r="BX19" s="340">
        <f t="shared" si="11"/>
        <v>2168895.6114738104</v>
      </c>
      <c r="BY19" s="340">
        <f t="shared" si="12"/>
        <v>0</v>
      </c>
    </row>
    <row r="20" spans="1:77" s="329" customFormat="1">
      <c r="A20" s="166">
        <v>3</v>
      </c>
      <c r="B20" s="120" t="s">
        <v>200</v>
      </c>
      <c r="C20" s="120" t="s">
        <v>381</v>
      </c>
      <c r="D20" s="231">
        <v>8289440.8600000041</v>
      </c>
      <c r="E20" s="231"/>
      <c r="F20" s="340">
        <f t="shared" si="13"/>
        <v>8289440.8600000041</v>
      </c>
      <c r="G20" s="231">
        <v>3507667.4899999998</v>
      </c>
      <c r="H20" s="231"/>
      <c r="I20" s="340">
        <f t="shared" si="14"/>
        <v>3507667.4899999998</v>
      </c>
      <c r="J20" s="340">
        <f t="shared" si="15"/>
        <v>11797108.350000003</v>
      </c>
      <c r="K20" s="231">
        <v>2457.1930818972733</v>
      </c>
      <c r="L20" s="231"/>
      <c r="M20" s="231"/>
      <c r="N20" s="231"/>
      <c r="O20" s="635"/>
      <c r="P20" s="222">
        <f t="shared" si="16"/>
        <v>11799565.5430819</v>
      </c>
      <c r="Q20" s="936">
        <f>P20-O20-'Schedule 3A_Income Statement'!CO37</f>
        <v>0</v>
      </c>
      <c r="R20" s="223"/>
      <c r="S20" s="231">
        <v>9871502.5100000091</v>
      </c>
      <c r="T20" s="231"/>
      <c r="U20" s="340">
        <f t="shared" si="17"/>
        <v>9871502.5100000091</v>
      </c>
      <c r="V20" s="231">
        <v>3759889.38</v>
      </c>
      <c r="W20" s="231"/>
      <c r="X20" s="340">
        <f t="shared" si="18"/>
        <v>3759889.38</v>
      </c>
      <c r="Y20" s="340">
        <f t="shared" si="19"/>
        <v>13631391.890000008</v>
      </c>
      <c r="Z20" s="231">
        <v>20060.451587056607</v>
      </c>
      <c r="AA20" s="231"/>
      <c r="AB20" s="231"/>
      <c r="AC20" s="231"/>
      <c r="AD20" s="635"/>
      <c r="AE20" s="222">
        <f t="shared" si="20"/>
        <v>13651452.341587065</v>
      </c>
      <c r="AF20" s="936">
        <f>AE20-AD20-'Schedule 3A_Income Statement'!CP37</f>
        <v>0</v>
      </c>
      <c r="AG20" s="223"/>
      <c r="AH20" s="231">
        <v>10234409.260000002</v>
      </c>
      <c r="AI20" s="231"/>
      <c r="AJ20" s="340">
        <f t="shared" si="21"/>
        <v>10234409.260000002</v>
      </c>
      <c r="AK20" s="231">
        <v>3940821.5399999996</v>
      </c>
      <c r="AL20" s="231"/>
      <c r="AM20" s="340">
        <f t="shared" si="22"/>
        <v>3940821.5399999996</v>
      </c>
      <c r="AN20" s="340">
        <f t="shared" si="23"/>
        <v>14175230.800000001</v>
      </c>
      <c r="AO20" s="231">
        <v>95063.879870076213</v>
      </c>
      <c r="AP20" s="231"/>
      <c r="AQ20" s="231"/>
      <c r="AR20" s="231"/>
      <c r="AS20" s="635"/>
      <c r="AT20" s="222">
        <f t="shared" si="24"/>
        <v>14270294.679870076</v>
      </c>
      <c r="AU20" s="936">
        <f>AT20-AS20-'Schedule 3A_Income Statement'!CQ37</f>
        <v>0</v>
      </c>
      <c r="AV20" s="223"/>
      <c r="AW20" s="231">
        <v>10801915.619999999</v>
      </c>
      <c r="AX20" s="231"/>
      <c r="AY20" s="340">
        <f t="shared" si="25"/>
        <v>10801915.619999999</v>
      </c>
      <c r="AZ20" s="231">
        <v>3625785.850000001</v>
      </c>
      <c r="BA20" s="231"/>
      <c r="BB20" s="340">
        <f t="shared" si="26"/>
        <v>3625785.850000001</v>
      </c>
      <c r="BC20" s="340">
        <f t="shared" si="27"/>
        <v>14427701.470000001</v>
      </c>
      <c r="BD20" s="231">
        <v>277911.06634396093</v>
      </c>
      <c r="BE20" s="231"/>
      <c r="BF20" s="231"/>
      <c r="BG20" s="231"/>
      <c r="BH20" s="635"/>
      <c r="BI20" s="222">
        <f t="shared" si="28"/>
        <v>14705612.536343962</v>
      </c>
      <c r="BJ20" s="936">
        <f>BI20-BH20-'Schedule 3A_Income Statement'!CR37</f>
        <v>0</v>
      </c>
      <c r="BL20" s="340">
        <f t="shared" si="29"/>
        <v>39197268.250000015</v>
      </c>
      <c r="BM20" s="340">
        <f t="shared" si="0"/>
        <v>0</v>
      </c>
      <c r="BN20" s="340">
        <f t="shared" si="1"/>
        <v>39197268.250000015</v>
      </c>
      <c r="BO20" s="340">
        <f t="shared" si="2"/>
        <v>14834164.26</v>
      </c>
      <c r="BP20" s="340">
        <f t="shared" si="3"/>
        <v>0</v>
      </c>
      <c r="BQ20" s="340">
        <f t="shared" si="4"/>
        <v>14834164.26</v>
      </c>
      <c r="BR20" s="340">
        <f t="shared" si="5"/>
        <v>54031432.510000005</v>
      </c>
      <c r="BS20" s="340">
        <f t="shared" si="6"/>
        <v>395492.59088299103</v>
      </c>
      <c r="BT20" s="340">
        <f t="shared" si="7"/>
        <v>0</v>
      </c>
      <c r="BU20" s="340">
        <f t="shared" si="8"/>
        <v>0</v>
      </c>
      <c r="BV20" s="340">
        <f t="shared" si="9"/>
        <v>0</v>
      </c>
      <c r="BW20" s="340">
        <f t="shared" si="10"/>
        <v>0</v>
      </c>
      <c r="BX20" s="340">
        <f t="shared" si="11"/>
        <v>54426925.100883007</v>
      </c>
      <c r="BY20" s="340">
        <f t="shared" si="12"/>
        <v>0</v>
      </c>
    </row>
    <row r="21" spans="1:77" s="329" customFormat="1">
      <c r="A21" s="167">
        <v>4</v>
      </c>
      <c r="B21" s="122" t="s">
        <v>201</v>
      </c>
      <c r="C21" s="937" t="s">
        <v>202</v>
      </c>
      <c r="D21" s="231">
        <v>616230.24999999977</v>
      </c>
      <c r="E21" s="233"/>
      <c r="F21" s="340">
        <f t="shared" si="13"/>
        <v>616230.24999999977</v>
      </c>
      <c r="G21" s="233">
        <v>290521.13000000012</v>
      </c>
      <c r="H21" s="233"/>
      <c r="I21" s="340">
        <f t="shared" si="14"/>
        <v>290521.13000000012</v>
      </c>
      <c r="J21" s="340">
        <f t="shared" si="15"/>
        <v>906751.37999999989</v>
      </c>
      <c r="K21" s="231">
        <v>184.5885932196488</v>
      </c>
      <c r="L21" s="231"/>
      <c r="M21" s="231"/>
      <c r="N21" s="231"/>
      <c r="O21" s="635"/>
      <c r="P21" s="222">
        <f t="shared" si="16"/>
        <v>906935.96859321953</v>
      </c>
      <c r="Q21" s="936">
        <f>P21-O21-'Schedule 3A_Income Statement'!CO38</f>
        <v>0</v>
      </c>
      <c r="R21" s="223"/>
      <c r="S21" s="231">
        <v>705785.04</v>
      </c>
      <c r="T21" s="233"/>
      <c r="U21" s="340">
        <f t="shared" si="17"/>
        <v>705785.04</v>
      </c>
      <c r="V21" s="233">
        <v>243849.28</v>
      </c>
      <c r="W21" s="233"/>
      <c r="X21" s="340">
        <f t="shared" si="18"/>
        <v>243849.28</v>
      </c>
      <c r="Y21" s="340">
        <f t="shared" si="19"/>
        <v>949634.32000000007</v>
      </c>
      <c r="Z21" s="231">
        <v>1410.9709874094838</v>
      </c>
      <c r="AA21" s="231"/>
      <c r="AB21" s="231"/>
      <c r="AC21" s="231"/>
      <c r="AD21" s="635"/>
      <c r="AE21" s="222">
        <f t="shared" si="20"/>
        <v>951045.29098740953</v>
      </c>
      <c r="AF21" s="936">
        <f>AE21-AD21-'Schedule 3A_Income Statement'!CP38</f>
        <v>0</v>
      </c>
      <c r="AG21" s="223"/>
      <c r="AH21" s="231">
        <v>699182.94000000006</v>
      </c>
      <c r="AI21" s="233"/>
      <c r="AJ21" s="340">
        <f t="shared" si="21"/>
        <v>699182.94000000006</v>
      </c>
      <c r="AK21" s="233">
        <v>282067.13999999996</v>
      </c>
      <c r="AL21" s="233"/>
      <c r="AM21" s="340">
        <f t="shared" si="22"/>
        <v>282067.13999999996</v>
      </c>
      <c r="AN21" s="340">
        <f t="shared" si="23"/>
        <v>981250.08000000007</v>
      </c>
      <c r="AO21" s="231">
        <v>6558.7772554285684</v>
      </c>
      <c r="AP21" s="231"/>
      <c r="AQ21" s="231"/>
      <c r="AR21" s="231"/>
      <c r="AS21" s="635"/>
      <c r="AT21" s="222">
        <f t="shared" si="24"/>
        <v>987808.85725542868</v>
      </c>
      <c r="AU21" s="936">
        <f>AT21-AS21-'Schedule 3A_Income Statement'!CQ38</f>
        <v>0</v>
      </c>
      <c r="AV21" s="223"/>
      <c r="AW21" s="231">
        <v>790842.50000000023</v>
      </c>
      <c r="AX21" s="233"/>
      <c r="AY21" s="340">
        <f t="shared" si="25"/>
        <v>790842.50000000023</v>
      </c>
      <c r="AZ21" s="231">
        <v>241998.38999999998</v>
      </c>
      <c r="BA21" s="233"/>
      <c r="BB21" s="340">
        <f t="shared" si="26"/>
        <v>241998.38999999998</v>
      </c>
      <c r="BC21" s="340">
        <f t="shared" si="27"/>
        <v>1032840.8900000002</v>
      </c>
      <c r="BD21" s="231">
        <v>19976.894216143624</v>
      </c>
      <c r="BE21" s="231"/>
      <c r="BF21" s="231"/>
      <c r="BG21" s="231"/>
      <c r="BH21" s="635"/>
      <c r="BI21" s="222">
        <f t="shared" si="28"/>
        <v>1052817.7842161439</v>
      </c>
      <c r="BJ21" s="936">
        <f>BI21-BH21-'Schedule 3A_Income Statement'!CR38</f>
        <v>0</v>
      </c>
      <c r="BL21" s="340">
        <f t="shared" si="29"/>
        <v>2812040.7300000004</v>
      </c>
      <c r="BM21" s="340">
        <f t="shared" si="0"/>
        <v>0</v>
      </c>
      <c r="BN21" s="340">
        <f t="shared" si="1"/>
        <v>2812040.7300000004</v>
      </c>
      <c r="BO21" s="340">
        <f t="shared" si="2"/>
        <v>1058435.94</v>
      </c>
      <c r="BP21" s="340">
        <f t="shared" si="3"/>
        <v>0</v>
      </c>
      <c r="BQ21" s="340">
        <f t="shared" si="4"/>
        <v>1058435.94</v>
      </c>
      <c r="BR21" s="340">
        <f t="shared" si="5"/>
        <v>3870476.6700000004</v>
      </c>
      <c r="BS21" s="340">
        <f t="shared" si="6"/>
        <v>28131.231052201325</v>
      </c>
      <c r="BT21" s="340">
        <f t="shared" si="7"/>
        <v>0</v>
      </c>
      <c r="BU21" s="340">
        <f t="shared" si="8"/>
        <v>0</v>
      </c>
      <c r="BV21" s="340">
        <f t="shared" si="9"/>
        <v>0</v>
      </c>
      <c r="BW21" s="340">
        <f t="shared" si="10"/>
        <v>0</v>
      </c>
      <c r="BX21" s="340">
        <f t="shared" si="11"/>
        <v>3898607.9010522012</v>
      </c>
      <c r="BY21" s="340">
        <f t="shared" si="12"/>
        <v>0</v>
      </c>
    </row>
    <row r="22" spans="1:77" s="329" customFormat="1">
      <c r="A22" s="166">
        <v>5</v>
      </c>
      <c r="B22" s="120" t="s">
        <v>202</v>
      </c>
      <c r="C22" s="679" t="s">
        <v>202</v>
      </c>
      <c r="D22" s="231">
        <v>5427729.7100000009</v>
      </c>
      <c r="E22" s="231"/>
      <c r="F22" s="340">
        <f t="shared" si="13"/>
        <v>5427729.7100000009</v>
      </c>
      <c r="G22" s="231">
        <v>3574703.4800000004</v>
      </c>
      <c r="H22" s="231"/>
      <c r="I22" s="340">
        <f t="shared" si="14"/>
        <v>3574703.4800000004</v>
      </c>
      <c r="J22" s="340">
        <f t="shared" si="15"/>
        <v>9002433.1900000013</v>
      </c>
      <c r="K22" s="231">
        <v>1691.4734526797492</v>
      </c>
      <c r="L22" s="231"/>
      <c r="M22" s="231"/>
      <c r="N22" s="231"/>
      <c r="O22" s="635"/>
      <c r="P22" s="222">
        <f t="shared" si="16"/>
        <v>9004124.6634526812</v>
      </c>
      <c r="Q22" s="936">
        <f>P22-O22-'Schedule 3A_Income Statement'!CO39</f>
        <v>0</v>
      </c>
      <c r="R22" s="223"/>
      <c r="S22" s="231">
        <v>6537967.5899999952</v>
      </c>
      <c r="T22" s="231"/>
      <c r="U22" s="340">
        <f t="shared" si="17"/>
        <v>6537967.5899999952</v>
      </c>
      <c r="V22" s="231">
        <v>2818314.5399999986</v>
      </c>
      <c r="W22" s="231"/>
      <c r="X22" s="340">
        <f t="shared" si="18"/>
        <v>2818314.5399999986</v>
      </c>
      <c r="Y22" s="340">
        <f t="shared" si="19"/>
        <v>9356282.1299999934</v>
      </c>
      <c r="Z22" s="231">
        <v>13592.264236265994</v>
      </c>
      <c r="AA22" s="231"/>
      <c r="AB22" s="231"/>
      <c r="AC22" s="231"/>
      <c r="AD22" s="635"/>
      <c r="AE22" s="222">
        <f t="shared" si="20"/>
        <v>9369874.3942362592</v>
      </c>
      <c r="AF22" s="936">
        <f>AE22-AD22-'Schedule 3A_Income Statement'!CP39</f>
        <v>0</v>
      </c>
      <c r="AG22" s="223"/>
      <c r="AH22" s="231">
        <v>6705861.0100000063</v>
      </c>
      <c r="AI22" s="231"/>
      <c r="AJ22" s="340">
        <f t="shared" si="21"/>
        <v>6705861.0100000063</v>
      </c>
      <c r="AK22" s="231">
        <v>3166781.4899999988</v>
      </c>
      <c r="AL22" s="231"/>
      <c r="AM22" s="340">
        <f t="shared" si="22"/>
        <v>3166781.4899999988</v>
      </c>
      <c r="AN22" s="340">
        <f t="shared" si="23"/>
        <v>9872642.5000000056</v>
      </c>
      <c r="AO22" s="231">
        <v>65216.0704850521</v>
      </c>
      <c r="AP22" s="231"/>
      <c r="AQ22" s="231"/>
      <c r="AR22" s="231"/>
      <c r="AS22" s="635"/>
      <c r="AT22" s="222">
        <f t="shared" si="24"/>
        <v>9937858.5704850573</v>
      </c>
      <c r="AU22" s="936">
        <f>AT22-AS22-'Schedule 3A_Income Statement'!CQ39</f>
        <v>0</v>
      </c>
      <c r="AV22" s="223"/>
      <c r="AW22" s="231">
        <v>7250760.7100000028</v>
      </c>
      <c r="AX22" s="231"/>
      <c r="AY22" s="340">
        <f t="shared" si="25"/>
        <v>7250760.7100000028</v>
      </c>
      <c r="AZ22" s="231">
        <v>2965485.63</v>
      </c>
      <c r="BA22" s="231"/>
      <c r="BB22" s="340">
        <f t="shared" si="26"/>
        <v>2965485.63</v>
      </c>
      <c r="BC22" s="340">
        <f t="shared" si="27"/>
        <v>10216246.340000004</v>
      </c>
      <c r="BD22" s="231">
        <v>194930.49989335705</v>
      </c>
      <c r="BE22" s="231"/>
      <c r="BF22" s="231"/>
      <c r="BG22" s="231"/>
      <c r="BH22" s="635"/>
      <c r="BI22" s="222">
        <f t="shared" si="28"/>
        <v>10411176.83989336</v>
      </c>
      <c r="BJ22" s="936">
        <f>BI22-BH22-'Schedule 3A_Income Statement'!CR39</f>
        <v>0</v>
      </c>
      <c r="BL22" s="340">
        <f t="shared" si="29"/>
        <v>25922319.020000003</v>
      </c>
      <c r="BM22" s="340">
        <f t="shared" si="0"/>
        <v>0</v>
      </c>
      <c r="BN22" s="340">
        <f t="shared" si="1"/>
        <v>25922319.020000003</v>
      </c>
      <c r="BO22" s="340">
        <f t="shared" si="2"/>
        <v>12525285.139999997</v>
      </c>
      <c r="BP22" s="340">
        <f t="shared" si="3"/>
        <v>0</v>
      </c>
      <c r="BQ22" s="340">
        <f t="shared" si="4"/>
        <v>12525285.139999997</v>
      </c>
      <c r="BR22" s="340">
        <f t="shared" si="5"/>
        <v>38447604.160000004</v>
      </c>
      <c r="BS22" s="340">
        <f t="shared" si="6"/>
        <v>275430.3080673549</v>
      </c>
      <c r="BT22" s="340">
        <f t="shared" si="7"/>
        <v>0</v>
      </c>
      <c r="BU22" s="340">
        <f t="shared" si="8"/>
        <v>0</v>
      </c>
      <c r="BV22" s="340">
        <f t="shared" si="9"/>
        <v>0</v>
      </c>
      <c r="BW22" s="340">
        <f t="shared" si="10"/>
        <v>0</v>
      </c>
      <c r="BX22" s="340">
        <f t="shared" si="11"/>
        <v>38723034.468067363</v>
      </c>
      <c r="BY22" s="340">
        <f t="shared" si="12"/>
        <v>0</v>
      </c>
    </row>
    <row r="23" spans="1:77" s="329" customFormat="1">
      <c r="A23" s="166">
        <v>6</v>
      </c>
      <c r="B23" s="120" t="s">
        <v>203</v>
      </c>
      <c r="C23" s="679" t="s">
        <v>202</v>
      </c>
      <c r="D23" s="231">
        <v>0</v>
      </c>
      <c r="E23" s="231"/>
      <c r="F23" s="340">
        <f t="shared" si="13"/>
        <v>0</v>
      </c>
      <c r="G23" s="231">
        <v>319978.31999999995</v>
      </c>
      <c r="H23" s="231"/>
      <c r="I23" s="340">
        <f t="shared" si="14"/>
        <v>319978.31999999995</v>
      </c>
      <c r="J23" s="340">
        <f t="shared" si="15"/>
        <v>319978.31999999995</v>
      </c>
      <c r="K23" s="231">
        <v>20.671846162328666</v>
      </c>
      <c r="L23" s="231"/>
      <c r="M23" s="231"/>
      <c r="N23" s="231"/>
      <c r="O23" s="635"/>
      <c r="P23" s="222">
        <f t="shared" si="16"/>
        <v>319998.9918461623</v>
      </c>
      <c r="Q23" s="936">
        <f>P23-O23-'Schedule 3A_Income Statement'!CO40</f>
        <v>0</v>
      </c>
      <c r="R23" s="223"/>
      <c r="S23" s="231">
        <v>0</v>
      </c>
      <c r="T23" s="231"/>
      <c r="U23" s="340">
        <f t="shared" si="17"/>
        <v>0</v>
      </c>
      <c r="V23" s="231">
        <v>380809.45000000007</v>
      </c>
      <c r="W23" s="231"/>
      <c r="X23" s="340">
        <f t="shared" si="18"/>
        <v>380809.45000000007</v>
      </c>
      <c r="Y23" s="340">
        <f t="shared" si="19"/>
        <v>380809.45000000007</v>
      </c>
      <c r="Z23" s="231">
        <v>355.24050603004287</v>
      </c>
      <c r="AA23" s="231"/>
      <c r="AB23" s="231"/>
      <c r="AC23" s="231"/>
      <c r="AD23" s="635"/>
      <c r="AE23" s="222">
        <f t="shared" si="20"/>
        <v>381164.69050603011</v>
      </c>
      <c r="AF23" s="936">
        <f>AE23-AD23-'Schedule 3A_Income Statement'!CP40</f>
        <v>0</v>
      </c>
      <c r="AG23" s="223"/>
      <c r="AH23" s="231">
        <v>0</v>
      </c>
      <c r="AI23" s="231"/>
      <c r="AJ23" s="340">
        <f t="shared" si="21"/>
        <v>0</v>
      </c>
      <c r="AK23" s="231">
        <v>396446.7</v>
      </c>
      <c r="AL23" s="231"/>
      <c r="AM23" s="340">
        <f t="shared" si="22"/>
        <v>396446.7</v>
      </c>
      <c r="AN23" s="340">
        <f t="shared" si="23"/>
        <v>396446.7</v>
      </c>
      <c r="AO23" s="231">
        <v>1985.2222352682263</v>
      </c>
      <c r="AP23" s="231"/>
      <c r="AQ23" s="231"/>
      <c r="AR23" s="231"/>
      <c r="AS23" s="635"/>
      <c r="AT23" s="222">
        <f t="shared" si="24"/>
        <v>398431.92223526823</v>
      </c>
      <c r="AU23" s="936">
        <f>AT23-AS23-'Schedule 3A_Income Statement'!CQ40</f>
        <v>0</v>
      </c>
      <c r="AV23" s="223"/>
      <c r="AW23" s="231">
        <v>0</v>
      </c>
      <c r="AX23" s="231"/>
      <c r="AY23" s="340">
        <f t="shared" si="25"/>
        <v>0</v>
      </c>
      <c r="AZ23" s="231">
        <v>424197.19000000012</v>
      </c>
      <c r="BA23" s="231"/>
      <c r="BB23" s="340">
        <f t="shared" si="26"/>
        <v>424197.19000000012</v>
      </c>
      <c r="BC23" s="340">
        <f t="shared" si="27"/>
        <v>424197.19000000012</v>
      </c>
      <c r="BD23" s="231">
        <v>6688.5255089060756</v>
      </c>
      <c r="BE23" s="231"/>
      <c r="BF23" s="231"/>
      <c r="BG23" s="231"/>
      <c r="BH23" s="635"/>
      <c r="BI23" s="222">
        <f t="shared" si="28"/>
        <v>430885.71550890617</v>
      </c>
      <c r="BJ23" s="936">
        <f>BI23-BH23-'Schedule 3A_Income Statement'!CR40</f>
        <v>0</v>
      </c>
      <c r="BL23" s="340">
        <f t="shared" si="29"/>
        <v>0</v>
      </c>
      <c r="BM23" s="340">
        <f t="shared" si="0"/>
        <v>0</v>
      </c>
      <c r="BN23" s="340">
        <f t="shared" si="1"/>
        <v>0</v>
      </c>
      <c r="BO23" s="340">
        <f t="shared" si="2"/>
        <v>1521431.6600000001</v>
      </c>
      <c r="BP23" s="340">
        <f t="shared" si="3"/>
        <v>0</v>
      </c>
      <c r="BQ23" s="340">
        <f t="shared" si="4"/>
        <v>1521431.6600000001</v>
      </c>
      <c r="BR23" s="340">
        <f t="shared" si="5"/>
        <v>1521431.6600000001</v>
      </c>
      <c r="BS23" s="340">
        <f t="shared" si="6"/>
        <v>9049.6600963666733</v>
      </c>
      <c r="BT23" s="340">
        <f t="shared" si="7"/>
        <v>0</v>
      </c>
      <c r="BU23" s="340">
        <f t="shared" si="8"/>
        <v>0</v>
      </c>
      <c r="BV23" s="340">
        <f t="shared" si="9"/>
        <v>0</v>
      </c>
      <c r="BW23" s="340">
        <f t="shared" si="10"/>
        <v>0</v>
      </c>
      <c r="BX23" s="340">
        <f t="shared" si="11"/>
        <v>1530481.3200963668</v>
      </c>
      <c r="BY23" s="340">
        <f t="shared" si="12"/>
        <v>0</v>
      </c>
    </row>
    <row r="24" spans="1:77" s="329" customFormat="1">
      <c r="A24" s="938">
        <v>7</v>
      </c>
      <c r="B24" s="122" t="s">
        <v>204</v>
      </c>
      <c r="C24" s="937" t="s">
        <v>204</v>
      </c>
      <c r="D24" s="231">
        <v>2873.11</v>
      </c>
      <c r="E24" s="231"/>
      <c r="F24" s="340">
        <f t="shared" si="13"/>
        <v>2873.11</v>
      </c>
      <c r="G24" s="231">
        <v>3957052.52</v>
      </c>
      <c r="H24" s="231"/>
      <c r="I24" s="340">
        <f t="shared" si="14"/>
        <v>3957052.52</v>
      </c>
      <c r="J24" s="340">
        <f t="shared" si="15"/>
        <v>3959925.63</v>
      </c>
      <c r="K24" s="231">
        <v>0.80928554750698023</v>
      </c>
      <c r="L24" s="231"/>
      <c r="M24" s="231"/>
      <c r="N24" s="231"/>
      <c r="O24" s="635"/>
      <c r="P24" s="222">
        <f t="shared" si="16"/>
        <v>3959926.4392855475</v>
      </c>
      <c r="Q24" s="936">
        <f>P24-O24-'Schedule 3A_Income Statement'!CO41</f>
        <v>0</v>
      </c>
      <c r="R24" s="223"/>
      <c r="S24" s="231">
        <v>1055.8399999999999</v>
      </c>
      <c r="T24" s="231"/>
      <c r="U24" s="340">
        <f t="shared" si="17"/>
        <v>1055.8399999999999</v>
      </c>
      <c r="V24" s="231">
        <v>4451983.1399999997</v>
      </c>
      <c r="W24" s="231"/>
      <c r="X24" s="340">
        <f t="shared" si="18"/>
        <v>4451983.1399999997</v>
      </c>
      <c r="Y24" s="340">
        <f t="shared" si="19"/>
        <v>4453038.9799999995</v>
      </c>
      <c r="Z24" s="231">
        <v>2.0167112343170603</v>
      </c>
      <c r="AA24" s="231"/>
      <c r="AB24" s="231"/>
      <c r="AC24" s="231"/>
      <c r="AD24" s="635"/>
      <c r="AE24" s="222">
        <f t="shared" si="20"/>
        <v>4453040.9967112336</v>
      </c>
      <c r="AF24" s="936">
        <f>AE24-AD24-'Schedule 3A_Income Statement'!CP41</f>
        <v>0</v>
      </c>
      <c r="AG24" s="223"/>
      <c r="AH24" s="231">
        <v>4746.28</v>
      </c>
      <c r="AI24" s="231"/>
      <c r="AJ24" s="340">
        <f t="shared" si="21"/>
        <v>4746.28</v>
      </c>
      <c r="AK24" s="231">
        <v>4332994.62</v>
      </c>
      <c r="AL24" s="231"/>
      <c r="AM24" s="340">
        <f t="shared" si="22"/>
        <v>4332994.62</v>
      </c>
      <c r="AN24" s="340">
        <f t="shared" si="23"/>
        <v>4337740.9000000004</v>
      </c>
      <c r="AO24" s="231">
        <v>41.424421892104455</v>
      </c>
      <c r="AP24" s="231"/>
      <c r="AQ24" s="231"/>
      <c r="AR24" s="231"/>
      <c r="AS24" s="635"/>
      <c r="AT24" s="222">
        <f t="shared" si="24"/>
        <v>4337782.3244218929</v>
      </c>
      <c r="AU24" s="936">
        <f>AT24-AS24-'Schedule 3A_Income Statement'!CQ41</f>
        <v>0</v>
      </c>
      <c r="AV24" s="223"/>
      <c r="AW24" s="231">
        <v>2049.83</v>
      </c>
      <c r="AX24" s="231"/>
      <c r="AY24" s="340">
        <f t="shared" si="25"/>
        <v>2049.83</v>
      </c>
      <c r="AZ24" s="231">
        <v>5071982.88</v>
      </c>
      <c r="BA24" s="231"/>
      <c r="BB24" s="340">
        <f t="shared" si="26"/>
        <v>5071982.88</v>
      </c>
      <c r="BC24" s="340">
        <f t="shared" si="27"/>
        <v>5074032.71</v>
      </c>
      <c r="BD24" s="231">
        <v>47.420026640045151</v>
      </c>
      <c r="BE24" s="231"/>
      <c r="BF24" s="231"/>
      <c r="BG24" s="231"/>
      <c r="BH24" s="635"/>
      <c r="BI24" s="222">
        <f t="shared" si="28"/>
        <v>5074080.1300266404</v>
      </c>
      <c r="BJ24" s="936">
        <f>BI24-BH24-'Schedule 3A_Income Statement'!CR41</f>
        <v>0</v>
      </c>
      <c r="BL24" s="340">
        <f t="shared" si="29"/>
        <v>10725.06</v>
      </c>
      <c r="BM24" s="340">
        <f t="shared" si="0"/>
        <v>0</v>
      </c>
      <c r="BN24" s="340">
        <f t="shared" si="1"/>
        <v>10725.06</v>
      </c>
      <c r="BO24" s="340">
        <f t="shared" si="2"/>
        <v>17814013.16</v>
      </c>
      <c r="BP24" s="340">
        <f t="shared" si="3"/>
        <v>0</v>
      </c>
      <c r="BQ24" s="340">
        <f t="shared" si="4"/>
        <v>17814013.16</v>
      </c>
      <c r="BR24" s="340">
        <f t="shared" si="5"/>
        <v>17824738.219999999</v>
      </c>
      <c r="BS24" s="340">
        <f t="shared" si="6"/>
        <v>91.670445313973644</v>
      </c>
      <c r="BT24" s="340">
        <f t="shared" si="7"/>
        <v>0</v>
      </c>
      <c r="BU24" s="340">
        <f t="shared" si="8"/>
        <v>0</v>
      </c>
      <c r="BV24" s="340">
        <f t="shared" si="9"/>
        <v>0</v>
      </c>
      <c r="BW24" s="340">
        <f t="shared" si="10"/>
        <v>0</v>
      </c>
      <c r="BX24" s="340">
        <f t="shared" si="11"/>
        <v>17824829.890445314</v>
      </c>
      <c r="BY24" s="340">
        <f t="shared" si="12"/>
        <v>0</v>
      </c>
    </row>
    <row r="25" spans="1:77" s="329" customFormat="1">
      <c r="A25" s="939">
        <v>8</v>
      </c>
      <c r="B25" s="120" t="s">
        <v>205</v>
      </c>
      <c r="C25" s="679" t="s">
        <v>202</v>
      </c>
      <c r="D25" s="231">
        <v>144976.74000000002</v>
      </c>
      <c r="E25" s="231"/>
      <c r="F25" s="340">
        <f t="shared" si="13"/>
        <v>144976.74000000002</v>
      </c>
      <c r="G25" s="231">
        <v>298012.04000000015</v>
      </c>
      <c r="H25" s="231"/>
      <c r="I25" s="340">
        <f t="shared" si="14"/>
        <v>298012.04000000015</v>
      </c>
      <c r="J25" s="340">
        <f t="shared" si="15"/>
        <v>442988.78000000014</v>
      </c>
      <c r="K25" s="231">
        <v>58.264153041171298</v>
      </c>
      <c r="L25" s="231"/>
      <c r="M25" s="231"/>
      <c r="N25" s="231"/>
      <c r="O25" s="635"/>
      <c r="P25" s="222">
        <f t="shared" si="16"/>
        <v>443047.04415304132</v>
      </c>
      <c r="Q25" s="936">
        <f>P25-O25-'Schedule 3A_Income Statement'!CO42</f>
        <v>0</v>
      </c>
      <c r="R25" s="223"/>
      <c r="S25" s="231">
        <v>183538.75999999995</v>
      </c>
      <c r="T25" s="231"/>
      <c r="U25" s="340">
        <f t="shared" si="17"/>
        <v>183538.75999999995</v>
      </c>
      <c r="V25" s="231">
        <v>174214.86999999991</v>
      </c>
      <c r="W25" s="231"/>
      <c r="X25" s="340">
        <f t="shared" si="18"/>
        <v>174214.86999999991</v>
      </c>
      <c r="Y25" s="340">
        <f t="shared" si="19"/>
        <v>357753.62999999989</v>
      </c>
      <c r="Z25" s="231">
        <v>470.28415359252</v>
      </c>
      <c r="AA25" s="231"/>
      <c r="AB25" s="231"/>
      <c r="AC25" s="231"/>
      <c r="AD25" s="635"/>
      <c r="AE25" s="222">
        <f t="shared" si="20"/>
        <v>358223.91415359243</v>
      </c>
      <c r="AF25" s="936">
        <f>AE25-AD25-'Schedule 3A_Income Statement'!CP42</f>
        <v>0</v>
      </c>
      <c r="AG25" s="223"/>
      <c r="AH25" s="231">
        <v>201864.41999999998</v>
      </c>
      <c r="AI25" s="231"/>
      <c r="AJ25" s="340">
        <f t="shared" si="21"/>
        <v>201864.41999999998</v>
      </c>
      <c r="AK25" s="231">
        <v>178314.99</v>
      </c>
      <c r="AL25" s="231"/>
      <c r="AM25" s="340">
        <f t="shared" si="22"/>
        <v>178314.99</v>
      </c>
      <c r="AN25" s="340">
        <f t="shared" si="23"/>
        <v>380179.41</v>
      </c>
      <c r="AO25" s="231">
        <v>2378.7362546154263</v>
      </c>
      <c r="AP25" s="231"/>
      <c r="AQ25" s="231"/>
      <c r="AR25" s="231"/>
      <c r="AS25" s="635"/>
      <c r="AT25" s="222">
        <f t="shared" si="24"/>
        <v>382558.14625461539</v>
      </c>
      <c r="AU25" s="936">
        <f>AT25-AS25-'Schedule 3A_Income Statement'!CQ42</f>
        <v>0</v>
      </c>
      <c r="AV25" s="223"/>
      <c r="AW25" s="231">
        <v>206280.73000000016</v>
      </c>
      <c r="AX25" s="231"/>
      <c r="AY25" s="340">
        <f t="shared" si="25"/>
        <v>206280.73000000016</v>
      </c>
      <c r="AZ25" s="231">
        <v>213820.50000000006</v>
      </c>
      <c r="BA25" s="231"/>
      <c r="BB25" s="340">
        <f t="shared" si="26"/>
        <v>213820.50000000006</v>
      </c>
      <c r="BC25" s="340">
        <f t="shared" si="27"/>
        <v>420101.23000000021</v>
      </c>
      <c r="BD25" s="231">
        <v>7586.8431182712848</v>
      </c>
      <c r="BE25" s="231"/>
      <c r="BF25" s="231"/>
      <c r="BG25" s="231"/>
      <c r="BH25" s="635"/>
      <c r="BI25" s="222">
        <f t="shared" si="28"/>
        <v>427688.07311827148</v>
      </c>
      <c r="BJ25" s="936">
        <f>BI25-BH25-'Schedule 3A_Income Statement'!CR42</f>
        <v>0</v>
      </c>
      <c r="BL25" s="340">
        <f t="shared" si="29"/>
        <v>736660.65000000014</v>
      </c>
      <c r="BM25" s="340">
        <f t="shared" si="0"/>
        <v>0</v>
      </c>
      <c r="BN25" s="340">
        <f t="shared" si="1"/>
        <v>736660.65000000014</v>
      </c>
      <c r="BO25" s="340">
        <f t="shared" si="2"/>
        <v>864362.40000000014</v>
      </c>
      <c r="BP25" s="340">
        <f t="shared" si="3"/>
        <v>0</v>
      </c>
      <c r="BQ25" s="340">
        <f t="shared" si="4"/>
        <v>864362.40000000014</v>
      </c>
      <c r="BR25" s="340">
        <f t="shared" si="5"/>
        <v>1601023.0500000003</v>
      </c>
      <c r="BS25" s="340">
        <f t="shared" si="6"/>
        <v>10494.127679520403</v>
      </c>
      <c r="BT25" s="340">
        <f t="shared" si="7"/>
        <v>0</v>
      </c>
      <c r="BU25" s="340">
        <f t="shared" si="8"/>
        <v>0</v>
      </c>
      <c r="BV25" s="340">
        <f t="shared" si="9"/>
        <v>0</v>
      </c>
      <c r="BW25" s="340">
        <f t="shared" si="10"/>
        <v>0</v>
      </c>
      <c r="BX25" s="340">
        <f t="shared" si="11"/>
        <v>1611517.1776795208</v>
      </c>
      <c r="BY25" s="340">
        <f t="shared" si="12"/>
        <v>0</v>
      </c>
    </row>
    <row r="26" spans="1:77" s="329" customFormat="1">
      <c r="A26" s="938">
        <v>9</v>
      </c>
      <c r="B26" s="603" t="s">
        <v>206</v>
      </c>
      <c r="C26" s="937" t="s">
        <v>383</v>
      </c>
      <c r="D26" s="231">
        <f>'Schedule 3A_Income Statement'!CJ43</f>
        <v>10470642</v>
      </c>
      <c r="E26" s="231"/>
      <c r="F26" s="340">
        <f t="shared" si="13"/>
        <v>10470642</v>
      </c>
      <c r="G26" s="231">
        <f>'Schedule 3A_Income Statement'!CE43</f>
        <v>0</v>
      </c>
      <c r="H26" s="231"/>
      <c r="I26" s="340">
        <f t="shared" si="14"/>
        <v>0</v>
      </c>
      <c r="J26" s="340">
        <f t="shared" si="15"/>
        <v>10470642</v>
      </c>
      <c r="K26" s="231">
        <f>'Schedule 3A_Income Statement'!CO43-J26</f>
        <v>0</v>
      </c>
      <c r="L26" s="231"/>
      <c r="M26" s="231"/>
      <c r="N26" s="231"/>
      <c r="O26" s="635"/>
      <c r="P26" s="222">
        <f t="shared" si="16"/>
        <v>10470642</v>
      </c>
      <c r="Q26" s="936">
        <f>P26-O26-'Schedule 3A_Income Statement'!CO43</f>
        <v>0</v>
      </c>
      <c r="R26" s="223"/>
      <c r="S26" s="231">
        <f>'Schedule 3A_Income Statement'!CK43</f>
        <v>10374115</v>
      </c>
      <c r="T26" s="231"/>
      <c r="U26" s="340">
        <f t="shared" si="17"/>
        <v>10374115</v>
      </c>
      <c r="V26" s="231">
        <f>'Schedule 3A_Income Statement'!CF43</f>
        <v>0</v>
      </c>
      <c r="W26" s="231"/>
      <c r="X26" s="340">
        <f t="shared" si="18"/>
        <v>0</v>
      </c>
      <c r="Y26" s="340">
        <f t="shared" si="19"/>
        <v>10374115</v>
      </c>
      <c r="Z26" s="231">
        <f>'Schedule 3A_Income Statement'!CP43-Y26</f>
        <v>0</v>
      </c>
      <c r="AA26" s="231"/>
      <c r="AB26" s="231"/>
      <c r="AC26" s="231"/>
      <c r="AD26" s="635"/>
      <c r="AE26" s="222">
        <f t="shared" si="20"/>
        <v>10374115</v>
      </c>
      <c r="AF26" s="936">
        <f>AE26-AD26-'Schedule 3A_Income Statement'!CP43</f>
        <v>0</v>
      </c>
      <c r="AG26" s="223"/>
      <c r="AH26" s="231">
        <f>'Schedule 3A_Income Statement'!CL43</f>
        <v>11050319</v>
      </c>
      <c r="AI26" s="231"/>
      <c r="AJ26" s="340">
        <f t="shared" si="21"/>
        <v>11050319</v>
      </c>
      <c r="AK26" s="231">
        <f>'Schedule 3A_Income Statement'!CG43</f>
        <v>0</v>
      </c>
      <c r="AL26" s="231"/>
      <c r="AM26" s="340">
        <f t="shared" si="22"/>
        <v>0</v>
      </c>
      <c r="AN26" s="340">
        <f t="shared" si="23"/>
        <v>11050319</v>
      </c>
      <c r="AO26" s="231"/>
      <c r="AP26" s="231"/>
      <c r="AQ26" s="231"/>
      <c r="AR26" s="231"/>
      <c r="AS26" s="635"/>
      <c r="AT26" s="222">
        <f t="shared" si="24"/>
        <v>11050319</v>
      </c>
      <c r="AU26" s="936">
        <f>AT26-AS26-'Schedule 3A_Income Statement'!CQ43</f>
        <v>0</v>
      </c>
      <c r="AV26" s="223"/>
      <c r="AW26" s="231">
        <f>'Schedule 3A_Income Statement'!CM43</f>
        <v>10961164</v>
      </c>
      <c r="AX26" s="231"/>
      <c r="AY26" s="340">
        <f t="shared" si="25"/>
        <v>10961164</v>
      </c>
      <c r="AZ26" s="231">
        <f>'Schedule 3A_Income Statement'!CH43</f>
        <v>0</v>
      </c>
      <c r="BA26" s="231"/>
      <c r="BB26" s="340">
        <f t="shared" si="26"/>
        <v>0</v>
      </c>
      <c r="BC26" s="340">
        <f t="shared" si="27"/>
        <v>10961164</v>
      </c>
      <c r="BD26" s="231"/>
      <c r="BE26" s="231"/>
      <c r="BF26" s="231"/>
      <c r="BG26" s="231"/>
      <c r="BH26" s="635"/>
      <c r="BI26" s="222">
        <f t="shared" si="28"/>
        <v>10961164</v>
      </c>
      <c r="BJ26" s="936">
        <f>BI26-BH26-'Schedule 3A_Income Statement'!CR43</f>
        <v>0</v>
      </c>
      <c r="BL26" s="340">
        <f t="shared" si="29"/>
        <v>42856240</v>
      </c>
      <c r="BM26" s="340">
        <f t="shared" si="0"/>
        <v>0</v>
      </c>
      <c r="BN26" s="340">
        <f t="shared" si="1"/>
        <v>42856240</v>
      </c>
      <c r="BO26" s="340">
        <f t="shared" si="2"/>
        <v>0</v>
      </c>
      <c r="BP26" s="340">
        <f t="shared" si="3"/>
        <v>0</v>
      </c>
      <c r="BQ26" s="340">
        <f t="shared" si="4"/>
        <v>0</v>
      </c>
      <c r="BR26" s="340">
        <f t="shared" si="5"/>
        <v>42856240</v>
      </c>
      <c r="BS26" s="340">
        <f t="shared" si="6"/>
        <v>0</v>
      </c>
      <c r="BT26" s="340">
        <f t="shared" si="7"/>
        <v>0</v>
      </c>
      <c r="BU26" s="340">
        <f t="shared" si="8"/>
        <v>0</v>
      </c>
      <c r="BV26" s="340">
        <f t="shared" si="9"/>
        <v>0</v>
      </c>
      <c r="BW26" s="340">
        <f t="shared" si="10"/>
        <v>0</v>
      </c>
      <c r="BX26" s="340">
        <f t="shared" si="11"/>
        <v>42856240</v>
      </c>
      <c r="BY26" s="340">
        <f t="shared" si="12"/>
        <v>0</v>
      </c>
    </row>
    <row r="27" spans="1:77" s="329" customFormat="1">
      <c r="A27" s="939" t="s">
        <v>449</v>
      </c>
      <c r="B27" s="603" t="s">
        <v>207</v>
      </c>
      <c r="C27" s="679" t="s">
        <v>383</v>
      </c>
      <c r="D27" s="231">
        <f>'Schedule 3A_Income Statement'!CJ44</f>
        <v>7557590.044970179</v>
      </c>
      <c r="E27" s="231"/>
      <c r="F27" s="340">
        <f t="shared" si="13"/>
        <v>7557590.044970179</v>
      </c>
      <c r="G27" s="231">
        <f>'Schedule 3A_Income Statement'!CE44</f>
        <v>2549741.6806111545</v>
      </c>
      <c r="H27" s="231"/>
      <c r="I27" s="340">
        <f t="shared" si="14"/>
        <v>2549741.6806111545</v>
      </c>
      <c r="J27" s="340">
        <f t="shared" si="15"/>
        <v>10107331.725581333</v>
      </c>
      <c r="K27" s="231">
        <f>'Schedule 3A_Income Statement'!CO44-J27</f>
        <v>0</v>
      </c>
      <c r="L27" s="231"/>
      <c r="M27" s="231"/>
      <c r="N27" s="231"/>
      <c r="O27" s="635"/>
      <c r="P27" s="222">
        <f t="shared" si="16"/>
        <v>10107331.725581333</v>
      </c>
      <c r="Q27" s="936">
        <f>P27-O27-'Schedule 3A_Income Statement'!CO44</f>
        <v>0</v>
      </c>
      <c r="R27" s="223"/>
      <c r="S27" s="231">
        <f>'Schedule 3A_Income Statement'!CK44</f>
        <v>8333342.1420380669</v>
      </c>
      <c r="T27" s="231"/>
      <c r="U27" s="340">
        <f t="shared" si="17"/>
        <v>8333342.1420380669</v>
      </c>
      <c r="V27" s="231">
        <f>'Schedule 3A_Income Statement'!CF44</f>
        <v>3092234.2683264334</v>
      </c>
      <c r="W27" s="231"/>
      <c r="X27" s="340">
        <f t="shared" si="18"/>
        <v>3092234.2683264334</v>
      </c>
      <c r="Y27" s="340">
        <f t="shared" si="19"/>
        <v>11425576.410364501</v>
      </c>
      <c r="Z27" s="231">
        <f>'Schedule 3A_Income Statement'!CP44-Y27</f>
        <v>0</v>
      </c>
      <c r="AA27" s="231"/>
      <c r="AB27" s="231"/>
      <c r="AC27" s="231"/>
      <c r="AD27" s="635"/>
      <c r="AE27" s="222">
        <f t="shared" si="20"/>
        <v>11425576.410364501</v>
      </c>
      <c r="AF27" s="936">
        <f>AE27-AD27-'Schedule 3A_Income Statement'!CP44</f>
        <v>0</v>
      </c>
      <c r="AG27" s="223"/>
      <c r="AH27" s="231">
        <f>'Schedule 3A_Income Statement'!CL44</f>
        <v>9198375.1792726945</v>
      </c>
      <c r="AI27" s="231"/>
      <c r="AJ27" s="340">
        <f t="shared" si="21"/>
        <v>9198375.1792726945</v>
      </c>
      <c r="AK27" s="231">
        <f>'Schedule 3A_Income Statement'!CG44</f>
        <v>3258873.870091761</v>
      </c>
      <c r="AL27" s="231"/>
      <c r="AM27" s="340">
        <f t="shared" si="22"/>
        <v>3258873.870091761</v>
      </c>
      <c r="AN27" s="340">
        <f t="shared" si="23"/>
        <v>12457249.049364455</v>
      </c>
      <c r="AO27" s="231"/>
      <c r="AP27" s="231"/>
      <c r="AQ27" s="231"/>
      <c r="AR27" s="231"/>
      <c r="AS27" s="635"/>
      <c r="AT27" s="222">
        <f t="shared" si="24"/>
        <v>12457249.049364455</v>
      </c>
      <c r="AU27" s="936">
        <f>AT27-AS27-'Schedule 3A_Income Statement'!CQ44</f>
        <v>0</v>
      </c>
      <c r="AV27" s="223"/>
      <c r="AW27" s="231">
        <f>'Schedule 3A_Income Statement'!CM44</f>
        <v>10278131.929039486</v>
      </c>
      <c r="AX27" s="231"/>
      <c r="AY27" s="340">
        <f t="shared" si="25"/>
        <v>10278131.929039486</v>
      </c>
      <c r="AZ27" s="231">
        <f>'Schedule 3A_Income Statement'!CH44</f>
        <v>3485731.7114712722</v>
      </c>
      <c r="BA27" s="231"/>
      <c r="BB27" s="340">
        <f t="shared" si="26"/>
        <v>3485731.7114712722</v>
      </c>
      <c r="BC27" s="340">
        <f t="shared" si="27"/>
        <v>13763863.640510758</v>
      </c>
      <c r="BD27" s="231"/>
      <c r="BE27" s="231"/>
      <c r="BF27" s="231"/>
      <c r="BG27" s="231"/>
      <c r="BH27" s="635"/>
      <c r="BI27" s="222">
        <f t="shared" si="28"/>
        <v>13763863.640510758</v>
      </c>
      <c r="BJ27" s="936">
        <f>BI27-BH27-'Schedule 3A_Income Statement'!CR44</f>
        <v>0</v>
      </c>
      <c r="BL27" s="340">
        <f t="shared" si="29"/>
        <v>35367439.295320429</v>
      </c>
      <c r="BM27" s="340">
        <f t="shared" si="0"/>
        <v>0</v>
      </c>
      <c r="BN27" s="340">
        <f t="shared" si="1"/>
        <v>35367439.295320429</v>
      </c>
      <c r="BO27" s="340">
        <f t="shared" si="2"/>
        <v>12386581.530500621</v>
      </c>
      <c r="BP27" s="340">
        <f t="shared" si="3"/>
        <v>0</v>
      </c>
      <c r="BQ27" s="340">
        <f t="shared" si="4"/>
        <v>12386581.530500621</v>
      </c>
      <c r="BR27" s="340">
        <f t="shared" si="5"/>
        <v>47754020.82582105</v>
      </c>
      <c r="BS27" s="340">
        <f t="shared" si="6"/>
        <v>0</v>
      </c>
      <c r="BT27" s="340">
        <f t="shared" si="7"/>
        <v>0</v>
      </c>
      <c r="BU27" s="340">
        <f t="shared" si="8"/>
        <v>0</v>
      </c>
      <c r="BV27" s="340">
        <f t="shared" si="9"/>
        <v>0</v>
      </c>
      <c r="BW27" s="340">
        <f t="shared" si="10"/>
        <v>0</v>
      </c>
      <c r="BX27" s="340">
        <f t="shared" si="11"/>
        <v>47754020.82582105</v>
      </c>
      <c r="BY27" s="340">
        <f t="shared" si="12"/>
        <v>0</v>
      </c>
    </row>
    <row r="28" spans="1:77" s="329" customFormat="1">
      <c r="A28" s="939" t="s">
        <v>451</v>
      </c>
      <c r="B28" s="601" t="s">
        <v>209</v>
      </c>
      <c r="C28" s="679" t="s">
        <v>1385</v>
      </c>
      <c r="D28" s="231">
        <f>'Schedule 3A_Income Statement'!CJ45</f>
        <v>2161242.3454553727</v>
      </c>
      <c r="E28" s="231"/>
      <c r="F28" s="340">
        <f t="shared" si="13"/>
        <v>2161242.3454553727</v>
      </c>
      <c r="G28" s="231">
        <f>'Schedule 3A_Income Statement'!CE45</f>
        <v>1858194.9825156154</v>
      </c>
      <c r="H28" s="231"/>
      <c r="I28" s="340">
        <f t="shared" si="14"/>
        <v>1858194.9825156154</v>
      </c>
      <c r="J28" s="340">
        <f t="shared" si="15"/>
        <v>4019437.3279709881</v>
      </c>
      <c r="K28" s="231">
        <f>'Schedule 3A_Income Statement'!CO45-J28</f>
        <v>0</v>
      </c>
      <c r="L28" s="231"/>
      <c r="M28" s="231"/>
      <c r="N28" s="231"/>
      <c r="O28" s="635"/>
      <c r="P28" s="222">
        <f t="shared" si="16"/>
        <v>4019437.3279709881</v>
      </c>
      <c r="Q28" s="936">
        <f>P28-O28-'Schedule 3A_Income Statement'!CO45</f>
        <v>0</v>
      </c>
      <c r="R28" s="223"/>
      <c r="S28" s="231">
        <f>'Schedule 3A_Income Statement'!CK45</f>
        <v>2936994.442523262</v>
      </c>
      <c r="T28" s="231"/>
      <c r="U28" s="340">
        <f t="shared" si="17"/>
        <v>2936994.442523262</v>
      </c>
      <c r="V28" s="231">
        <f>'Schedule 3A_Income Statement'!CF45</f>
        <v>2397213.9958365969</v>
      </c>
      <c r="W28" s="231"/>
      <c r="X28" s="340">
        <f t="shared" si="18"/>
        <v>2397213.9958365969</v>
      </c>
      <c r="Y28" s="340">
        <f t="shared" si="19"/>
        <v>5334208.4383598585</v>
      </c>
      <c r="Z28" s="231">
        <f>'Schedule 3A_Income Statement'!CP45-Y28</f>
        <v>0</v>
      </c>
      <c r="AA28" s="231"/>
      <c r="AB28" s="231"/>
      <c r="AC28" s="231"/>
      <c r="AD28" s="635"/>
      <c r="AE28" s="222">
        <f t="shared" si="20"/>
        <v>5334208.4383598585</v>
      </c>
      <c r="AF28" s="936">
        <f>AE28-AD28-'Schedule 3A_Income Statement'!CP45</f>
        <v>0</v>
      </c>
      <c r="AG28" s="223"/>
      <c r="AH28" s="231">
        <f>'Schedule 3A_Income Statement'!CL45</f>
        <v>3802027.4797579562</v>
      </c>
      <c r="AI28" s="231"/>
      <c r="AJ28" s="340">
        <f t="shared" si="21"/>
        <v>3802027.4797579562</v>
      </c>
      <c r="AK28" s="231">
        <f>'Schedule 3A_Income Statement'!CG45</f>
        <v>2578927.2748280372</v>
      </c>
      <c r="AL28" s="231"/>
      <c r="AM28" s="340">
        <f t="shared" si="22"/>
        <v>2578927.2748280372</v>
      </c>
      <c r="AN28" s="340">
        <f t="shared" si="23"/>
        <v>6380954.7545859935</v>
      </c>
      <c r="AO28" s="231"/>
      <c r="AP28" s="231"/>
      <c r="AQ28" s="231"/>
      <c r="AR28" s="231"/>
      <c r="AS28" s="635"/>
      <c r="AT28" s="222">
        <f t="shared" si="24"/>
        <v>6380954.7545859935</v>
      </c>
      <c r="AU28" s="936">
        <f>AT28-AS28-'Schedule 3A_Income Statement'!CQ45</f>
        <v>0</v>
      </c>
      <c r="AV28" s="223"/>
      <c r="AW28" s="231">
        <f>'Schedule 3A_Income Statement'!CM45</f>
        <v>4881784.2295246925</v>
      </c>
      <c r="AX28" s="231"/>
      <c r="AY28" s="340">
        <f t="shared" si="25"/>
        <v>4881784.2295246925</v>
      </c>
      <c r="AZ28" s="231">
        <f>'Schedule 3A_Income Statement'!CH45</f>
        <v>2806940.9534510979</v>
      </c>
      <c r="BA28" s="231"/>
      <c r="BB28" s="340">
        <f t="shared" si="26"/>
        <v>2806940.9534510979</v>
      </c>
      <c r="BC28" s="340">
        <f t="shared" si="27"/>
        <v>7688725.1829757905</v>
      </c>
      <c r="BD28" s="231"/>
      <c r="BE28" s="231"/>
      <c r="BF28" s="231"/>
      <c r="BG28" s="231"/>
      <c r="BH28" s="635"/>
      <c r="BI28" s="222">
        <f t="shared" si="28"/>
        <v>7688725.1829757905</v>
      </c>
      <c r="BJ28" s="936">
        <f>BI28-BH28-'Schedule 3A_Income Statement'!CR45</f>
        <v>0</v>
      </c>
      <c r="BL28" s="340">
        <f t="shared" si="29"/>
        <v>13782048.497261284</v>
      </c>
      <c r="BM28" s="340">
        <f t="shared" si="0"/>
        <v>0</v>
      </c>
      <c r="BN28" s="340">
        <f t="shared" si="1"/>
        <v>13782048.497261284</v>
      </c>
      <c r="BO28" s="340">
        <f t="shared" si="2"/>
        <v>9641277.2066313475</v>
      </c>
      <c r="BP28" s="340">
        <f t="shared" si="3"/>
        <v>0</v>
      </c>
      <c r="BQ28" s="340">
        <f t="shared" si="4"/>
        <v>9641277.2066313475</v>
      </c>
      <c r="BR28" s="340">
        <f t="shared" si="5"/>
        <v>23423325.70389263</v>
      </c>
      <c r="BS28" s="340">
        <f t="shared" si="6"/>
        <v>0</v>
      </c>
      <c r="BT28" s="340">
        <f t="shared" si="7"/>
        <v>0</v>
      </c>
      <c r="BU28" s="340">
        <f t="shared" si="8"/>
        <v>0</v>
      </c>
      <c r="BV28" s="340">
        <f t="shared" si="9"/>
        <v>0</v>
      </c>
      <c r="BW28" s="340">
        <f t="shared" si="10"/>
        <v>0</v>
      </c>
      <c r="BX28" s="340">
        <f t="shared" si="11"/>
        <v>23423325.70389263</v>
      </c>
      <c r="BY28" s="340">
        <f t="shared" si="12"/>
        <v>0</v>
      </c>
    </row>
    <row r="29" spans="1:77" s="329" customFormat="1">
      <c r="A29" s="939" t="s">
        <v>453</v>
      </c>
      <c r="B29" s="601" t="s">
        <v>211</v>
      </c>
      <c r="C29" s="679" t="s">
        <v>383</v>
      </c>
      <c r="D29" s="231">
        <f>'Schedule 3A_Income Statement'!CJ46</f>
        <v>536764.79999999935</v>
      </c>
      <c r="E29" s="231"/>
      <c r="F29" s="340">
        <f t="shared" si="13"/>
        <v>536764.79999999935</v>
      </c>
      <c r="G29" s="231">
        <f>'Schedule 3A_Income Statement'!CE46</f>
        <v>56234.130000000005</v>
      </c>
      <c r="H29" s="231"/>
      <c r="I29" s="340">
        <f t="shared" si="14"/>
        <v>56234.130000000005</v>
      </c>
      <c r="J29" s="340">
        <f t="shared" si="15"/>
        <v>592998.92999999935</v>
      </c>
      <c r="K29" s="231">
        <f>'Schedule 3A_Income Statement'!CO46-J29</f>
        <v>0</v>
      </c>
      <c r="L29" s="231"/>
      <c r="M29" s="231"/>
      <c r="N29" s="231"/>
      <c r="O29" s="635"/>
      <c r="P29" s="222">
        <f t="shared" si="16"/>
        <v>592998.92999999935</v>
      </c>
      <c r="Q29" s="936">
        <f>P29-O29-'Schedule 3A_Income Statement'!CO46</f>
        <v>0</v>
      </c>
      <c r="R29" s="223"/>
      <c r="S29" s="231">
        <f>'Schedule 3A_Income Statement'!CK46</f>
        <v>536880.80000000005</v>
      </c>
      <c r="T29" s="231"/>
      <c r="U29" s="340">
        <f t="shared" si="17"/>
        <v>536880.80000000005</v>
      </c>
      <c r="V29" s="231">
        <f>'Schedule 3A_Income Statement'!CF46</f>
        <v>48526.12</v>
      </c>
      <c r="W29" s="231"/>
      <c r="X29" s="340">
        <f t="shared" si="18"/>
        <v>48526.12</v>
      </c>
      <c r="Y29" s="340">
        <f t="shared" si="19"/>
        <v>585406.92000000004</v>
      </c>
      <c r="Z29" s="231">
        <f>'Schedule 3A_Income Statement'!CP46-Y29</f>
        <v>0</v>
      </c>
      <c r="AA29" s="231"/>
      <c r="AB29" s="231"/>
      <c r="AC29" s="231"/>
      <c r="AD29" s="635"/>
      <c r="AE29" s="222">
        <f t="shared" si="20"/>
        <v>585406.92000000004</v>
      </c>
      <c r="AF29" s="936">
        <f>AE29-AD29-'Schedule 3A_Income Statement'!CP46</f>
        <v>0</v>
      </c>
      <c r="AG29" s="223"/>
      <c r="AH29" s="231">
        <f>'Schedule 3A_Income Statement'!CL46</f>
        <v>831065.91000000481</v>
      </c>
      <c r="AI29" s="231"/>
      <c r="AJ29" s="340">
        <f t="shared" si="21"/>
        <v>831065.91000000481</v>
      </c>
      <c r="AK29" s="231">
        <f>'Schedule 3A_Income Statement'!CG46</f>
        <v>128608.86999999956</v>
      </c>
      <c r="AL29" s="231"/>
      <c r="AM29" s="340">
        <f t="shared" si="22"/>
        <v>128608.86999999956</v>
      </c>
      <c r="AN29" s="340">
        <f t="shared" si="23"/>
        <v>959674.78000000434</v>
      </c>
      <c r="AO29" s="231"/>
      <c r="AP29" s="231"/>
      <c r="AQ29" s="231"/>
      <c r="AR29" s="231"/>
      <c r="AS29" s="635"/>
      <c r="AT29" s="222">
        <f t="shared" si="24"/>
        <v>959674.78000000434</v>
      </c>
      <c r="AU29" s="936">
        <f>AT29-AS29-'Schedule 3A_Income Statement'!CQ46</f>
        <v>0</v>
      </c>
      <c r="AV29" s="223"/>
      <c r="AW29" s="231">
        <f>'Schedule 3A_Income Statement'!CM46</f>
        <v>919126.76999999874</v>
      </c>
      <c r="AX29" s="231"/>
      <c r="AY29" s="340">
        <f t="shared" si="25"/>
        <v>919126.76999999874</v>
      </c>
      <c r="AZ29" s="231">
        <f>'Schedule 3A_Income Statement'!CH46</f>
        <v>143761.88999999975</v>
      </c>
      <c r="BA29" s="231"/>
      <c r="BB29" s="340">
        <f t="shared" si="26"/>
        <v>143761.88999999975</v>
      </c>
      <c r="BC29" s="340">
        <f t="shared" si="27"/>
        <v>1062888.6599999985</v>
      </c>
      <c r="BD29" s="231"/>
      <c r="BE29" s="231"/>
      <c r="BF29" s="231"/>
      <c r="BG29" s="231"/>
      <c r="BH29" s="635"/>
      <c r="BI29" s="222">
        <f t="shared" si="28"/>
        <v>1062888.6599999985</v>
      </c>
      <c r="BJ29" s="936">
        <f>BI29-BH29-'Schedule 3A_Income Statement'!CR46</f>
        <v>0</v>
      </c>
      <c r="BL29" s="340">
        <f t="shared" si="29"/>
        <v>2823838.2800000031</v>
      </c>
      <c r="BM29" s="340">
        <f t="shared" si="0"/>
        <v>0</v>
      </c>
      <c r="BN29" s="340">
        <f t="shared" si="1"/>
        <v>2823838.2800000031</v>
      </c>
      <c r="BO29" s="340">
        <f t="shared" si="2"/>
        <v>377131.00999999931</v>
      </c>
      <c r="BP29" s="340">
        <f t="shared" si="3"/>
        <v>0</v>
      </c>
      <c r="BQ29" s="340">
        <f t="shared" si="4"/>
        <v>377131.00999999931</v>
      </c>
      <c r="BR29" s="340">
        <f t="shared" si="5"/>
        <v>3200969.2900000019</v>
      </c>
      <c r="BS29" s="340">
        <f t="shared" si="6"/>
        <v>0</v>
      </c>
      <c r="BT29" s="340">
        <f t="shared" si="7"/>
        <v>0</v>
      </c>
      <c r="BU29" s="340">
        <f t="shared" si="8"/>
        <v>0</v>
      </c>
      <c r="BV29" s="340">
        <f t="shared" si="9"/>
        <v>0</v>
      </c>
      <c r="BW29" s="340">
        <f t="shared" si="10"/>
        <v>0</v>
      </c>
      <c r="BX29" s="340">
        <f t="shared" si="11"/>
        <v>3200969.2900000019</v>
      </c>
      <c r="BY29" s="340">
        <f t="shared" si="12"/>
        <v>0</v>
      </c>
    </row>
    <row r="30" spans="1:77" s="329" customFormat="1">
      <c r="A30" s="939" t="s">
        <v>455</v>
      </c>
      <c r="B30" s="601" t="s">
        <v>212</v>
      </c>
      <c r="C30" s="679" t="s">
        <v>1385</v>
      </c>
      <c r="D30" s="231">
        <f>'Schedule 3A_Income Statement'!CJ47</f>
        <v>356981.81851048529</v>
      </c>
      <c r="E30" s="231"/>
      <c r="F30" s="340">
        <f t="shared" si="13"/>
        <v>356981.81851048529</v>
      </c>
      <c r="G30" s="231">
        <f>'Schedule 3A_Income Statement'!CE47</f>
        <v>40982.125645685788</v>
      </c>
      <c r="H30" s="231"/>
      <c r="I30" s="340">
        <f t="shared" si="14"/>
        <v>40982.125645685788</v>
      </c>
      <c r="J30" s="340">
        <f t="shared" si="15"/>
        <v>397963.94415617106</v>
      </c>
      <c r="K30" s="231">
        <f>'Schedule 3A_Income Statement'!CO47-J30</f>
        <v>0</v>
      </c>
      <c r="L30" s="231"/>
      <c r="M30" s="231"/>
      <c r="N30" s="231"/>
      <c r="O30" s="635"/>
      <c r="P30" s="222">
        <f t="shared" si="16"/>
        <v>397963.94415617106</v>
      </c>
      <c r="Q30" s="936">
        <f>P30-O30-'Schedule 3A_Income Statement'!CO47</f>
        <v>0</v>
      </c>
      <c r="R30" s="223"/>
      <c r="S30" s="231">
        <f>'Schedule 3A_Income Statement'!CK47</f>
        <v>357097.81851048622</v>
      </c>
      <c r="T30" s="231"/>
      <c r="U30" s="340">
        <f t="shared" si="17"/>
        <v>357097.81851048622</v>
      </c>
      <c r="V30" s="231">
        <f>'Schedule 3A_Income Statement'!CF47</f>
        <v>36747.690039985959</v>
      </c>
      <c r="W30" s="231"/>
      <c r="X30" s="340">
        <f t="shared" si="18"/>
        <v>36747.690039985959</v>
      </c>
      <c r="Y30" s="340">
        <f t="shared" si="19"/>
        <v>393845.50855047221</v>
      </c>
      <c r="Z30" s="231">
        <f>'Schedule 3A_Income Statement'!CP47-Y30</f>
        <v>0</v>
      </c>
      <c r="AA30" s="231"/>
      <c r="AB30" s="231"/>
      <c r="AC30" s="231"/>
      <c r="AD30" s="635"/>
      <c r="AE30" s="222">
        <f t="shared" si="20"/>
        <v>393845.50855047221</v>
      </c>
      <c r="AF30" s="936">
        <f>AE30-AD30-'Schedule 3A_Income Statement'!CP47</f>
        <v>0</v>
      </c>
      <c r="AG30" s="223"/>
      <c r="AH30" s="231">
        <f>'Schedule 3A_Income Statement'!CL47</f>
        <v>651282.92851049197</v>
      </c>
      <c r="AI30" s="231"/>
      <c r="AJ30" s="340">
        <f t="shared" si="21"/>
        <v>651282.92851049197</v>
      </c>
      <c r="AK30" s="231">
        <f>'Schedule 3A_Income Statement'!CG47</f>
        <v>101756.76281387443</v>
      </c>
      <c r="AL30" s="231"/>
      <c r="AM30" s="340">
        <f t="shared" si="22"/>
        <v>101756.76281387443</v>
      </c>
      <c r="AN30" s="340">
        <f t="shared" si="23"/>
        <v>753039.69132436637</v>
      </c>
      <c r="AO30" s="231"/>
      <c r="AP30" s="231"/>
      <c r="AQ30" s="231"/>
      <c r="AR30" s="231"/>
      <c r="AS30" s="635"/>
      <c r="AT30" s="222">
        <f t="shared" si="24"/>
        <v>753039.69132436637</v>
      </c>
      <c r="AU30" s="936">
        <f>AT30-AS30-'Schedule 3A_Income Statement'!CQ47</f>
        <v>0</v>
      </c>
      <c r="AV30" s="223"/>
      <c r="AW30" s="231">
        <f>'Schedule 3A_Income Statement'!CM47</f>
        <v>739343.78851048939</v>
      </c>
      <c r="AX30" s="231"/>
      <c r="AY30" s="340">
        <f t="shared" si="25"/>
        <v>739343.78851048939</v>
      </c>
      <c r="AZ30" s="231">
        <f>'Schedule 3A_Income Statement'!CH47</f>
        <v>115753.9455703305</v>
      </c>
      <c r="BA30" s="231"/>
      <c r="BB30" s="340">
        <f t="shared" si="26"/>
        <v>115753.9455703305</v>
      </c>
      <c r="BC30" s="340">
        <f t="shared" si="27"/>
        <v>855097.73408081988</v>
      </c>
      <c r="BD30" s="231"/>
      <c r="BE30" s="231"/>
      <c r="BF30" s="231"/>
      <c r="BG30" s="231"/>
      <c r="BH30" s="635"/>
      <c r="BI30" s="222">
        <f t="shared" si="28"/>
        <v>855097.73408081988</v>
      </c>
      <c r="BJ30" s="936">
        <f>BI30-BH30-'Schedule 3A_Income Statement'!CR47</f>
        <v>0</v>
      </c>
      <c r="BL30" s="340">
        <f t="shared" si="29"/>
        <v>2104706.3540419526</v>
      </c>
      <c r="BM30" s="340">
        <f t="shared" si="0"/>
        <v>0</v>
      </c>
      <c r="BN30" s="340">
        <f t="shared" si="1"/>
        <v>2104706.3540419526</v>
      </c>
      <c r="BO30" s="340">
        <f t="shared" si="2"/>
        <v>295240.5240698767</v>
      </c>
      <c r="BP30" s="340">
        <f t="shared" si="3"/>
        <v>0</v>
      </c>
      <c r="BQ30" s="340">
        <f t="shared" si="4"/>
        <v>295240.5240698767</v>
      </c>
      <c r="BR30" s="340">
        <f t="shared" si="5"/>
        <v>2399946.8781118295</v>
      </c>
      <c r="BS30" s="340">
        <f t="shared" si="6"/>
        <v>0</v>
      </c>
      <c r="BT30" s="340">
        <f t="shared" si="7"/>
        <v>0</v>
      </c>
      <c r="BU30" s="340">
        <f t="shared" si="8"/>
        <v>0</v>
      </c>
      <c r="BV30" s="340">
        <f t="shared" si="9"/>
        <v>0</v>
      </c>
      <c r="BW30" s="340">
        <f t="shared" si="10"/>
        <v>0</v>
      </c>
      <c r="BX30" s="340">
        <f t="shared" si="11"/>
        <v>2399946.8781118295</v>
      </c>
      <c r="BY30" s="340">
        <f t="shared" si="12"/>
        <v>0</v>
      </c>
    </row>
    <row r="31" spans="1:77" s="329" customFormat="1">
      <c r="A31" s="938">
        <v>12</v>
      </c>
      <c r="B31" s="120" t="s">
        <v>213</v>
      </c>
      <c r="C31" s="679" t="s">
        <v>381</v>
      </c>
      <c r="D31" s="231">
        <v>511878.57999999984</v>
      </c>
      <c r="E31" s="231"/>
      <c r="F31" s="340">
        <f t="shared" si="13"/>
        <v>511878.57999999984</v>
      </c>
      <c r="G31" s="231">
        <v>161798.44000000003</v>
      </c>
      <c r="H31" s="231"/>
      <c r="I31" s="340">
        <f t="shared" si="14"/>
        <v>161798.44000000003</v>
      </c>
      <c r="J31" s="340">
        <f t="shared" si="15"/>
        <v>673677.0199999999</v>
      </c>
      <c r="K31" s="231">
        <v>148.19288626468318</v>
      </c>
      <c r="L31" s="231"/>
      <c r="M31" s="231"/>
      <c r="N31" s="231"/>
      <c r="O31" s="635"/>
      <c r="P31" s="222">
        <f t="shared" si="16"/>
        <v>673825.21288626455</v>
      </c>
      <c r="Q31" s="936">
        <f>P31-O31-'Schedule 3A_Income Statement'!CO48</f>
        <v>0</v>
      </c>
      <c r="R31" s="223"/>
      <c r="S31" s="231">
        <v>579601.96</v>
      </c>
      <c r="T31" s="231"/>
      <c r="U31" s="340">
        <f t="shared" si="17"/>
        <v>579601.96</v>
      </c>
      <c r="V31" s="231">
        <v>156440.15999999997</v>
      </c>
      <c r="W31" s="231"/>
      <c r="X31" s="340">
        <f t="shared" si="18"/>
        <v>156440.15999999997</v>
      </c>
      <c r="Y31" s="340">
        <f t="shared" si="19"/>
        <v>736042.11999999988</v>
      </c>
      <c r="Z31" s="231">
        <v>1117.8409178327895</v>
      </c>
      <c r="AA31" s="231"/>
      <c r="AB31" s="231"/>
      <c r="AC31" s="231"/>
      <c r="AD31" s="635"/>
      <c r="AE31" s="222">
        <f t="shared" si="20"/>
        <v>737159.96091783268</v>
      </c>
      <c r="AF31" s="936">
        <f>AE31-AD31-'Schedule 3A_Income Statement'!CP48</f>
        <v>0</v>
      </c>
      <c r="AG31" s="223"/>
      <c r="AH31" s="231">
        <v>593033.68000000028</v>
      </c>
      <c r="AI31" s="231"/>
      <c r="AJ31" s="340">
        <f t="shared" si="21"/>
        <v>593033.68000000028</v>
      </c>
      <c r="AK31" s="231">
        <v>159294.00999999998</v>
      </c>
      <c r="AL31" s="231"/>
      <c r="AM31" s="340">
        <f t="shared" si="22"/>
        <v>159294.00999999998</v>
      </c>
      <c r="AN31" s="340">
        <f t="shared" si="23"/>
        <v>752327.69000000029</v>
      </c>
      <c r="AO31" s="231">
        <v>5162.6775909311636</v>
      </c>
      <c r="AP31" s="231"/>
      <c r="AQ31" s="231"/>
      <c r="AR31" s="231"/>
      <c r="AS31" s="635"/>
      <c r="AT31" s="222">
        <f t="shared" si="24"/>
        <v>757490.36759093148</v>
      </c>
      <c r="AU31" s="936">
        <f>AT31-AS31-'Schedule 3A_Income Statement'!CQ48</f>
        <v>0</v>
      </c>
      <c r="AV31" s="223"/>
      <c r="AW31" s="231">
        <v>627384.97000000009</v>
      </c>
      <c r="AX31" s="231"/>
      <c r="AY31" s="340">
        <f t="shared" si="25"/>
        <v>627384.97000000009</v>
      </c>
      <c r="AZ31" s="231">
        <v>147597.15999999992</v>
      </c>
      <c r="BA31" s="231"/>
      <c r="BB31" s="340">
        <f t="shared" si="26"/>
        <v>147597.15999999992</v>
      </c>
      <c r="BC31" s="340">
        <f t="shared" si="27"/>
        <v>774982.13</v>
      </c>
      <c r="BD31" s="231">
        <v>15148.102831701601</v>
      </c>
      <c r="BE31" s="231"/>
      <c r="BF31" s="231"/>
      <c r="BG31" s="231"/>
      <c r="BH31" s="635"/>
      <c r="BI31" s="222">
        <f t="shared" si="28"/>
        <v>790130.23283170164</v>
      </c>
      <c r="BJ31" s="936">
        <f>BI31-BH31-'Schedule 3A_Income Statement'!CR48</f>
        <v>0</v>
      </c>
      <c r="BL31" s="340">
        <f t="shared" si="29"/>
        <v>2311899.1900000004</v>
      </c>
      <c r="BM31" s="340">
        <f t="shared" si="0"/>
        <v>0</v>
      </c>
      <c r="BN31" s="340">
        <f t="shared" si="1"/>
        <v>2311899.1900000004</v>
      </c>
      <c r="BO31" s="340">
        <f t="shared" si="2"/>
        <v>625129.7699999999</v>
      </c>
      <c r="BP31" s="340">
        <f t="shared" si="3"/>
        <v>0</v>
      </c>
      <c r="BQ31" s="340">
        <f t="shared" si="4"/>
        <v>625129.7699999999</v>
      </c>
      <c r="BR31" s="340">
        <f t="shared" si="5"/>
        <v>2937028.96</v>
      </c>
      <c r="BS31" s="340">
        <f t="shared" si="6"/>
        <v>21576.814226730239</v>
      </c>
      <c r="BT31" s="340">
        <f t="shared" si="7"/>
        <v>0</v>
      </c>
      <c r="BU31" s="340">
        <f t="shared" si="8"/>
        <v>0</v>
      </c>
      <c r="BV31" s="340">
        <f t="shared" si="9"/>
        <v>0</v>
      </c>
      <c r="BW31" s="340">
        <f t="shared" si="10"/>
        <v>0</v>
      </c>
      <c r="BX31" s="340">
        <f t="shared" si="11"/>
        <v>2958605.7742267307</v>
      </c>
      <c r="BY31" s="340">
        <f t="shared" si="12"/>
        <v>0</v>
      </c>
    </row>
    <row r="32" spans="1:77" s="329" customFormat="1">
      <c r="A32" s="939">
        <v>13</v>
      </c>
      <c r="B32" s="122" t="s">
        <v>214</v>
      </c>
      <c r="C32" s="937" t="s">
        <v>377</v>
      </c>
      <c r="D32" s="231">
        <v>2325883.399999999</v>
      </c>
      <c r="E32" s="231"/>
      <c r="F32" s="340">
        <f t="shared" si="13"/>
        <v>2325883.399999999</v>
      </c>
      <c r="G32" s="231">
        <v>7523157.8599999975</v>
      </c>
      <c r="H32" s="231"/>
      <c r="I32" s="340">
        <f t="shared" si="14"/>
        <v>7523157.8599999975</v>
      </c>
      <c r="J32" s="340">
        <f t="shared" si="15"/>
        <v>9849041.2599999961</v>
      </c>
      <c r="K32" s="231">
        <v>1111.8912280683062</v>
      </c>
      <c r="L32" s="231"/>
      <c r="M32" s="231"/>
      <c r="N32" s="231"/>
      <c r="O32" s="635"/>
      <c r="P32" s="222">
        <f t="shared" si="16"/>
        <v>9850153.1512280647</v>
      </c>
      <c r="Q32" s="936">
        <f>P32-O32-'Schedule 3A_Income Statement'!CO49</f>
        <v>0</v>
      </c>
      <c r="R32" s="223"/>
      <c r="S32" s="231">
        <v>3165818.6700000009</v>
      </c>
      <c r="T32" s="231"/>
      <c r="U32" s="340">
        <f t="shared" si="17"/>
        <v>3165818.6700000009</v>
      </c>
      <c r="V32" s="231">
        <v>6218122.1200000001</v>
      </c>
      <c r="W32" s="231"/>
      <c r="X32" s="340">
        <f t="shared" si="18"/>
        <v>6218122.1200000001</v>
      </c>
      <c r="Y32" s="340">
        <f t="shared" si="19"/>
        <v>9383940.790000001</v>
      </c>
      <c r="Z32" s="231">
        <v>11109.213126649589</v>
      </c>
      <c r="AA32" s="231"/>
      <c r="AB32" s="231"/>
      <c r="AC32" s="231"/>
      <c r="AD32" s="635"/>
      <c r="AE32" s="222">
        <f t="shared" si="20"/>
        <v>9395050.003126651</v>
      </c>
      <c r="AF32" s="936">
        <f>AE32-AD32-'Schedule 3A_Income Statement'!CP49</f>
        <v>0</v>
      </c>
      <c r="AG32" s="223"/>
      <c r="AH32" s="231">
        <v>1921291.5499999989</v>
      </c>
      <c r="AI32" s="231"/>
      <c r="AJ32" s="340">
        <f t="shared" si="21"/>
        <v>1921291.5499999989</v>
      </c>
      <c r="AK32" s="231">
        <v>6859987.209999999</v>
      </c>
      <c r="AL32" s="231"/>
      <c r="AM32" s="340">
        <f t="shared" si="22"/>
        <v>6859987.209999999</v>
      </c>
      <c r="AN32" s="340">
        <f t="shared" si="23"/>
        <v>8781278.7599999979</v>
      </c>
      <c r="AO32" s="231">
        <v>48493.261127348182</v>
      </c>
      <c r="AP32" s="231"/>
      <c r="AQ32" s="231"/>
      <c r="AR32" s="231"/>
      <c r="AS32" s="635"/>
      <c r="AT32" s="222">
        <f t="shared" si="24"/>
        <v>8829772.0211273469</v>
      </c>
      <c r="AU32" s="936">
        <f>AT32-AS32-'Schedule 3A_Income Statement'!CQ49</f>
        <v>0</v>
      </c>
      <c r="AV32" s="223"/>
      <c r="AW32" s="231">
        <v>1894064.9999999993</v>
      </c>
      <c r="AX32" s="231"/>
      <c r="AY32" s="340">
        <f t="shared" si="25"/>
        <v>1894064.9999999993</v>
      </c>
      <c r="AZ32" s="231">
        <v>6802849.2700000005</v>
      </c>
      <c r="BA32" s="231"/>
      <c r="BB32" s="340">
        <f t="shared" si="26"/>
        <v>6802849.2700000005</v>
      </c>
      <c r="BC32" s="340">
        <f t="shared" si="27"/>
        <v>8696914.2699999996</v>
      </c>
      <c r="BD32" s="231">
        <v>145969.85196944192</v>
      </c>
      <c r="BE32" s="231"/>
      <c r="BF32" s="231"/>
      <c r="BG32" s="231"/>
      <c r="BH32" s="635"/>
      <c r="BI32" s="222">
        <f t="shared" si="28"/>
        <v>8842884.121969441</v>
      </c>
      <c r="BJ32" s="936">
        <f>BI32-BH32-'Schedule 3A_Income Statement'!CR49</f>
        <v>0</v>
      </c>
      <c r="BL32" s="340">
        <f t="shared" si="29"/>
        <v>9307058.6199999992</v>
      </c>
      <c r="BM32" s="340">
        <f t="shared" si="0"/>
        <v>0</v>
      </c>
      <c r="BN32" s="340">
        <f t="shared" si="1"/>
        <v>9307058.6199999992</v>
      </c>
      <c r="BO32" s="340">
        <f t="shared" si="2"/>
        <v>27404116.459999997</v>
      </c>
      <c r="BP32" s="340">
        <f t="shared" si="3"/>
        <v>0</v>
      </c>
      <c r="BQ32" s="340">
        <f t="shared" si="4"/>
        <v>27404116.459999997</v>
      </c>
      <c r="BR32" s="340">
        <f t="shared" si="5"/>
        <v>36711175.079999998</v>
      </c>
      <c r="BS32" s="340">
        <f t="shared" si="6"/>
        <v>206684.21745150798</v>
      </c>
      <c r="BT32" s="340">
        <f t="shared" si="7"/>
        <v>0</v>
      </c>
      <c r="BU32" s="340">
        <f t="shared" si="8"/>
        <v>0</v>
      </c>
      <c r="BV32" s="340">
        <f t="shared" si="9"/>
        <v>0</v>
      </c>
      <c r="BW32" s="340">
        <f t="shared" si="10"/>
        <v>0</v>
      </c>
      <c r="BX32" s="340">
        <f t="shared" si="11"/>
        <v>36917859.297451504</v>
      </c>
      <c r="BY32" s="340">
        <f t="shared" si="12"/>
        <v>0</v>
      </c>
    </row>
    <row r="33" spans="1:77" s="329" customFormat="1">
      <c r="A33" s="938">
        <v>14</v>
      </c>
      <c r="B33" s="120" t="s">
        <v>215</v>
      </c>
      <c r="C33" s="937" t="s">
        <v>202</v>
      </c>
      <c r="D33" s="231">
        <v>0</v>
      </c>
      <c r="E33" s="231"/>
      <c r="F33" s="340">
        <f t="shared" si="13"/>
        <v>0</v>
      </c>
      <c r="G33" s="231">
        <v>18238157.829999432</v>
      </c>
      <c r="H33" s="231"/>
      <c r="I33" s="340">
        <f t="shared" si="14"/>
        <v>18238157.829999432</v>
      </c>
      <c r="J33" s="340">
        <f t="shared" si="15"/>
        <v>18238157.829999432</v>
      </c>
      <c r="K33" s="231">
        <v>1178.2560548040201</v>
      </c>
      <c r="L33" s="231"/>
      <c r="M33" s="231"/>
      <c r="N33" s="231"/>
      <c r="O33" s="635"/>
      <c r="P33" s="222">
        <f t="shared" si="16"/>
        <v>18239336.086054236</v>
      </c>
      <c r="Q33" s="936">
        <f>P33-O33-'Schedule 3A_Income Statement'!CO50</f>
        <v>0</v>
      </c>
      <c r="R33" s="223"/>
      <c r="S33" s="231">
        <v>0</v>
      </c>
      <c r="T33" s="231"/>
      <c r="U33" s="340">
        <f t="shared" si="17"/>
        <v>0</v>
      </c>
      <c r="V33" s="231">
        <v>18865144.609999467</v>
      </c>
      <c r="W33" s="231"/>
      <c r="X33" s="340">
        <f t="shared" si="18"/>
        <v>18865144.609999467</v>
      </c>
      <c r="Y33" s="340">
        <f t="shared" si="19"/>
        <v>18865144.609999467</v>
      </c>
      <c r="Z33" s="231">
        <v>17598.469569455658</v>
      </c>
      <c r="AA33" s="231"/>
      <c r="AB33" s="231"/>
      <c r="AC33" s="231"/>
      <c r="AD33" s="635"/>
      <c r="AE33" s="222">
        <f t="shared" si="20"/>
        <v>18882743.079568923</v>
      </c>
      <c r="AF33" s="936">
        <f>AE33-AD33-'Schedule 3A_Income Statement'!CP50</f>
        <v>0</v>
      </c>
      <c r="AG33" s="223"/>
      <c r="AH33" s="231">
        <v>0</v>
      </c>
      <c r="AI33" s="231"/>
      <c r="AJ33" s="340">
        <f t="shared" si="21"/>
        <v>0</v>
      </c>
      <c r="AK33" s="231">
        <v>19707802.61000086</v>
      </c>
      <c r="AL33" s="231"/>
      <c r="AM33" s="340">
        <f t="shared" si="22"/>
        <v>19707802.61000086</v>
      </c>
      <c r="AN33" s="340">
        <f t="shared" si="23"/>
        <v>19707802.61000086</v>
      </c>
      <c r="AO33" s="231">
        <v>98687.586375800049</v>
      </c>
      <c r="AP33" s="231"/>
      <c r="AQ33" s="231"/>
      <c r="AR33" s="231"/>
      <c r="AS33" s="635"/>
      <c r="AT33" s="222">
        <f t="shared" si="24"/>
        <v>19806490.196376659</v>
      </c>
      <c r="AU33" s="936">
        <f>AT33-AS33-'Schedule 3A_Income Statement'!CQ50</f>
        <v>0</v>
      </c>
      <c r="AV33" s="223"/>
      <c r="AW33" s="231">
        <v>0</v>
      </c>
      <c r="AX33" s="231"/>
      <c r="AY33" s="340">
        <f t="shared" si="25"/>
        <v>0</v>
      </c>
      <c r="AZ33" s="231">
        <v>19867698.380000442</v>
      </c>
      <c r="BA33" s="231"/>
      <c r="BB33" s="340">
        <f t="shared" si="26"/>
        <v>19867698.380000442</v>
      </c>
      <c r="BC33" s="340">
        <f t="shared" si="27"/>
        <v>19867698.380000442</v>
      </c>
      <c r="BD33" s="231">
        <v>313263.76164322271</v>
      </c>
      <c r="BE33" s="231"/>
      <c r="BF33" s="231"/>
      <c r="BG33" s="231"/>
      <c r="BH33" s="635"/>
      <c r="BI33" s="222">
        <f t="shared" si="28"/>
        <v>20180962.141643666</v>
      </c>
      <c r="BJ33" s="936">
        <f>BI33-BH33-'Schedule 3A_Income Statement'!CR50</f>
        <v>0</v>
      </c>
      <c r="BL33" s="340">
        <f t="shared" si="29"/>
        <v>0</v>
      </c>
      <c r="BM33" s="340">
        <f t="shared" si="0"/>
        <v>0</v>
      </c>
      <c r="BN33" s="340">
        <f t="shared" si="1"/>
        <v>0</v>
      </c>
      <c r="BO33" s="340">
        <f t="shared" si="2"/>
        <v>76678803.430000201</v>
      </c>
      <c r="BP33" s="340">
        <f t="shared" si="3"/>
        <v>0</v>
      </c>
      <c r="BQ33" s="340">
        <f t="shared" si="4"/>
        <v>76678803.430000201</v>
      </c>
      <c r="BR33" s="340">
        <f t="shared" si="5"/>
        <v>76678803.430000201</v>
      </c>
      <c r="BS33" s="340">
        <f t="shared" si="6"/>
        <v>430728.07364328241</v>
      </c>
      <c r="BT33" s="340">
        <f t="shared" si="7"/>
        <v>0</v>
      </c>
      <c r="BU33" s="340">
        <f t="shared" si="8"/>
        <v>0</v>
      </c>
      <c r="BV33" s="340">
        <f t="shared" si="9"/>
        <v>0</v>
      </c>
      <c r="BW33" s="340">
        <f t="shared" si="10"/>
        <v>0</v>
      </c>
      <c r="BX33" s="340">
        <f t="shared" si="11"/>
        <v>77109531.503643483</v>
      </c>
      <c r="BY33" s="340">
        <f t="shared" si="12"/>
        <v>0</v>
      </c>
    </row>
    <row r="34" spans="1:77" s="329" customFormat="1">
      <c r="A34" s="939">
        <v>15</v>
      </c>
      <c r="B34" s="120" t="s">
        <v>216</v>
      </c>
      <c r="C34" s="937" t="s">
        <v>202</v>
      </c>
      <c r="D34" s="231">
        <v>847916.00000000163</v>
      </c>
      <c r="E34" s="231"/>
      <c r="F34" s="340">
        <f t="shared" ref="F34:F37" si="30">SUM(D34:E34)</f>
        <v>847916.00000000163</v>
      </c>
      <c r="G34" s="231">
        <v>435266.89000000025</v>
      </c>
      <c r="H34" s="231"/>
      <c r="I34" s="340">
        <f t="shared" ref="I34:I37" si="31">SUM(G34:H34)</f>
        <v>435266.89000000025</v>
      </c>
      <c r="J34" s="340">
        <f t="shared" ref="J34:J37" si="32">F34+I34</f>
        <v>1283182.890000002</v>
      </c>
      <c r="K34" s="231">
        <v>256.28344955287776</v>
      </c>
      <c r="L34" s="231"/>
      <c r="M34" s="231"/>
      <c r="N34" s="231"/>
      <c r="O34" s="635"/>
      <c r="P34" s="222">
        <f t="shared" ref="P34:P37" si="33">SUM(J34:N34)</f>
        <v>1283439.1734495549</v>
      </c>
      <c r="Q34" s="936">
        <f>P34-O34-'Schedule 3A_Income Statement'!CO51</f>
        <v>0</v>
      </c>
      <c r="R34" s="223"/>
      <c r="S34" s="231">
        <v>793179.12000000116</v>
      </c>
      <c r="T34" s="231"/>
      <c r="U34" s="340">
        <f t="shared" ref="U34:U37" si="34">SUM(S34:T34)</f>
        <v>793179.12000000116</v>
      </c>
      <c r="V34" s="231">
        <v>444586.2</v>
      </c>
      <c r="W34" s="231"/>
      <c r="X34" s="340">
        <f t="shared" ref="X34:X37" si="35">SUM(V34:W34)</f>
        <v>444586.2</v>
      </c>
      <c r="Y34" s="340">
        <f t="shared" ref="Y34:Y37" si="36">U34+X34</f>
        <v>1237765.3200000012</v>
      </c>
      <c r="Z34" s="231">
        <v>1744.7763329873587</v>
      </c>
      <c r="AA34" s="231"/>
      <c r="AB34" s="231"/>
      <c r="AC34" s="231"/>
      <c r="AD34" s="635"/>
      <c r="AE34" s="222">
        <f t="shared" ref="AE34:AE37" si="37">SUM(Y34:AC34)</f>
        <v>1239510.0963329887</v>
      </c>
      <c r="AF34" s="936">
        <f>AE34-AD34-'Schedule 3A_Income Statement'!CP51</f>
        <v>0</v>
      </c>
      <c r="AG34" s="223"/>
      <c r="AH34" s="231">
        <v>861463.70999999973</v>
      </c>
      <c r="AI34" s="231"/>
      <c r="AJ34" s="340">
        <f t="shared" ref="AJ34:AJ37" si="38">SUM(AH34:AI34)</f>
        <v>861463.70999999973</v>
      </c>
      <c r="AK34" s="231">
        <v>429413.12999999989</v>
      </c>
      <c r="AL34" s="231"/>
      <c r="AM34" s="340">
        <f t="shared" ref="AM34:AM37" si="39">SUM(AK34:AL34)</f>
        <v>429413.12999999989</v>
      </c>
      <c r="AN34" s="340">
        <f t="shared" ref="AN34:AN37" si="40">AJ34+AM34</f>
        <v>1290876.8399999996</v>
      </c>
      <c r="AO34" s="231">
        <v>8491.0807695050207</v>
      </c>
      <c r="AP34" s="231"/>
      <c r="AQ34" s="231"/>
      <c r="AR34" s="231"/>
      <c r="AS34" s="635"/>
      <c r="AT34" s="222">
        <f t="shared" ref="AT34:AT37" si="41">SUM(AN34:AR34)</f>
        <v>1299367.9207695047</v>
      </c>
      <c r="AU34" s="936">
        <f>AT34-AS34-'Schedule 3A_Income Statement'!CQ51</f>
        <v>0</v>
      </c>
      <c r="AV34" s="223"/>
      <c r="AW34" s="231">
        <v>842598.52000000118</v>
      </c>
      <c r="AX34" s="231"/>
      <c r="AY34" s="340">
        <f t="shared" ref="AY34:AY37" si="42">SUM(AW34:AX34)</f>
        <v>842598.52000000118</v>
      </c>
      <c r="AZ34" s="231">
        <v>495673.55999999994</v>
      </c>
      <c r="BA34" s="231"/>
      <c r="BB34" s="340">
        <f t="shared" ref="BB34:BB37" si="43">SUM(AZ34:BA34)</f>
        <v>495673.55999999994</v>
      </c>
      <c r="BC34" s="340">
        <f t="shared" ref="BC34:BC37" si="44">AY34+BB34</f>
        <v>1338272.080000001</v>
      </c>
      <c r="BD34" s="231">
        <v>25034.370480771238</v>
      </c>
      <c r="BE34" s="231"/>
      <c r="BF34" s="231"/>
      <c r="BG34" s="231"/>
      <c r="BH34" s="635"/>
      <c r="BI34" s="222">
        <f t="shared" ref="BI34:BI37" si="45">SUM(BC34:BG34)</f>
        <v>1363306.4504807722</v>
      </c>
      <c r="BJ34" s="936">
        <f>BI34-BH34-'Schedule 3A_Income Statement'!CR51</f>
        <v>0</v>
      </c>
      <c r="BL34" s="340">
        <f t="shared" si="29"/>
        <v>3345157.3500000043</v>
      </c>
      <c r="BM34" s="340">
        <f t="shared" si="0"/>
        <v>0</v>
      </c>
      <c r="BN34" s="340">
        <f t="shared" si="1"/>
        <v>3345157.3500000043</v>
      </c>
      <c r="BO34" s="340">
        <f t="shared" si="2"/>
        <v>1804939.7800000003</v>
      </c>
      <c r="BP34" s="340">
        <f t="shared" si="3"/>
        <v>0</v>
      </c>
      <c r="BQ34" s="340">
        <f t="shared" si="4"/>
        <v>1804939.7800000003</v>
      </c>
      <c r="BR34" s="340">
        <f t="shared" si="5"/>
        <v>5150097.1300000036</v>
      </c>
      <c r="BS34" s="340">
        <f t="shared" si="6"/>
        <v>35526.511032816496</v>
      </c>
      <c r="BT34" s="340">
        <f t="shared" si="7"/>
        <v>0</v>
      </c>
      <c r="BU34" s="340">
        <f t="shared" si="8"/>
        <v>0</v>
      </c>
      <c r="BV34" s="340">
        <f t="shared" si="9"/>
        <v>0</v>
      </c>
      <c r="BW34" s="340">
        <f t="shared" si="10"/>
        <v>0</v>
      </c>
      <c r="BX34" s="340">
        <f t="shared" si="11"/>
        <v>5185623.6410328206</v>
      </c>
      <c r="BY34" s="340">
        <f t="shared" si="12"/>
        <v>0</v>
      </c>
    </row>
    <row r="35" spans="1:77" s="329" customFormat="1">
      <c r="A35" s="939">
        <v>16</v>
      </c>
      <c r="B35" s="120" t="s">
        <v>217</v>
      </c>
      <c r="C35" s="937" t="s">
        <v>202</v>
      </c>
      <c r="D35" s="231">
        <v>-1239.189999980852</v>
      </c>
      <c r="E35" s="231"/>
      <c r="F35" s="340">
        <f t="shared" si="30"/>
        <v>-1239.189999980852</v>
      </c>
      <c r="G35" s="231">
        <v>12336755.880000331</v>
      </c>
      <c r="H35" s="231"/>
      <c r="I35" s="340">
        <f t="shared" si="31"/>
        <v>12336755.880000331</v>
      </c>
      <c r="J35" s="340">
        <f t="shared" si="32"/>
        <v>12335516.69000035</v>
      </c>
      <c r="K35" s="231">
        <v>796.66904554524695</v>
      </c>
      <c r="L35" s="231"/>
      <c r="M35" s="231"/>
      <c r="N35" s="231"/>
      <c r="O35" s="635"/>
      <c r="P35" s="222">
        <f t="shared" si="33"/>
        <v>12336313.359045895</v>
      </c>
      <c r="Q35" s="936">
        <f>P35-O35-'Schedule 3A_Income Statement'!CO52</f>
        <v>0</v>
      </c>
      <c r="R35" s="223"/>
      <c r="S35" s="231">
        <v>-639.16999999992549</v>
      </c>
      <c r="T35" s="231"/>
      <c r="U35" s="340">
        <f t="shared" si="34"/>
        <v>-639.16999999992549</v>
      </c>
      <c r="V35" s="231">
        <v>13217933.310000455</v>
      </c>
      <c r="W35" s="231"/>
      <c r="X35" s="340">
        <f t="shared" si="35"/>
        <v>13217933.310000455</v>
      </c>
      <c r="Y35" s="340">
        <f t="shared" si="36"/>
        <v>13217294.140000455</v>
      </c>
      <c r="Z35" s="231">
        <v>12329.360969003117</v>
      </c>
      <c r="AA35" s="231"/>
      <c r="AB35" s="231"/>
      <c r="AC35" s="231"/>
      <c r="AD35" s="635"/>
      <c r="AE35" s="222">
        <f t="shared" si="37"/>
        <v>13229623.500969458</v>
      </c>
      <c r="AF35" s="936">
        <f>AE35-AD35-'Schedule 3A_Income Statement'!CP52</f>
        <v>0</v>
      </c>
      <c r="AG35" s="223"/>
      <c r="AH35" s="231">
        <v>0</v>
      </c>
      <c r="AI35" s="231"/>
      <c r="AJ35" s="340">
        <f t="shared" si="38"/>
        <v>0</v>
      </c>
      <c r="AK35" s="231">
        <v>14623330.640000718</v>
      </c>
      <c r="AL35" s="231"/>
      <c r="AM35" s="340">
        <f t="shared" si="39"/>
        <v>14623330.640000718</v>
      </c>
      <c r="AN35" s="340">
        <f t="shared" si="40"/>
        <v>14623330.640000718</v>
      </c>
      <c r="AO35" s="231">
        <v>73226.895671495222</v>
      </c>
      <c r="AP35" s="231"/>
      <c r="AQ35" s="231"/>
      <c r="AR35" s="231"/>
      <c r="AS35" s="635"/>
      <c r="AT35" s="222">
        <f t="shared" si="41"/>
        <v>14696557.535672212</v>
      </c>
      <c r="AU35" s="936">
        <f>AT35-AS35-'Schedule 3A_Income Statement'!CQ52</f>
        <v>0</v>
      </c>
      <c r="AV35" s="223"/>
      <c r="AW35" s="231">
        <v>5478.6000000014901</v>
      </c>
      <c r="AX35" s="231"/>
      <c r="AY35" s="340">
        <f t="shared" si="42"/>
        <v>5478.6000000014901</v>
      </c>
      <c r="AZ35" s="231">
        <v>16405672.240001207</v>
      </c>
      <c r="BA35" s="231"/>
      <c r="BB35" s="340">
        <f t="shared" si="43"/>
        <v>16405672.240001207</v>
      </c>
      <c r="BC35" s="340">
        <f t="shared" si="44"/>
        <v>16411150.840001209</v>
      </c>
      <c r="BD35" s="231">
        <v>258788.251959969</v>
      </c>
      <c r="BE35" s="231"/>
      <c r="BF35" s="231"/>
      <c r="BG35" s="231"/>
      <c r="BH35" s="635"/>
      <c r="BI35" s="222">
        <f t="shared" si="45"/>
        <v>16669939.091961177</v>
      </c>
      <c r="BJ35" s="936">
        <f>BI35-BH35-'Schedule 3A_Income Statement'!CR52</f>
        <v>0</v>
      </c>
      <c r="BL35" s="340">
        <f t="shared" si="29"/>
        <v>3600.2400000207126</v>
      </c>
      <c r="BM35" s="340">
        <f t="shared" si="0"/>
        <v>0</v>
      </c>
      <c r="BN35" s="340">
        <f t="shared" si="1"/>
        <v>3600.2400000207126</v>
      </c>
      <c r="BO35" s="340">
        <f t="shared" si="2"/>
        <v>56583692.070002712</v>
      </c>
      <c r="BP35" s="340">
        <f t="shared" si="3"/>
        <v>0</v>
      </c>
      <c r="BQ35" s="340">
        <f t="shared" si="4"/>
        <v>56583692.070002712</v>
      </c>
      <c r="BR35" s="340">
        <f t="shared" si="5"/>
        <v>56587292.310002729</v>
      </c>
      <c r="BS35" s="340">
        <f t="shared" si="6"/>
        <v>345141.17764601257</v>
      </c>
      <c r="BT35" s="340">
        <f t="shared" si="7"/>
        <v>0</v>
      </c>
      <c r="BU35" s="340">
        <f t="shared" si="8"/>
        <v>0</v>
      </c>
      <c r="BV35" s="340">
        <f t="shared" si="9"/>
        <v>0</v>
      </c>
      <c r="BW35" s="340">
        <f t="shared" si="10"/>
        <v>0</v>
      </c>
      <c r="BX35" s="340">
        <f t="shared" si="11"/>
        <v>56932433.48764874</v>
      </c>
      <c r="BY35" s="340">
        <f t="shared" si="12"/>
        <v>0</v>
      </c>
    </row>
    <row r="36" spans="1:77" s="329" customFormat="1">
      <c r="A36" s="939">
        <v>17</v>
      </c>
      <c r="B36" s="120" t="s">
        <v>218</v>
      </c>
      <c r="C36" s="937" t="s">
        <v>202</v>
      </c>
      <c r="D36" s="231">
        <v>0</v>
      </c>
      <c r="E36" s="231"/>
      <c r="F36" s="340">
        <f t="shared" si="30"/>
        <v>0</v>
      </c>
      <c r="G36" s="231">
        <v>15690852.820000287</v>
      </c>
      <c r="H36" s="231"/>
      <c r="I36" s="340">
        <f t="shared" si="31"/>
        <v>15690852.820000287</v>
      </c>
      <c r="J36" s="340">
        <f t="shared" si="32"/>
        <v>15690852.820000287</v>
      </c>
      <c r="K36" s="231">
        <v>1013.6902264215489</v>
      </c>
      <c r="L36" s="231"/>
      <c r="M36" s="231"/>
      <c r="N36" s="231"/>
      <c r="O36" s="635"/>
      <c r="P36" s="222">
        <f t="shared" si="33"/>
        <v>15691866.510226708</v>
      </c>
      <c r="Q36" s="936">
        <f>P36-O36-'Schedule 3A_Income Statement'!CO53</f>
        <v>0</v>
      </c>
      <c r="R36" s="223"/>
      <c r="S36" s="231">
        <v>212.64000000059605</v>
      </c>
      <c r="T36" s="231"/>
      <c r="U36" s="340">
        <f t="shared" si="34"/>
        <v>212.64000000059605</v>
      </c>
      <c r="V36" s="231">
        <v>16751218.950000171</v>
      </c>
      <c r="W36" s="231"/>
      <c r="X36" s="340">
        <f t="shared" si="35"/>
        <v>16751218.950000171</v>
      </c>
      <c r="Y36" s="340">
        <f t="shared" si="36"/>
        <v>16751431.590000171</v>
      </c>
      <c r="Z36" s="231">
        <v>15626.837201048938</v>
      </c>
      <c r="AA36" s="231"/>
      <c r="AB36" s="231"/>
      <c r="AC36" s="231"/>
      <c r="AD36" s="635"/>
      <c r="AE36" s="222">
        <f t="shared" si="37"/>
        <v>16767058.427201221</v>
      </c>
      <c r="AF36" s="936">
        <f>AE36-AD36-'Schedule 3A_Income Statement'!CP53</f>
        <v>0</v>
      </c>
      <c r="AG36" s="223"/>
      <c r="AH36" s="231">
        <v>2370.4800000006799</v>
      </c>
      <c r="AI36" s="231"/>
      <c r="AJ36" s="340">
        <f t="shared" si="38"/>
        <v>2370.4800000006799</v>
      </c>
      <c r="AK36" s="231">
        <v>18451583.940000959</v>
      </c>
      <c r="AL36" s="231"/>
      <c r="AM36" s="340">
        <f t="shared" si="39"/>
        <v>18451583.940000959</v>
      </c>
      <c r="AN36" s="340">
        <f t="shared" si="40"/>
        <v>18453954.420000959</v>
      </c>
      <c r="AO36" s="231">
        <v>92414.470482444754</v>
      </c>
      <c r="AP36" s="231"/>
      <c r="AQ36" s="231"/>
      <c r="AR36" s="231"/>
      <c r="AS36" s="635"/>
      <c r="AT36" s="222">
        <f t="shared" si="41"/>
        <v>18546368.890483405</v>
      </c>
      <c r="AU36" s="936">
        <f>AT36-AS36-'Schedule 3A_Income Statement'!CQ53</f>
        <v>0</v>
      </c>
      <c r="AV36" s="223"/>
      <c r="AW36" s="231">
        <v>55250.559999999357</v>
      </c>
      <c r="AX36" s="231"/>
      <c r="AY36" s="340">
        <f t="shared" si="42"/>
        <v>55250.559999999357</v>
      </c>
      <c r="AZ36" s="231">
        <v>19364888.639999397</v>
      </c>
      <c r="BA36" s="231"/>
      <c r="BB36" s="340">
        <f t="shared" si="43"/>
        <v>19364888.639999397</v>
      </c>
      <c r="BC36" s="340">
        <f t="shared" si="44"/>
        <v>19420139.199999396</v>
      </c>
      <c r="BD36" s="231">
        <v>306464.78099981253</v>
      </c>
      <c r="BE36" s="231"/>
      <c r="BF36" s="231"/>
      <c r="BG36" s="231"/>
      <c r="BH36" s="635"/>
      <c r="BI36" s="222">
        <f t="shared" si="45"/>
        <v>19726603.980999209</v>
      </c>
      <c r="BJ36" s="936">
        <f>BI36-BH36-'Schedule 3A_Income Statement'!CR53</f>
        <v>0</v>
      </c>
      <c r="BL36" s="340">
        <f t="shared" si="29"/>
        <v>57833.680000000633</v>
      </c>
      <c r="BM36" s="340">
        <f t="shared" si="0"/>
        <v>0</v>
      </c>
      <c r="BN36" s="340">
        <f t="shared" si="1"/>
        <v>57833.680000000633</v>
      </c>
      <c r="BO36" s="340">
        <f t="shared" si="2"/>
        <v>70258544.350000814</v>
      </c>
      <c r="BP36" s="340">
        <f t="shared" si="3"/>
        <v>0</v>
      </c>
      <c r="BQ36" s="340">
        <f t="shared" si="4"/>
        <v>70258544.350000814</v>
      </c>
      <c r="BR36" s="340">
        <f t="shared" si="5"/>
        <v>70316378.030000806</v>
      </c>
      <c r="BS36" s="340">
        <f t="shared" si="6"/>
        <v>415519.77890972776</v>
      </c>
      <c r="BT36" s="340">
        <f t="shared" si="7"/>
        <v>0</v>
      </c>
      <c r="BU36" s="340">
        <f t="shared" si="8"/>
        <v>0</v>
      </c>
      <c r="BV36" s="340">
        <f t="shared" si="9"/>
        <v>0</v>
      </c>
      <c r="BW36" s="340">
        <f t="shared" si="10"/>
        <v>0</v>
      </c>
      <c r="BX36" s="340">
        <f t="shared" si="11"/>
        <v>70731897.808910549</v>
      </c>
      <c r="BY36" s="340">
        <f t="shared" si="12"/>
        <v>0</v>
      </c>
    </row>
    <row r="37" spans="1:77" s="329" customFormat="1">
      <c r="A37" s="939">
        <v>18</v>
      </c>
      <c r="B37" s="120" t="s">
        <v>219</v>
      </c>
      <c r="C37" s="937" t="s">
        <v>202</v>
      </c>
      <c r="D37" s="231">
        <v>0</v>
      </c>
      <c r="E37" s="231"/>
      <c r="F37" s="340">
        <f t="shared" si="30"/>
        <v>0</v>
      </c>
      <c r="G37" s="231">
        <v>0</v>
      </c>
      <c r="H37" s="231"/>
      <c r="I37" s="340">
        <f t="shared" si="31"/>
        <v>0</v>
      </c>
      <c r="J37" s="340">
        <f t="shared" si="32"/>
        <v>0</v>
      </c>
      <c r="K37" s="231">
        <v>0</v>
      </c>
      <c r="L37" s="231"/>
      <c r="M37" s="231"/>
      <c r="N37" s="231"/>
      <c r="O37" s="635"/>
      <c r="P37" s="222">
        <f t="shared" si="33"/>
        <v>0</v>
      </c>
      <c r="Q37" s="936">
        <f>P37-O37-'Schedule 3A_Income Statement'!CO54</f>
        <v>0</v>
      </c>
      <c r="R37" s="223"/>
      <c r="S37" s="231">
        <v>0</v>
      </c>
      <c r="T37" s="231"/>
      <c r="U37" s="340">
        <f t="shared" si="34"/>
        <v>0</v>
      </c>
      <c r="V37" s="231">
        <v>0</v>
      </c>
      <c r="W37" s="231"/>
      <c r="X37" s="340">
        <f t="shared" si="35"/>
        <v>0</v>
      </c>
      <c r="Y37" s="340">
        <f t="shared" si="36"/>
        <v>0</v>
      </c>
      <c r="Z37" s="231">
        <v>0</v>
      </c>
      <c r="AA37" s="231"/>
      <c r="AB37" s="231"/>
      <c r="AC37" s="231"/>
      <c r="AD37" s="635"/>
      <c r="AE37" s="222">
        <f t="shared" si="37"/>
        <v>0</v>
      </c>
      <c r="AF37" s="936">
        <f>AE37-AD37-'Schedule 3A_Income Statement'!CP54</f>
        <v>0</v>
      </c>
      <c r="AG37" s="223"/>
      <c r="AH37" s="231">
        <v>0</v>
      </c>
      <c r="AI37" s="231"/>
      <c r="AJ37" s="340">
        <f t="shared" si="38"/>
        <v>0</v>
      </c>
      <c r="AK37" s="231">
        <v>0</v>
      </c>
      <c r="AL37" s="231"/>
      <c r="AM37" s="340">
        <f t="shared" si="39"/>
        <v>0</v>
      </c>
      <c r="AN37" s="340">
        <f t="shared" si="40"/>
        <v>0</v>
      </c>
      <c r="AO37" s="231">
        <v>0</v>
      </c>
      <c r="AP37" s="231"/>
      <c r="AQ37" s="231"/>
      <c r="AR37" s="231"/>
      <c r="AS37" s="635"/>
      <c r="AT37" s="222">
        <f t="shared" si="41"/>
        <v>0</v>
      </c>
      <c r="AU37" s="936">
        <f>AT37-AS37-'Schedule 3A_Income Statement'!CQ54</f>
        <v>0</v>
      </c>
      <c r="AV37" s="223"/>
      <c r="AW37" s="231">
        <v>0</v>
      </c>
      <c r="AX37" s="231"/>
      <c r="AY37" s="340">
        <f t="shared" si="42"/>
        <v>0</v>
      </c>
      <c r="AZ37" s="231">
        <v>0</v>
      </c>
      <c r="BA37" s="231"/>
      <c r="BB37" s="340">
        <f t="shared" si="43"/>
        <v>0</v>
      </c>
      <c r="BC37" s="340">
        <f t="shared" si="44"/>
        <v>0</v>
      </c>
      <c r="BD37" s="231">
        <v>0</v>
      </c>
      <c r="BE37" s="231"/>
      <c r="BF37" s="231"/>
      <c r="BG37" s="231"/>
      <c r="BH37" s="635"/>
      <c r="BI37" s="222">
        <f t="shared" si="45"/>
        <v>0</v>
      </c>
      <c r="BJ37" s="936">
        <f>BI37-BH37-'Schedule 3A_Income Statement'!CR54</f>
        <v>0</v>
      </c>
      <c r="BL37" s="340">
        <f t="shared" si="29"/>
        <v>0</v>
      </c>
      <c r="BM37" s="340">
        <f t="shared" si="0"/>
        <v>0</v>
      </c>
      <c r="BN37" s="340">
        <f t="shared" si="1"/>
        <v>0</v>
      </c>
      <c r="BO37" s="340">
        <f t="shared" si="2"/>
        <v>0</v>
      </c>
      <c r="BP37" s="340">
        <f t="shared" si="3"/>
        <v>0</v>
      </c>
      <c r="BQ37" s="340">
        <f t="shared" si="4"/>
        <v>0</v>
      </c>
      <c r="BR37" s="340">
        <f t="shared" si="5"/>
        <v>0</v>
      </c>
      <c r="BS37" s="340">
        <f t="shared" si="6"/>
        <v>0</v>
      </c>
      <c r="BT37" s="340">
        <f t="shared" si="7"/>
        <v>0</v>
      </c>
      <c r="BU37" s="340">
        <f t="shared" si="8"/>
        <v>0</v>
      </c>
      <c r="BV37" s="340">
        <f t="shared" si="9"/>
        <v>0</v>
      </c>
      <c r="BW37" s="340">
        <f t="shared" si="10"/>
        <v>0</v>
      </c>
      <c r="BX37" s="340">
        <f t="shared" si="11"/>
        <v>0</v>
      </c>
      <c r="BY37" s="340">
        <f t="shared" si="12"/>
        <v>0</v>
      </c>
    </row>
    <row r="38" spans="1:77" s="329" customFormat="1">
      <c r="A38" s="939">
        <v>19</v>
      </c>
      <c r="B38" s="122" t="s">
        <v>220</v>
      </c>
      <c r="C38" s="937" t="s">
        <v>202</v>
      </c>
      <c r="D38" s="231">
        <v>1955538.1699999969</v>
      </c>
      <c r="E38" s="231"/>
      <c r="F38" s="340">
        <f t="shared" si="13"/>
        <v>1955538.1699999969</v>
      </c>
      <c r="G38" s="231">
        <v>7215587.8500000313</v>
      </c>
      <c r="H38" s="231"/>
      <c r="I38" s="340">
        <f t="shared" si="14"/>
        <v>7215587.8500000313</v>
      </c>
      <c r="J38" s="340">
        <f t="shared" si="15"/>
        <v>9171126.0200000275</v>
      </c>
      <c r="K38" s="231">
        <v>992.36577171662157</v>
      </c>
      <c r="L38" s="231"/>
      <c r="M38" s="231"/>
      <c r="N38" s="231"/>
      <c r="O38" s="635"/>
      <c r="P38" s="222">
        <f t="shared" si="16"/>
        <v>9172118.385771744</v>
      </c>
      <c r="Q38" s="936">
        <f>P38-O38-'Schedule 3A_Income Statement'!CO55</f>
        <v>0</v>
      </c>
      <c r="R38" s="223"/>
      <c r="S38" s="231">
        <v>1860288.2000000051</v>
      </c>
      <c r="T38" s="231"/>
      <c r="U38" s="340">
        <f t="shared" si="17"/>
        <v>1860288.2000000051</v>
      </c>
      <c r="V38" s="231">
        <v>7920333.3299999963</v>
      </c>
      <c r="W38" s="231"/>
      <c r="X38" s="340">
        <f t="shared" si="18"/>
        <v>7920333.3299999963</v>
      </c>
      <c r="Y38" s="340">
        <f t="shared" si="19"/>
        <v>9780621.5300000012</v>
      </c>
      <c r="Z38" s="231">
        <v>10507.954712906256</v>
      </c>
      <c r="AA38" s="231"/>
      <c r="AB38" s="231"/>
      <c r="AC38" s="231"/>
      <c r="AD38" s="635"/>
      <c r="AE38" s="222">
        <f t="shared" si="20"/>
        <v>9791129.484712908</v>
      </c>
      <c r="AF38" s="936">
        <f>AE38-AD38-'Schedule 3A_Income Statement'!CP55</f>
        <v>0</v>
      </c>
      <c r="AG38" s="223"/>
      <c r="AH38" s="231">
        <v>1753574.9300000009</v>
      </c>
      <c r="AI38" s="231"/>
      <c r="AJ38" s="340">
        <f t="shared" si="21"/>
        <v>1753574.9300000009</v>
      </c>
      <c r="AK38" s="231">
        <v>8217418.5199999958</v>
      </c>
      <c r="AL38" s="231"/>
      <c r="AM38" s="340">
        <f t="shared" si="22"/>
        <v>8217418.5199999958</v>
      </c>
      <c r="AN38" s="340">
        <f t="shared" si="23"/>
        <v>9970993.4499999974</v>
      </c>
      <c r="AO38" s="231">
        <v>54056.177928088393</v>
      </c>
      <c r="AP38" s="231"/>
      <c r="AQ38" s="231"/>
      <c r="AR38" s="231"/>
      <c r="AS38" s="635"/>
      <c r="AT38" s="222">
        <f t="shared" si="24"/>
        <v>10025049.627928086</v>
      </c>
      <c r="AU38" s="936">
        <f>AT38-AS38-'Schedule 3A_Income Statement'!CQ55</f>
        <v>0</v>
      </c>
      <c r="AV38" s="223"/>
      <c r="AW38" s="231">
        <v>1944077.1100000138</v>
      </c>
      <c r="AX38" s="231"/>
      <c r="AY38" s="340">
        <f t="shared" si="25"/>
        <v>1944077.1100000138</v>
      </c>
      <c r="AZ38" s="231">
        <v>8353402.5500000305</v>
      </c>
      <c r="BA38" s="231"/>
      <c r="BB38" s="340">
        <f t="shared" si="26"/>
        <v>8353402.5500000305</v>
      </c>
      <c r="BC38" s="340">
        <f t="shared" si="27"/>
        <v>10297479.660000045</v>
      </c>
      <c r="BD38" s="231">
        <v>171440.20506232645</v>
      </c>
      <c r="BE38" s="231"/>
      <c r="BF38" s="231"/>
      <c r="BG38" s="231"/>
      <c r="BH38" s="635"/>
      <c r="BI38" s="222">
        <f t="shared" si="28"/>
        <v>10468919.865062371</v>
      </c>
      <c r="BJ38" s="936">
        <f>BI38-BH38-'Schedule 3A_Income Statement'!CR55</f>
        <v>0</v>
      </c>
      <c r="BL38" s="340">
        <f t="shared" si="29"/>
        <v>7513478.4100000169</v>
      </c>
      <c r="BM38" s="340">
        <f t="shared" si="0"/>
        <v>0</v>
      </c>
      <c r="BN38" s="340">
        <f t="shared" si="1"/>
        <v>7513478.4100000169</v>
      </c>
      <c r="BO38" s="340">
        <f t="shared" si="2"/>
        <v>31706742.250000056</v>
      </c>
      <c r="BP38" s="340">
        <f t="shared" si="3"/>
        <v>0</v>
      </c>
      <c r="BQ38" s="340">
        <f t="shared" si="4"/>
        <v>31706742.250000056</v>
      </c>
      <c r="BR38" s="340">
        <f t="shared" si="5"/>
        <v>39220220.660000071</v>
      </c>
      <c r="BS38" s="340">
        <f t="shared" si="6"/>
        <v>236996.70347503771</v>
      </c>
      <c r="BT38" s="340">
        <f t="shared" si="7"/>
        <v>0</v>
      </c>
      <c r="BU38" s="340">
        <f t="shared" si="8"/>
        <v>0</v>
      </c>
      <c r="BV38" s="340">
        <f t="shared" si="9"/>
        <v>0</v>
      </c>
      <c r="BW38" s="340">
        <f t="shared" si="10"/>
        <v>0</v>
      </c>
      <c r="BX38" s="340">
        <f t="shared" si="11"/>
        <v>39457217.363475107</v>
      </c>
      <c r="BY38" s="340">
        <f t="shared" si="12"/>
        <v>0</v>
      </c>
    </row>
    <row r="39" spans="1:77" s="329" customFormat="1">
      <c r="A39" s="938">
        <v>20</v>
      </c>
      <c r="B39" s="120" t="s">
        <v>221</v>
      </c>
      <c r="C39" s="937" t="s">
        <v>202</v>
      </c>
      <c r="D39" s="231">
        <v>796236.70000000007</v>
      </c>
      <c r="E39" s="231"/>
      <c r="F39" s="340">
        <f t="shared" si="13"/>
        <v>796236.70000000007</v>
      </c>
      <c r="G39" s="231">
        <v>1646994.1100000008</v>
      </c>
      <c r="H39" s="231"/>
      <c r="I39" s="340">
        <f t="shared" si="14"/>
        <v>1646994.1100000008</v>
      </c>
      <c r="J39" s="340">
        <f t="shared" si="15"/>
        <v>2443230.810000001</v>
      </c>
      <c r="K39" s="231">
        <v>320.65950054654888</v>
      </c>
      <c r="L39" s="231"/>
      <c r="M39" s="231"/>
      <c r="N39" s="231"/>
      <c r="O39" s="635"/>
      <c r="P39" s="222">
        <f t="shared" si="16"/>
        <v>2443551.4695005477</v>
      </c>
      <c r="Q39" s="936">
        <f>P39-O39-'Schedule 3A_Income Statement'!CO56</f>
        <v>0</v>
      </c>
      <c r="R39" s="223"/>
      <c r="S39" s="231">
        <v>902878.4599999995</v>
      </c>
      <c r="T39" s="231"/>
      <c r="U39" s="340">
        <f t="shared" si="17"/>
        <v>902878.4599999995</v>
      </c>
      <c r="V39" s="231">
        <v>1642755.330000001</v>
      </c>
      <c r="W39" s="231"/>
      <c r="X39" s="340">
        <f t="shared" si="18"/>
        <v>1642755.330000001</v>
      </c>
      <c r="Y39" s="340">
        <f t="shared" si="19"/>
        <v>2545633.7900000005</v>
      </c>
      <c r="Z39" s="231">
        <v>3046.4451731867703</v>
      </c>
      <c r="AA39" s="231"/>
      <c r="AB39" s="231"/>
      <c r="AC39" s="231"/>
      <c r="AD39" s="635"/>
      <c r="AE39" s="222">
        <f t="shared" si="20"/>
        <v>2548680.2351731872</v>
      </c>
      <c r="AF39" s="936">
        <f>AE39-AD39-'Schedule 3A_Income Statement'!CP56</f>
        <v>0</v>
      </c>
      <c r="AG39" s="223"/>
      <c r="AH39" s="231">
        <v>855562.50999999989</v>
      </c>
      <c r="AI39" s="231"/>
      <c r="AJ39" s="340">
        <f t="shared" si="21"/>
        <v>855562.50999999989</v>
      </c>
      <c r="AK39" s="231">
        <v>1788934.1200000017</v>
      </c>
      <c r="AL39" s="231"/>
      <c r="AM39" s="340">
        <f t="shared" si="22"/>
        <v>1788934.1200000017</v>
      </c>
      <c r="AN39" s="340">
        <f t="shared" si="23"/>
        <v>2644496.6300000018</v>
      </c>
      <c r="AO39" s="231">
        <v>15255.499280245758</v>
      </c>
      <c r="AP39" s="231"/>
      <c r="AQ39" s="231"/>
      <c r="AR39" s="231"/>
      <c r="AS39" s="635"/>
      <c r="AT39" s="222">
        <f t="shared" si="24"/>
        <v>2659752.1292802477</v>
      </c>
      <c r="AU39" s="936">
        <f>AT39-AS39-'Schedule 3A_Income Statement'!CQ56</f>
        <v>0</v>
      </c>
      <c r="AV39" s="223"/>
      <c r="AW39" s="231">
        <v>848363.06999999948</v>
      </c>
      <c r="AX39" s="231"/>
      <c r="AY39" s="340">
        <f t="shared" si="25"/>
        <v>848363.06999999948</v>
      </c>
      <c r="AZ39" s="231">
        <v>1881753.7200000016</v>
      </c>
      <c r="BA39" s="231"/>
      <c r="BB39" s="340">
        <f t="shared" si="26"/>
        <v>1881753.7200000016</v>
      </c>
      <c r="BC39" s="340">
        <f t="shared" si="27"/>
        <v>2730116.790000001</v>
      </c>
      <c r="BD39" s="231">
        <v>47007.178277940962</v>
      </c>
      <c r="BE39" s="231"/>
      <c r="BF39" s="231"/>
      <c r="BG39" s="231"/>
      <c r="BH39" s="635"/>
      <c r="BI39" s="222">
        <f t="shared" si="28"/>
        <v>2777123.9682779419</v>
      </c>
      <c r="BJ39" s="936">
        <f>BI39-BH39-'Schedule 3A_Income Statement'!CR56</f>
        <v>0</v>
      </c>
      <c r="BL39" s="340">
        <f t="shared" si="29"/>
        <v>3403040.7399999988</v>
      </c>
      <c r="BM39" s="340">
        <f t="shared" si="0"/>
        <v>0</v>
      </c>
      <c r="BN39" s="340">
        <f t="shared" si="1"/>
        <v>3403040.7399999988</v>
      </c>
      <c r="BO39" s="340">
        <f t="shared" si="2"/>
        <v>6960437.2800000049</v>
      </c>
      <c r="BP39" s="340">
        <f t="shared" si="3"/>
        <v>0</v>
      </c>
      <c r="BQ39" s="340">
        <f t="shared" si="4"/>
        <v>6960437.2800000049</v>
      </c>
      <c r="BR39" s="340">
        <f t="shared" si="5"/>
        <v>10363478.020000003</v>
      </c>
      <c r="BS39" s="340">
        <f t="shared" si="6"/>
        <v>65629.782231920035</v>
      </c>
      <c r="BT39" s="340">
        <f t="shared" si="7"/>
        <v>0</v>
      </c>
      <c r="BU39" s="340">
        <f t="shared" si="8"/>
        <v>0</v>
      </c>
      <c r="BV39" s="340">
        <f t="shared" si="9"/>
        <v>0</v>
      </c>
      <c r="BW39" s="340">
        <f t="shared" si="10"/>
        <v>0</v>
      </c>
      <c r="BX39" s="340">
        <f t="shared" si="11"/>
        <v>10429107.802231925</v>
      </c>
      <c r="BY39" s="340">
        <f t="shared" si="12"/>
        <v>0</v>
      </c>
    </row>
    <row r="40" spans="1:77" s="329" customFormat="1">
      <c r="A40" s="939">
        <v>21</v>
      </c>
      <c r="B40" s="122" t="s">
        <v>222</v>
      </c>
      <c r="C40" s="937" t="s">
        <v>202</v>
      </c>
      <c r="D40" s="231">
        <v>875506.03000000038</v>
      </c>
      <c r="E40" s="231"/>
      <c r="F40" s="340">
        <f t="shared" si="13"/>
        <v>875506.03000000038</v>
      </c>
      <c r="G40" s="231">
        <v>1082928.7600000007</v>
      </c>
      <c r="H40" s="231"/>
      <c r="I40" s="340">
        <f t="shared" si="14"/>
        <v>1082928.7600000007</v>
      </c>
      <c r="J40" s="340">
        <f t="shared" si="15"/>
        <v>1958434.790000001</v>
      </c>
      <c r="K40" s="231">
        <v>305.54905921867987</v>
      </c>
      <c r="L40" s="231"/>
      <c r="M40" s="231"/>
      <c r="N40" s="231"/>
      <c r="O40" s="635"/>
      <c r="P40" s="222">
        <f t="shared" si="16"/>
        <v>1958740.3390592197</v>
      </c>
      <c r="Q40" s="936">
        <f>P40-O40-'Schedule 3A_Income Statement'!CO57</f>
        <v>0</v>
      </c>
      <c r="R40" s="223"/>
      <c r="S40" s="231">
        <v>810061.91000000061</v>
      </c>
      <c r="T40" s="231"/>
      <c r="U40" s="340">
        <f t="shared" si="17"/>
        <v>810061.91000000061</v>
      </c>
      <c r="V40" s="231">
        <v>653774.42999999982</v>
      </c>
      <c r="W40" s="231"/>
      <c r="X40" s="340">
        <f t="shared" si="18"/>
        <v>653774.42999999982</v>
      </c>
      <c r="Y40" s="340">
        <f t="shared" si="19"/>
        <v>1463836.3400000003</v>
      </c>
      <c r="Z40" s="231">
        <v>1968.2287800028616</v>
      </c>
      <c r="AA40" s="231"/>
      <c r="AB40" s="231"/>
      <c r="AC40" s="231"/>
      <c r="AD40" s="635"/>
      <c r="AE40" s="222">
        <f t="shared" si="20"/>
        <v>1465804.5687800031</v>
      </c>
      <c r="AF40" s="936">
        <f>AE40-AD40-'Schedule 3A_Income Statement'!CP57</f>
        <v>0</v>
      </c>
      <c r="AG40" s="223"/>
      <c r="AH40" s="231">
        <v>911012.91999999969</v>
      </c>
      <c r="AI40" s="231"/>
      <c r="AJ40" s="340">
        <f t="shared" si="21"/>
        <v>911012.91999999969</v>
      </c>
      <c r="AK40" s="231">
        <v>904346.54999999993</v>
      </c>
      <c r="AL40" s="231"/>
      <c r="AM40" s="340">
        <f t="shared" si="22"/>
        <v>904346.54999999993</v>
      </c>
      <c r="AN40" s="340">
        <f t="shared" si="23"/>
        <v>1815359.4699999997</v>
      </c>
      <c r="AO40" s="231">
        <v>11234.033778389203</v>
      </c>
      <c r="AP40" s="231"/>
      <c r="AQ40" s="231"/>
      <c r="AR40" s="231"/>
      <c r="AS40" s="635"/>
      <c r="AT40" s="222">
        <f t="shared" si="24"/>
        <v>1826593.503778389</v>
      </c>
      <c r="AU40" s="936">
        <f>AT40-AS40-'Schedule 3A_Income Statement'!CQ57</f>
        <v>0</v>
      </c>
      <c r="AV40" s="223"/>
      <c r="AW40" s="231">
        <v>908791.21999999927</v>
      </c>
      <c r="AX40" s="231"/>
      <c r="AY40" s="340">
        <f t="shared" si="25"/>
        <v>908791.21999999927</v>
      </c>
      <c r="AZ40" s="231">
        <v>792213.6100000001</v>
      </c>
      <c r="BA40" s="231"/>
      <c r="BB40" s="340">
        <f t="shared" si="26"/>
        <v>792213.6100000001</v>
      </c>
      <c r="BC40" s="340">
        <f t="shared" si="27"/>
        <v>1701004.8299999994</v>
      </c>
      <c r="BD40" s="231">
        <v>31062.73776977693</v>
      </c>
      <c r="BE40" s="231"/>
      <c r="BF40" s="231"/>
      <c r="BG40" s="231"/>
      <c r="BH40" s="635"/>
      <c r="BI40" s="222">
        <f t="shared" si="28"/>
        <v>1732067.5677697763</v>
      </c>
      <c r="BJ40" s="936">
        <f>BI40-BH40-'Schedule 3A_Income Statement'!CR57</f>
        <v>0</v>
      </c>
      <c r="BL40" s="340">
        <f t="shared" si="29"/>
        <v>3505372.0799999996</v>
      </c>
      <c r="BM40" s="340">
        <f t="shared" si="0"/>
        <v>0</v>
      </c>
      <c r="BN40" s="340">
        <f t="shared" si="1"/>
        <v>3505372.0799999996</v>
      </c>
      <c r="BO40" s="340">
        <f t="shared" si="2"/>
        <v>3433263.3500000006</v>
      </c>
      <c r="BP40" s="340">
        <f t="shared" si="3"/>
        <v>0</v>
      </c>
      <c r="BQ40" s="340">
        <f t="shared" si="4"/>
        <v>3433263.3500000006</v>
      </c>
      <c r="BR40" s="340">
        <f t="shared" si="5"/>
        <v>6938635.4300000006</v>
      </c>
      <c r="BS40" s="340">
        <f t="shared" si="6"/>
        <v>44570.549387387669</v>
      </c>
      <c r="BT40" s="340">
        <f t="shared" si="7"/>
        <v>0</v>
      </c>
      <c r="BU40" s="340">
        <f t="shared" si="8"/>
        <v>0</v>
      </c>
      <c r="BV40" s="340">
        <f t="shared" si="9"/>
        <v>0</v>
      </c>
      <c r="BW40" s="340">
        <f t="shared" si="10"/>
        <v>0</v>
      </c>
      <c r="BX40" s="340">
        <f t="shared" si="11"/>
        <v>6983205.9793873876</v>
      </c>
      <c r="BY40" s="340">
        <f t="shared" si="12"/>
        <v>0</v>
      </c>
    </row>
    <row r="41" spans="1:77" s="329" customFormat="1">
      <c r="A41" s="938">
        <v>22</v>
      </c>
      <c r="B41" s="120" t="s">
        <v>223</v>
      </c>
      <c r="C41" s="679" t="s">
        <v>381</v>
      </c>
      <c r="D41" s="231">
        <v>14287</v>
      </c>
      <c r="E41" s="231"/>
      <c r="F41" s="340">
        <f t="shared" si="13"/>
        <v>14287</v>
      </c>
      <c r="G41" s="231">
        <v>40134.050000000003</v>
      </c>
      <c r="H41" s="231"/>
      <c r="I41" s="340">
        <f t="shared" si="14"/>
        <v>40134.050000000003</v>
      </c>
      <c r="J41" s="340">
        <f t="shared" si="15"/>
        <v>54421.05</v>
      </c>
      <c r="K41" s="231">
        <v>6.4372676951665522</v>
      </c>
      <c r="L41" s="231"/>
      <c r="M41" s="231"/>
      <c r="N41" s="231"/>
      <c r="O41" s="635"/>
      <c r="P41" s="222">
        <f t="shared" si="16"/>
        <v>54427.487267695171</v>
      </c>
      <c r="Q41" s="936">
        <f>P41-O41-'Schedule 3A_Income Statement'!CO58</f>
        <v>0</v>
      </c>
      <c r="R41" s="223"/>
      <c r="S41" s="231">
        <v>3120.6800000000003</v>
      </c>
      <c r="T41" s="231"/>
      <c r="U41" s="340">
        <f t="shared" si="17"/>
        <v>3120.6800000000003</v>
      </c>
      <c r="V41" s="231">
        <v>48749.86</v>
      </c>
      <c r="W41" s="231"/>
      <c r="X41" s="340">
        <f t="shared" si="18"/>
        <v>48749.86</v>
      </c>
      <c r="Y41" s="340">
        <f t="shared" si="19"/>
        <v>51870.54</v>
      </c>
      <c r="Z41" s="231">
        <v>50.709523327396219</v>
      </c>
      <c r="AA41" s="231"/>
      <c r="AB41" s="231"/>
      <c r="AC41" s="231"/>
      <c r="AD41" s="635"/>
      <c r="AE41" s="222">
        <f t="shared" si="20"/>
        <v>51921.249523327395</v>
      </c>
      <c r="AF41" s="936">
        <f>AE41-AD41-'Schedule 3A_Income Statement'!CP58</f>
        <v>0</v>
      </c>
      <c r="AG41" s="223"/>
      <c r="AH41" s="231">
        <v>6506.2000000000025</v>
      </c>
      <c r="AI41" s="231"/>
      <c r="AJ41" s="340">
        <f t="shared" si="21"/>
        <v>6506.2000000000025</v>
      </c>
      <c r="AK41" s="231">
        <v>90908.420000000013</v>
      </c>
      <c r="AL41" s="231"/>
      <c r="AM41" s="340">
        <f t="shared" si="22"/>
        <v>90908.420000000013</v>
      </c>
      <c r="AN41" s="340">
        <f t="shared" si="23"/>
        <v>97414.62000000001</v>
      </c>
      <c r="AO41" s="231">
        <v>503.11613144933375</v>
      </c>
      <c r="AP41" s="231"/>
      <c r="AQ41" s="231"/>
      <c r="AR41" s="231"/>
      <c r="AS41" s="635"/>
      <c r="AT41" s="222">
        <f t="shared" si="24"/>
        <v>97917.736131449346</v>
      </c>
      <c r="AU41" s="936">
        <f>AT41-AS41-'Schedule 3A_Income Statement'!CQ58</f>
        <v>0</v>
      </c>
      <c r="AV41" s="223"/>
      <c r="AW41" s="231">
        <v>4027.0600000000022</v>
      </c>
      <c r="AX41" s="231"/>
      <c r="AY41" s="340">
        <f t="shared" si="25"/>
        <v>4027.0600000000022</v>
      </c>
      <c r="AZ41" s="231">
        <v>55691.54</v>
      </c>
      <c r="BA41" s="231"/>
      <c r="BB41" s="340">
        <f t="shared" si="26"/>
        <v>55691.54</v>
      </c>
      <c r="BC41" s="340">
        <f t="shared" si="27"/>
        <v>59718.600000000006</v>
      </c>
      <c r="BD41" s="231">
        <v>960.41047491147276</v>
      </c>
      <c r="BE41" s="231"/>
      <c r="BF41" s="231"/>
      <c r="BG41" s="231"/>
      <c r="BH41" s="635"/>
      <c r="BI41" s="222">
        <f t="shared" si="28"/>
        <v>60679.010474911476</v>
      </c>
      <c r="BJ41" s="936">
        <f>BI41-BH41-'Schedule 3A_Income Statement'!CR58</f>
        <v>0</v>
      </c>
      <c r="BL41" s="340">
        <f t="shared" si="29"/>
        <v>27940.940000000006</v>
      </c>
      <c r="BM41" s="340">
        <f t="shared" si="0"/>
        <v>0</v>
      </c>
      <c r="BN41" s="340">
        <f t="shared" si="1"/>
        <v>27940.940000000006</v>
      </c>
      <c r="BO41" s="340">
        <f t="shared" si="2"/>
        <v>235483.87000000002</v>
      </c>
      <c r="BP41" s="340">
        <f t="shared" si="3"/>
        <v>0</v>
      </c>
      <c r="BQ41" s="340">
        <f t="shared" si="4"/>
        <v>235483.87000000002</v>
      </c>
      <c r="BR41" s="340">
        <f t="shared" si="5"/>
        <v>263424.81000000006</v>
      </c>
      <c r="BS41" s="340">
        <f t="shared" si="6"/>
        <v>1520.6733973833693</v>
      </c>
      <c r="BT41" s="340">
        <f t="shared" si="7"/>
        <v>0</v>
      </c>
      <c r="BU41" s="340">
        <f t="shared" si="8"/>
        <v>0</v>
      </c>
      <c r="BV41" s="340">
        <f t="shared" si="9"/>
        <v>0</v>
      </c>
      <c r="BW41" s="340">
        <f t="shared" si="10"/>
        <v>0</v>
      </c>
      <c r="BX41" s="340">
        <f t="shared" si="11"/>
        <v>264945.48339738336</v>
      </c>
      <c r="BY41" s="340">
        <f t="shared" si="12"/>
        <v>0</v>
      </c>
    </row>
    <row r="42" spans="1:77" s="329" customFormat="1">
      <c r="A42" s="939">
        <v>23</v>
      </c>
      <c r="B42" s="122" t="s">
        <v>224</v>
      </c>
      <c r="C42" s="937" t="s">
        <v>202</v>
      </c>
      <c r="D42" s="231">
        <v>11011.270000000002</v>
      </c>
      <c r="E42" s="231"/>
      <c r="F42" s="340">
        <f t="shared" si="13"/>
        <v>11011.270000000002</v>
      </c>
      <c r="G42" s="231">
        <v>41325.009999999995</v>
      </c>
      <c r="H42" s="231"/>
      <c r="I42" s="340">
        <f t="shared" si="14"/>
        <v>41325.009999999995</v>
      </c>
      <c r="J42" s="340">
        <f t="shared" si="15"/>
        <v>52336.28</v>
      </c>
      <c r="K42" s="231">
        <v>5.6327506797433893</v>
      </c>
      <c r="L42" s="231"/>
      <c r="M42" s="231"/>
      <c r="N42" s="231"/>
      <c r="O42" s="635"/>
      <c r="P42" s="222">
        <f t="shared" si="16"/>
        <v>52341.912750679745</v>
      </c>
      <c r="Q42" s="936">
        <f>P42-O42-'Schedule 3A_Income Statement'!CO59</f>
        <v>0</v>
      </c>
      <c r="R42" s="223"/>
      <c r="S42" s="231">
        <v>16275.28</v>
      </c>
      <c r="T42" s="231"/>
      <c r="U42" s="340">
        <f t="shared" si="17"/>
        <v>16275.28</v>
      </c>
      <c r="V42" s="231">
        <v>44264.01</v>
      </c>
      <c r="W42" s="231"/>
      <c r="X42" s="340">
        <f t="shared" si="18"/>
        <v>44264.01</v>
      </c>
      <c r="Y42" s="340">
        <f t="shared" si="19"/>
        <v>60539.29</v>
      </c>
      <c r="Z42" s="231">
        <v>68.583142104704407</v>
      </c>
      <c r="AA42" s="231"/>
      <c r="AB42" s="231"/>
      <c r="AC42" s="231"/>
      <c r="AD42" s="635"/>
      <c r="AE42" s="222">
        <f t="shared" si="20"/>
        <v>60607.873142104705</v>
      </c>
      <c r="AF42" s="936">
        <f>AE42-AD42-'Schedule 3A_Income Statement'!CP59</f>
        <v>0</v>
      </c>
      <c r="AG42" s="223"/>
      <c r="AH42" s="231">
        <v>31166.810000000009</v>
      </c>
      <c r="AI42" s="231"/>
      <c r="AJ42" s="340">
        <f t="shared" si="21"/>
        <v>31166.810000000009</v>
      </c>
      <c r="AK42" s="231">
        <v>58636.92</v>
      </c>
      <c r="AL42" s="231"/>
      <c r="AM42" s="340">
        <f t="shared" si="22"/>
        <v>58636.92</v>
      </c>
      <c r="AN42" s="340">
        <f t="shared" si="23"/>
        <v>89803.73000000001</v>
      </c>
      <c r="AO42" s="231">
        <v>523.02902472408857</v>
      </c>
      <c r="AP42" s="231"/>
      <c r="AQ42" s="231"/>
      <c r="AR42" s="231"/>
      <c r="AS42" s="635"/>
      <c r="AT42" s="222">
        <f t="shared" si="24"/>
        <v>90326.759024724102</v>
      </c>
      <c r="AU42" s="936">
        <f>AT42-AS42-'Schedule 3A_Income Statement'!CQ59</f>
        <v>0</v>
      </c>
      <c r="AV42" s="223"/>
      <c r="AW42" s="231">
        <v>38400.319999999971</v>
      </c>
      <c r="AX42" s="231"/>
      <c r="AY42" s="340">
        <f t="shared" si="25"/>
        <v>38400.319999999971</v>
      </c>
      <c r="AZ42" s="231">
        <v>66268.22</v>
      </c>
      <c r="BA42" s="231"/>
      <c r="BB42" s="340">
        <f t="shared" si="26"/>
        <v>66268.22</v>
      </c>
      <c r="BC42" s="340">
        <f t="shared" si="27"/>
        <v>104668.53999999998</v>
      </c>
      <c r="BD42" s="231">
        <v>1829.6096709574695</v>
      </c>
      <c r="BE42" s="231"/>
      <c r="BF42" s="231"/>
      <c r="BG42" s="231"/>
      <c r="BH42" s="635"/>
      <c r="BI42" s="222">
        <f t="shared" si="28"/>
        <v>106498.14967095744</v>
      </c>
      <c r="BJ42" s="936">
        <f>BI42-BH42-'Schedule 3A_Income Statement'!CR59</f>
        <v>0</v>
      </c>
      <c r="BL42" s="340">
        <f t="shared" si="29"/>
        <v>96853.68</v>
      </c>
      <c r="BM42" s="340">
        <f t="shared" si="0"/>
        <v>0</v>
      </c>
      <c r="BN42" s="340">
        <f t="shared" si="1"/>
        <v>96853.68</v>
      </c>
      <c r="BO42" s="340">
        <f t="shared" si="2"/>
        <v>210494.16</v>
      </c>
      <c r="BP42" s="340">
        <f t="shared" si="3"/>
        <v>0</v>
      </c>
      <c r="BQ42" s="340">
        <f t="shared" si="4"/>
        <v>210494.16</v>
      </c>
      <c r="BR42" s="340">
        <f t="shared" si="5"/>
        <v>307347.83999999997</v>
      </c>
      <c r="BS42" s="340">
        <f t="shared" si="6"/>
        <v>2426.8545884660057</v>
      </c>
      <c r="BT42" s="340">
        <f t="shared" si="7"/>
        <v>0</v>
      </c>
      <c r="BU42" s="340">
        <f t="shared" si="8"/>
        <v>0</v>
      </c>
      <c r="BV42" s="340">
        <f t="shared" si="9"/>
        <v>0</v>
      </c>
      <c r="BW42" s="340">
        <f t="shared" si="10"/>
        <v>0</v>
      </c>
      <c r="BX42" s="340">
        <f t="shared" si="11"/>
        <v>309774.69458846597</v>
      </c>
      <c r="BY42" s="340">
        <f t="shared" si="12"/>
        <v>0</v>
      </c>
    </row>
    <row r="43" spans="1:77" s="329" customFormat="1" ht="15" customHeight="1">
      <c r="A43" s="938">
        <v>24</v>
      </c>
      <c r="B43" s="601" t="s">
        <v>372</v>
      </c>
      <c r="C43" s="120" t="s">
        <v>202</v>
      </c>
      <c r="D43" s="231">
        <f>'Schedule 3A_Income Statement'!CJ60</f>
        <v>0</v>
      </c>
      <c r="E43" s="231"/>
      <c r="F43" s="340">
        <f t="shared" si="13"/>
        <v>0</v>
      </c>
      <c r="G43" s="231">
        <f>'Schedule 3A_Income Statement'!CE60</f>
        <v>2756668.5000000005</v>
      </c>
      <c r="H43" s="231"/>
      <c r="I43" s="340">
        <f t="shared" si="14"/>
        <v>2756668.5000000005</v>
      </c>
      <c r="J43" s="340">
        <f t="shared" si="15"/>
        <v>2756668.5000000005</v>
      </c>
      <c r="K43" s="231"/>
      <c r="L43" s="231"/>
      <c r="M43" s="231"/>
      <c r="N43" s="231"/>
      <c r="O43" s="635"/>
      <c r="P43" s="222">
        <f t="shared" si="16"/>
        <v>2756668.5000000005</v>
      </c>
      <c r="Q43" s="936">
        <f>P43-O43-'Schedule 3A_Income Statement'!CO60</f>
        <v>0</v>
      </c>
      <c r="R43" s="223"/>
      <c r="S43" s="231">
        <f>'Schedule 3A_Income Statement'!CK60</f>
        <v>0</v>
      </c>
      <c r="T43" s="231"/>
      <c r="U43" s="340">
        <f t="shared" si="17"/>
        <v>0</v>
      </c>
      <c r="V43" s="231">
        <f>'Schedule 3A_Income Statement'!CF60</f>
        <v>2887141.75</v>
      </c>
      <c r="W43" s="231"/>
      <c r="X43" s="340">
        <f t="shared" si="18"/>
        <v>2887141.75</v>
      </c>
      <c r="Y43" s="340">
        <f t="shared" si="19"/>
        <v>2887141.75</v>
      </c>
      <c r="Z43" s="231"/>
      <c r="AA43" s="231"/>
      <c r="AB43" s="231"/>
      <c r="AC43" s="231"/>
      <c r="AD43" s="635"/>
      <c r="AE43" s="222">
        <f t="shared" si="20"/>
        <v>2887141.75</v>
      </c>
      <c r="AF43" s="936">
        <f>AE43-AD43-'Schedule 3A_Income Statement'!CP60</f>
        <v>0</v>
      </c>
      <c r="AG43" s="223"/>
      <c r="AH43" s="231">
        <f>'Schedule 3A_Income Statement'!CL60</f>
        <v>0</v>
      </c>
      <c r="AI43" s="231"/>
      <c r="AJ43" s="340">
        <f t="shared" si="21"/>
        <v>0</v>
      </c>
      <c r="AK43" s="231">
        <f>'Schedule 3A_Income Statement'!CG60</f>
        <v>3017703.39</v>
      </c>
      <c r="AL43" s="231"/>
      <c r="AM43" s="340">
        <f t="shared" si="22"/>
        <v>3017703.39</v>
      </c>
      <c r="AN43" s="340">
        <f t="shared" si="23"/>
        <v>3017703.39</v>
      </c>
      <c r="AO43" s="231"/>
      <c r="AP43" s="231"/>
      <c r="AQ43" s="231"/>
      <c r="AR43" s="231"/>
      <c r="AS43" s="635"/>
      <c r="AT43" s="222">
        <f t="shared" si="24"/>
        <v>3017703.39</v>
      </c>
      <c r="AU43" s="936">
        <f>AT43-AS43-'Schedule 3A_Income Statement'!CQ60</f>
        <v>0</v>
      </c>
      <c r="AV43" s="223"/>
      <c r="AW43" s="231">
        <f>'Schedule 3A_Income Statement'!CM60</f>
        <v>0</v>
      </c>
      <c r="AX43" s="231"/>
      <c r="AY43" s="340">
        <f t="shared" si="25"/>
        <v>0</v>
      </c>
      <c r="AZ43" s="231">
        <f>'Schedule 3A_Income Statement'!CH60</f>
        <v>3143757.3600000003</v>
      </c>
      <c r="BA43" s="231"/>
      <c r="BB43" s="340">
        <f t="shared" si="26"/>
        <v>3143757.3600000003</v>
      </c>
      <c r="BC43" s="340">
        <f t="shared" si="27"/>
        <v>3143757.3600000003</v>
      </c>
      <c r="BD43" s="231"/>
      <c r="BE43" s="231"/>
      <c r="BF43" s="231"/>
      <c r="BG43" s="231"/>
      <c r="BH43" s="635"/>
      <c r="BI43" s="222">
        <f t="shared" si="28"/>
        <v>3143757.3600000003</v>
      </c>
      <c r="BJ43" s="936">
        <f>BI43-BH43-'Schedule 3A_Income Statement'!CR60</f>
        <v>0</v>
      </c>
      <c r="BL43" s="340">
        <f t="shared" si="29"/>
        <v>0</v>
      </c>
      <c r="BM43" s="340">
        <f t="shared" si="0"/>
        <v>0</v>
      </c>
      <c r="BN43" s="340">
        <f t="shared" si="1"/>
        <v>0</v>
      </c>
      <c r="BO43" s="340">
        <f t="shared" si="2"/>
        <v>11805271</v>
      </c>
      <c r="BP43" s="340">
        <f t="shared" si="3"/>
        <v>0</v>
      </c>
      <c r="BQ43" s="340">
        <f t="shared" si="4"/>
        <v>11805271</v>
      </c>
      <c r="BR43" s="340">
        <f t="shared" si="5"/>
        <v>11805271</v>
      </c>
      <c r="BS43" s="340">
        <f t="shared" si="6"/>
        <v>0</v>
      </c>
      <c r="BT43" s="340">
        <f t="shared" si="7"/>
        <v>0</v>
      </c>
      <c r="BU43" s="340">
        <f t="shared" si="8"/>
        <v>0</v>
      </c>
      <c r="BV43" s="340">
        <f t="shared" si="9"/>
        <v>0</v>
      </c>
      <c r="BW43" s="340">
        <f t="shared" si="10"/>
        <v>0</v>
      </c>
      <c r="BX43" s="340">
        <f t="shared" si="11"/>
        <v>11805271</v>
      </c>
      <c r="BY43" s="340">
        <f t="shared" si="12"/>
        <v>0</v>
      </c>
    </row>
    <row r="44" spans="1:77" s="329" customFormat="1">
      <c r="A44" s="938">
        <v>25</v>
      </c>
      <c r="B44" s="120" t="s">
        <v>226</v>
      </c>
      <c r="C44" s="629" t="s">
        <v>202</v>
      </c>
      <c r="D44" s="231">
        <f>'Schedule 3A_Income Statement'!CJ61</f>
        <v>4094383.8721902138</v>
      </c>
      <c r="E44" s="231"/>
      <c r="F44" s="340">
        <f t="shared" si="13"/>
        <v>4094383.8721902138</v>
      </c>
      <c r="G44" s="231">
        <f>'Schedule 3A_Income Statement'!CE61</f>
        <v>1087224.6225324729</v>
      </c>
      <c r="H44" s="231"/>
      <c r="I44" s="340">
        <f t="shared" si="14"/>
        <v>1087224.6225324729</v>
      </c>
      <c r="J44" s="340">
        <f t="shared" si="15"/>
        <v>5181608.4947226867</v>
      </c>
      <c r="K44" s="231"/>
      <c r="L44" s="231"/>
      <c r="M44" s="231"/>
      <c r="N44" s="231"/>
      <c r="O44" s="635"/>
      <c r="P44" s="222">
        <f t="shared" si="16"/>
        <v>5181608.4947226867</v>
      </c>
      <c r="Q44" s="936">
        <f>P44-O44-'Schedule 3A_Income Statement'!CO61</f>
        <v>0</v>
      </c>
      <c r="R44" s="223"/>
      <c r="S44" s="231">
        <f>'Schedule 3A_Income Statement'!CK61</f>
        <v>4545441.0600000005</v>
      </c>
      <c r="T44" s="231"/>
      <c r="U44" s="340">
        <f t="shared" si="17"/>
        <v>4545441.0600000005</v>
      </c>
      <c r="V44" s="231">
        <f>'Schedule 3A_Income Statement'!CF61</f>
        <v>1179176.4234437789</v>
      </c>
      <c r="W44" s="231"/>
      <c r="X44" s="340">
        <f t="shared" si="18"/>
        <v>1179176.4234437789</v>
      </c>
      <c r="Y44" s="340">
        <f t="shared" si="19"/>
        <v>5724617.4834437799</v>
      </c>
      <c r="Z44" s="231"/>
      <c r="AA44" s="231"/>
      <c r="AB44" s="231"/>
      <c r="AC44" s="231"/>
      <c r="AD44" s="635"/>
      <c r="AE44" s="222">
        <f t="shared" si="20"/>
        <v>5724617.4834437799</v>
      </c>
      <c r="AF44" s="936">
        <f>AE44-AD44-'Schedule 3A_Income Statement'!CP61</f>
        <v>0</v>
      </c>
      <c r="AG44" s="223"/>
      <c r="AH44" s="231">
        <f>'Schedule 3A_Income Statement'!CL61</f>
        <v>4706617.2575728185</v>
      </c>
      <c r="AI44" s="231"/>
      <c r="AJ44" s="340">
        <f t="shared" si="21"/>
        <v>4706617.2575728185</v>
      </c>
      <c r="AK44" s="231">
        <f>'Schedule 3A_Income Statement'!CG61</f>
        <v>1246385.6400000001</v>
      </c>
      <c r="AL44" s="231"/>
      <c r="AM44" s="340">
        <f t="shared" si="22"/>
        <v>1246385.6400000001</v>
      </c>
      <c r="AN44" s="340">
        <f t="shared" si="23"/>
        <v>5953002.8975728191</v>
      </c>
      <c r="AO44" s="231"/>
      <c r="AP44" s="231"/>
      <c r="AQ44" s="231"/>
      <c r="AR44" s="231"/>
      <c r="AS44" s="635"/>
      <c r="AT44" s="222">
        <f t="shared" si="24"/>
        <v>5953002.8975728191</v>
      </c>
      <c r="AU44" s="936">
        <f>AT44-AS44-'Schedule 3A_Income Statement'!CQ61</f>
        <v>0</v>
      </c>
      <c r="AV44" s="223"/>
      <c r="AW44" s="231">
        <f>'Schedule 3A_Income Statement'!CM61</f>
        <v>5006787.3007283164</v>
      </c>
      <c r="AX44" s="231"/>
      <c r="AY44" s="340">
        <f t="shared" si="25"/>
        <v>5006787.3007283164</v>
      </c>
      <c r="AZ44" s="231">
        <f>'Schedule 3A_Income Statement'!CH61</f>
        <v>1046055.6967316854</v>
      </c>
      <c r="BA44" s="231"/>
      <c r="BB44" s="340">
        <f t="shared" si="26"/>
        <v>1046055.6967316854</v>
      </c>
      <c r="BC44" s="340">
        <f t="shared" si="27"/>
        <v>6052842.9974600021</v>
      </c>
      <c r="BD44" s="231"/>
      <c r="BE44" s="231"/>
      <c r="BF44" s="231"/>
      <c r="BG44" s="231"/>
      <c r="BH44" s="635"/>
      <c r="BI44" s="222">
        <f t="shared" si="28"/>
        <v>6052842.9974600021</v>
      </c>
      <c r="BJ44" s="936">
        <f>BI44-BH44-'Schedule 3A_Income Statement'!CR61</f>
        <v>0</v>
      </c>
      <c r="BL44" s="340">
        <f t="shared" si="29"/>
        <v>18353229.490491349</v>
      </c>
      <c r="BM44" s="340">
        <f t="shared" si="0"/>
        <v>0</v>
      </c>
      <c r="BN44" s="340">
        <f t="shared" si="1"/>
        <v>18353229.490491349</v>
      </c>
      <c r="BO44" s="340">
        <f t="shared" si="2"/>
        <v>4558842.3827079376</v>
      </c>
      <c r="BP44" s="340">
        <f t="shared" si="3"/>
        <v>0</v>
      </c>
      <c r="BQ44" s="340">
        <f t="shared" si="4"/>
        <v>4558842.3827079376</v>
      </c>
      <c r="BR44" s="340">
        <f t="shared" si="5"/>
        <v>22912071.873199284</v>
      </c>
      <c r="BS44" s="340">
        <f t="shared" si="6"/>
        <v>0</v>
      </c>
      <c r="BT44" s="340">
        <f t="shared" si="7"/>
        <v>0</v>
      </c>
      <c r="BU44" s="340">
        <f t="shared" si="8"/>
        <v>0</v>
      </c>
      <c r="BV44" s="340">
        <f t="shared" si="9"/>
        <v>0</v>
      </c>
      <c r="BW44" s="340">
        <f t="shared" si="10"/>
        <v>0</v>
      </c>
      <c r="BX44" s="340">
        <f t="shared" si="11"/>
        <v>22912071.873199284</v>
      </c>
      <c r="BY44" s="340">
        <f t="shared" si="12"/>
        <v>0</v>
      </c>
    </row>
    <row r="45" spans="1:77" s="329" customFormat="1" ht="15" customHeight="1">
      <c r="A45" s="939">
        <v>26</v>
      </c>
      <c r="B45" s="122" t="s">
        <v>54</v>
      </c>
      <c r="C45" s="122"/>
      <c r="D45" s="224">
        <f>SUM(D18:D44)-D27-D29</f>
        <v>51680673.286156088</v>
      </c>
      <c r="E45" s="224">
        <f t="shared" ref="E45:H45" si="46">SUM(E18:E44)-E27-E29</f>
        <v>0</v>
      </c>
      <c r="F45" s="224">
        <f t="shared" si="13"/>
        <v>51680673.286156088</v>
      </c>
      <c r="G45" s="224">
        <f t="shared" ref="G45:O45" si="47">SUM(G18:G44)-G27-G29</f>
        <v>85291136.07069388</v>
      </c>
      <c r="H45" s="224">
        <f t="shared" si="46"/>
        <v>0</v>
      </c>
      <c r="I45" s="224">
        <f t="shared" si="14"/>
        <v>85291136.07069388</v>
      </c>
      <c r="J45" s="224">
        <f t="shared" si="15"/>
        <v>136971809.35684997</v>
      </c>
      <c r="K45" s="224">
        <f>SUM(K18:K44)-K27-K29</f>
        <v>14193.24084252011</v>
      </c>
      <c r="L45" s="224">
        <f t="shared" si="47"/>
        <v>0</v>
      </c>
      <c r="M45" s="224">
        <f t="shared" si="47"/>
        <v>0</v>
      </c>
      <c r="N45" s="224">
        <f t="shared" si="47"/>
        <v>0</v>
      </c>
      <c r="O45" s="224">
        <f t="shared" si="47"/>
        <v>0</v>
      </c>
      <c r="P45" s="224">
        <f t="shared" si="16"/>
        <v>136986002.59769249</v>
      </c>
      <c r="Q45" s="940">
        <f>P45-O45-(SUM('Schedule 3A_Income Statement'!$CO$35:$CO$61)-'Schedule 3A_Income Statement'!$CO$44-'Schedule 3A_Income Statement'!$CO$46)</f>
        <v>0</v>
      </c>
      <c r="R45" s="223"/>
      <c r="S45" s="224">
        <f>SUM(S18:S44)-S27-S29</f>
        <v>57128354.331033774</v>
      </c>
      <c r="T45" s="224">
        <f t="shared" ref="T45" si="48">SUM(T18:T44)-T27-T29</f>
        <v>0</v>
      </c>
      <c r="U45" s="224">
        <f t="shared" si="17"/>
        <v>57128354.331033774</v>
      </c>
      <c r="V45" s="224">
        <f t="shared" ref="V45" si="49">SUM(V18:V44)-V27-V29</f>
        <v>86607815.199320465</v>
      </c>
      <c r="W45" s="224">
        <f t="shared" ref="W45" si="50">SUM(W18:W44)-W27-W29</f>
        <v>0</v>
      </c>
      <c r="X45" s="224">
        <f t="shared" si="18"/>
        <v>86607815.199320465</v>
      </c>
      <c r="Y45" s="224">
        <f t="shared" si="19"/>
        <v>143736169.53035423</v>
      </c>
      <c r="Z45" s="224">
        <f t="shared" ref="Z45:AC45" si="51">SUM(Z18:Z44)-Z27-Z29</f>
        <v>135830.07657174135</v>
      </c>
      <c r="AA45" s="224">
        <f t="shared" si="51"/>
        <v>0</v>
      </c>
      <c r="AB45" s="224">
        <f t="shared" si="51"/>
        <v>0</v>
      </c>
      <c r="AC45" s="224">
        <f t="shared" si="51"/>
        <v>0</v>
      </c>
      <c r="AD45" s="224">
        <f t="shared" ref="AD45" si="52">SUM(AD18:AD44)-AD27-AD29</f>
        <v>0</v>
      </c>
      <c r="AE45" s="224">
        <f t="shared" si="20"/>
        <v>143871999.60692596</v>
      </c>
      <c r="AF45" s="940">
        <f>AE45-AD45-(SUM('Schedule 3A_Income Statement'!$CP$35:$CP$61)-'Schedule 3A_Income Statement'!$CP$44-'Schedule 3A_Income Statement'!$CP$46)</f>
        <v>0</v>
      </c>
      <c r="AG45" s="223"/>
      <c r="AH45" s="224">
        <f>SUM(AH18:AH44)-AH27-AH29</f>
        <v>59030425.69584129</v>
      </c>
      <c r="AI45" s="224">
        <f t="shared" ref="AI45" si="53">SUM(AI18:AI44)-AI27-AI29</f>
        <v>0</v>
      </c>
      <c r="AJ45" s="224">
        <f t="shared" si="21"/>
        <v>59030425.69584129</v>
      </c>
      <c r="AK45" s="224">
        <f t="shared" ref="AK45" si="54">SUM(AK18:AK44)-AK27-AK29</f>
        <v>93151492.587644443</v>
      </c>
      <c r="AL45" s="224">
        <f t="shared" ref="AL45" si="55">SUM(AL18:AL44)-AL27-AL29</f>
        <v>0</v>
      </c>
      <c r="AM45" s="224">
        <f t="shared" si="22"/>
        <v>93151492.587644443</v>
      </c>
      <c r="AN45" s="224">
        <f t="shared" si="23"/>
        <v>152181918.28348574</v>
      </c>
      <c r="AO45" s="224">
        <f t="shared" ref="AO45:AR45" si="56">SUM(AO18:AO44)-AO27-AO29</f>
        <v>695727.11029315135</v>
      </c>
      <c r="AP45" s="224">
        <f t="shared" si="56"/>
        <v>0</v>
      </c>
      <c r="AQ45" s="224">
        <f t="shared" si="56"/>
        <v>0</v>
      </c>
      <c r="AR45" s="224">
        <f t="shared" si="56"/>
        <v>0</v>
      </c>
      <c r="AS45" s="224">
        <f t="shared" ref="AS45" si="57">SUM(AS18:AS44)-AS27-AS29</f>
        <v>0</v>
      </c>
      <c r="AT45" s="224">
        <f t="shared" si="24"/>
        <v>152877645.39377889</v>
      </c>
      <c r="AU45" s="940">
        <f>AT45-AS45-(SUM('Schedule 3A_Income Statement'!$CQ$35:$CQ$61)-'Schedule 3A_Income Statement'!$CQ$44-'Schedule 3A_Income Statement'!$CQ$46)</f>
        <v>0</v>
      </c>
      <c r="AV45" s="223"/>
      <c r="AW45" s="224">
        <f>SUM(AW18:AW44)-AW27-AW29</f>
        <v>62006456.748763509</v>
      </c>
      <c r="AX45" s="224">
        <f t="shared" ref="AX45" si="58">SUM(AX18:AX44)-AX27-AX29</f>
        <v>0</v>
      </c>
      <c r="AY45" s="224">
        <f t="shared" si="25"/>
        <v>62006456.748763509</v>
      </c>
      <c r="AZ45" s="224">
        <f t="shared" ref="AZ45" si="59">SUM(AZ18:AZ44)-AZ27-AZ29</f>
        <v>97146000.935754195</v>
      </c>
      <c r="BA45" s="224">
        <f t="shared" ref="BA45" si="60">SUM(BA18:BA44)-BA27-BA29</f>
        <v>0</v>
      </c>
      <c r="BB45" s="224">
        <f t="shared" si="26"/>
        <v>97146000.935754195</v>
      </c>
      <c r="BC45" s="224">
        <f t="shared" si="27"/>
        <v>159152457.68451771</v>
      </c>
      <c r="BD45" s="224">
        <f t="shared" ref="BD45:BG45" si="61">SUM(BD18:BD44)-BD27-BD29</f>
        <v>2165580.8764659362</v>
      </c>
      <c r="BE45" s="224">
        <f t="shared" si="61"/>
        <v>0</v>
      </c>
      <c r="BF45" s="224">
        <f t="shared" si="61"/>
        <v>0</v>
      </c>
      <c r="BG45" s="224">
        <f t="shared" si="61"/>
        <v>0</v>
      </c>
      <c r="BH45" s="224">
        <f t="shared" ref="BH45" si="62">SUM(BH18:BH44)-BH27-BH29</f>
        <v>0</v>
      </c>
      <c r="BI45" s="224">
        <f t="shared" si="28"/>
        <v>161318038.56098366</v>
      </c>
      <c r="BJ45" s="940">
        <f>BI45-BH45-(SUM('Schedule 3A_Income Statement'!$CR$35:$CR$61)-'Schedule 3A_Income Statement'!$CR$44-'Schedule 3A_Income Statement'!$CR$46)</f>
        <v>0</v>
      </c>
      <c r="BL45" s="340">
        <f t="shared" si="29"/>
        <v>229845910.06179464</v>
      </c>
      <c r="BM45" s="340">
        <f t="shared" si="0"/>
        <v>0</v>
      </c>
      <c r="BN45" s="340">
        <f t="shared" si="1"/>
        <v>229845910.06179464</v>
      </c>
      <c r="BO45" s="340">
        <f t="shared" si="2"/>
        <v>362196444.79341298</v>
      </c>
      <c r="BP45" s="340">
        <f t="shared" si="3"/>
        <v>0</v>
      </c>
      <c r="BQ45" s="340">
        <f t="shared" si="4"/>
        <v>362196444.79341298</v>
      </c>
      <c r="BR45" s="340">
        <f t="shared" si="5"/>
        <v>592042354.85520768</v>
      </c>
      <c r="BS45" s="340">
        <f t="shared" si="6"/>
        <v>3011331.3041733489</v>
      </c>
      <c r="BT45" s="340">
        <f t="shared" si="7"/>
        <v>0</v>
      </c>
      <c r="BU45" s="340">
        <f t="shared" si="8"/>
        <v>0</v>
      </c>
      <c r="BV45" s="340">
        <f t="shared" si="9"/>
        <v>0</v>
      </c>
      <c r="BW45" s="340">
        <f t="shared" si="10"/>
        <v>0</v>
      </c>
      <c r="BX45" s="340">
        <f t="shared" si="11"/>
        <v>595053686.15938103</v>
      </c>
      <c r="BY45" s="340">
        <f t="shared" si="12"/>
        <v>0</v>
      </c>
    </row>
    <row r="46" spans="1:77" s="329" customFormat="1" ht="15" customHeight="1">
      <c r="A46" s="606"/>
      <c r="B46" s="234"/>
      <c r="C46" s="234"/>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L46" s="145"/>
      <c r="BM46" s="145"/>
      <c r="BN46" s="145"/>
      <c r="BO46" s="145"/>
      <c r="BP46" s="145"/>
      <c r="BQ46" s="145"/>
      <c r="BR46" s="145"/>
      <c r="BS46" s="145"/>
      <c r="BT46" s="145"/>
      <c r="BU46" s="145"/>
      <c r="BV46" s="145"/>
      <c r="BW46" s="145"/>
      <c r="BX46" s="145"/>
      <c r="BY46" s="145"/>
    </row>
    <row r="47" spans="1:77" s="329" customFormat="1">
      <c r="A47" s="604">
        <v>27</v>
      </c>
      <c r="B47" s="122" t="s">
        <v>204</v>
      </c>
      <c r="C47" s="122" t="s">
        <v>204</v>
      </c>
      <c r="D47" s="340">
        <f t="shared" ref="D47:H52" si="63">SUMIF($C$18:$C$45,$C47,D$18:D$45)</f>
        <v>2873.11</v>
      </c>
      <c r="E47" s="340">
        <f t="shared" si="63"/>
        <v>0</v>
      </c>
      <c r="F47" s="340">
        <f t="shared" si="13"/>
        <v>2873.11</v>
      </c>
      <c r="G47" s="340">
        <f t="shared" si="63"/>
        <v>3957052.52</v>
      </c>
      <c r="H47" s="340">
        <f t="shared" si="63"/>
        <v>0</v>
      </c>
      <c r="I47" s="340">
        <f t="shared" ref="I47:I52" si="64">SUM(G47:H47)</f>
        <v>3957052.52</v>
      </c>
      <c r="J47" s="340">
        <f t="shared" ref="J47:J52" si="65">F47+I47</f>
        <v>3959925.63</v>
      </c>
      <c r="K47" s="340">
        <f t="shared" ref="K47:O52" si="66">SUMIF($C$18:$C$45,$C47,K$18:K$45)</f>
        <v>0.80928554750698023</v>
      </c>
      <c r="L47" s="340">
        <f t="shared" si="66"/>
        <v>0</v>
      </c>
      <c r="M47" s="340">
        <f t="shared" si="66"/>
        <v>0</v>
      </c>
      <c r="N47" s="340">
        <f t="shared" si="66"/>
        <v>0</v>
      </c>
      <c r="O47" s="340">
        <f t="shared" si="66"/>
        <v>0</v>
      </c>
      <c r="P47" s="341">
        <f t="shared" ref="P47:P52" si="67">SUM(J47:N47)</f>
        <v>3959926.4392855475</v>
      </c>
      <c r="Q47" s="631"/>
      <c r="R47" s="145"/>
      <c r="S47" s="340">
        <f t="shared" ref="S47:W52" si="68">SUMIF($C$18:$C$45,$C47,S$18:S$45)</f>
        <v>1055.8399999999999</v>
      </c>
      <c r="T47" s="340">
        <f t="shared" si="68"/>
        <v>0</v>
      </c>
      <c r="U47" s="340">
        <f t="shared" ref="U47:U52" si="69">SUM(S47:T47)</f>
        <v>1055.8399999999999</v>
      </c>
      <c r="V47" s="340">
        <f t="shared" si="68"/>
        <v>4451983.1399999997</v>
      </c>
      <c r="W47" s="340">
        <f t="shared" si="68"/>
        <v>0</v>
      </c>
      <c r="X47" s="340">
        <f t="shared" ref="X47:X52" si="70">SUM(V47:W47)</f>
        <v>4451983.1399999997</v>
      </c>
      <c r="Y47" s="340">
        <f t="shared" ref="Y47:Y52" si="71">U47+X47</f>
        <v>4453038.9799999995</v>
      </c>
      <c r="Z47" s="340">
        <f t="shared" ref="Z47:AD52" si="72">SUMIF($C$18:$C$45,$C47,Z$18:Z$45)</f>
        <v>2.0167112343170603</v>
      </c>
      <c r="AA47" s="340">
        <f t="shared" si="72"/>
        <v>0</v>
      </c>
      <c r="AB47" s="340">
        <f t="shared" si="72"/>
        <v>0</v>
      </c>
      <c r="AC47" s="340">
        <f t="shared" si="72"/>
        <v>0</v>
      </c>
      <c r="AD47" s="340">
        <f t="shared" si="72"/>
        <v>0</v>
      </c>
      <c r="AE47" s="341">
        <f t="shared" ref="AE47:AE52" si="73">SUM(Y47:AC47)</f>
        <v>4453040.9967112336</v>
      </c>
      <c r="AF47" s="631"/>
      <c r="AG47" s="145"/>
      <c r="AH47" s="340">
        <f t="shared" ref="AH47:AL52" si="74">SUMIF($C$18:$C$45,$C47,AH$18:AH$45)</f>
        <v>4746.28</v>
      </c>
      <c r="AI47" s="340">
        <f t="shared" si="74"/>
        <v>0</v>
      </c>
      <c r="AJ47" s="340">
        <f t="shared" ref="AJ47:AJ52" si="75">SUM(AH47:AI47)</f>
        <v>4746.28</v>
      </c>
      <c r="AK47" s="340">
        <f t="shared" si="74"/>
        <v>4332994.62</v>
      </c>
      <c r="AL47" s="340">
        <f t="shared" si="74"/>
        <v>0</v>
      </c>
      <c r="AM47" s="340">
        <f t="shared" ref="AM47:AM52" si="76">SUM(AK47:AL47)</f>
        <v>4332994.62</v>
      </c>
      <c r="AN47" s="340">
        <f t="shared" ref="AN47:AN52" si="77">AJ47+AM47</f>
        <v>4337740.9000000004</v>
      </c>
      <c r="AO47" s="340">
        <f t="shared" ref="AO47:AS52" si="78">SUMIF($C$18:$C$45,$C47,AO$18:AO$45)</f>
        <v>41.424421892104455</v>
      </c>
      <c r="AP47" s="340">
        <f t="shared" si="78"/>
        <v>0</v>
      </c>
      <c r="AQ47" s="340">
        <f t="shared" si="78"/>
        <v>0</v>
      </c>
      <c r="AR47" s="340">
        <f t="shared" si="78"/>
        <v>0</v>
      </c>
      <c r="AS47" s="340">
        <f t="shared" si="78"/>
        <v>0</v>
      </c>
      <c r="AT47" s="341">
        <f t="shared" ref="AT47:AT52" si="79">SUM(AN47:AR47)</f>
        <v>4337782.3244218929</v>
      </c>
      <c r="AU47" s="631"/>
      <c r="AV47" s="145"/>
      <c r="AW47" s="340">
        <f t="shared" ref="AW47:BA52" si="80">SUMIF($C$18:$C$45,$C47,AW$18:AW$45)</f>
        <v>2049.83</v>
      </c>
      <c r="AX47" s="340">
        <f t="shared" si="80"/>
        <v>0</v>
      </c>
      <c r="AY47" s="340">
        <f t="shared" ref="AY47:AY52" si="81">SUM(AW47:AX47)</f>
        <v>2049.83</v>
      </c>
      <c r="AZ47" s="340">
        <f t="shared" si="80"/>
        <v>5071982.88</v>
      </c>
      <c r="BA47" s="340">
        <f t="shared" si="80"/>
        <v>0</v>
      </c>
      <c r="BB47" s="340">
        <f t="shared" ref="BB47:BB52" si="82">SUM(AZ47:BA47)</f>
        <v>5071982.88</v>
      </c>
      <c r="BC47" s="340">
        <f t="shared" ref="BC47:BC52" si="83">AY47+BB47</f>
        <v>5074032.71</v>
      </c>
      <c r="BD47" s="340">
        <f t="shared" ref="BD47:BH52" si="84">SUMIF($C$18:$C$45,$C47,BD$18:BD$45)</f>
        <v>47.420026640045151</v>
      </c>
      <c r="BE47" s="340">
        <f t="shared" si="84"/>
        <v>0</v>
      </c>
      <c r="BF47" s="340">
        <f t="shared" si="84"/>
        <v>0</v>
      </c>
      <c r="BG47" s="340">
        <f t="shared" si="84"/>
        <v>0</v>
      </c>
      <c r="BH47" s="340">
        <f t="shared" si="84"/>
        <v>0</v>
      </c>
      <c r="BI47" s="341">
        <f t="shared" ref="BI47:BI52" si="85">SUM(BC47:BG47)</f>
        <v>5074080.1300266404</v>
      </c>
      <c r="BJ47" s="631"/>
      <c r="BL47" s="340">
        <f t="shared" ref="BL47:BL52" si="86">D47+S47+AH47+AW47</f>
        <v>10725.06</v>
      </c>
      <c r="BM47" s="340">
        <f t="shared" ref="BM47:BM52" si="87">E47+T47+AI47+AX47</f>
        <v>0</v>
      </c>
      <c r="BN47" s="340">
        <f t="shared" ref="BN47:BN52" si="88">F47+U47+AJ47+AY47</f>
        <v>10725.06</v>
      </c>
      <c r="BO47" s="340">
        <f t="shared" ref="BO47:BO52" si="89">G47+V47+AK47+AZ47</f>
        <v>17814013.16</v>
      </c>
      <c r="BP47" s="340">
        <f t="shared" ref="BP47:BP52" si="90">H47+W47+AL47+BA47</f>
        <v>0</v>
      </c>
      <c r="BQ47" s="340">
        <f t="shared" ref="BQ47:BQ52" si="91">I47+X47+AM47+BB47</f>
        <v>17814013.16</v>
      </c>
      <c r="BR47" s="340">
        <f t="shared" ref="BR47:BR52" si="92">J47+Y47+AN47+BC47</f>
        <v>17824738.219999999</v>
      </c>
      <c r="BS47" s="340">
        <f t="shared" ref="BS47:BS52" si="93">K47+Z47+AO47+BD47</f>
        <v>91.670445313973644</v>
      </c>
      <c r="BT47" s="340">
        <f t="shared" ref="BT47:BT52" si="94">L47+AA47+AP47+BE47</f>
        <v>0</v>
      </c>
      <c r="BU47" s="340">
        <f t="shared" ref="BU47:BU52" si="95">M47+AB47+AQ47+BF47</f>
        <v>0</v>
      </c>
      <c r="BV47" s="340">
        <f t="shared" ref="BV47:BV52" si="96">N47+AC47+AR47+BG47</f>
        <v>0</v>
      </c>
      <c r="BW47" s="340">
        <f t="shared" ref="BW47:BW52" si="97">O47+AD47+AS47+BH47</f>
        <v>0</v>
      </c>
      <c r="BX47" s="340">
        <f t="shared" ref="BX47:BX52" si="98">P47+AE47+AT47+BI47</f>
        <v>17824829.890445314</v>
      </c>
      <c r="BY47" s="631"/>
    </row>
    <row r="48" spans="1:77" s="329" customFormat="1">
      <c r="A48" s="604">
        <v>28</v>
      </c>
      <c r="B48" s="120" t="s">
        <v>375</v>
      </c>
      <c r="C48" s="120" t="s">
        <v>375</v>
      </c>
      <c r="D48" s="340">
        <f t="shared" si="63"/>
        <v>12779154.619999997</v>
      </c>
      <c r="E48" s="340">
        <f t="shared" si="63"/>
        <v>0</v>
      </c>
      <c r="F48" s="340">
        <f t="shared" si="13"/>
        <v>12779154.619999997</v>
      </c>
      <c r="G48" s="340">
        <f t="shared" si="63"/>
        <v>3187171.3599999994</v>
      </c>
      <c r="H48" s="340">
        <f t="shared" si="63"/>
        <v>0</v>
      </c>
      <c r="I48" s="340">
        <f t="shared" si="64"/>
        <v>3187171.3599999994</v>
      </c>
      <c r="J48" s="340">
        <f t="shared" si="65"/>
        <v>15966325.979999997</v>
      </c>
      <c r="K48" s="340">
        <f t="shared" si="66"/>
        <v>3644.6131894589871</v>
      </c>
      <c r="L48" s="340">
        <f t="shared" si="66"/>
        <v>0</v>
      </c>
      <c r="M48" s="340">
        <f t="shared" si="66"/>
        <v>0</v>
      </c>
      <c r="N48" s="340">
        <f t="shared" si="66"/>
        <v>0</v>
      </c>
      <c r="O48" s="340">
        <f t="shared" si="66"/>
        <v>0</v>
      </c>
      <c r="P48" s="342">
        <f t="shared" si="67"/>
        <v>15969970.593189456</v>
      </c>
      <c r="Q48" s="631"/>
      <c r="R48" s="145"/>
      <c r="S48" s="340">
        <f t="shared" si="68"/>
        <v>13484058.520000001</v>
      </c>
      <c r="T48" s="340">
        <f t="shared" si="68"/>
        <v>0</v>
      </c>
      <c r="U48" s="340">
        <f t="shared" si="69"/>
        <v>13484058.520000001</v>
      </c>
      <c r="V48" s="340">
        <f t="shared" si="68"/>
        <v>2315152.3699999996</v>
      </c>
      <c r="W48" s="340">
        <f t="shared" si="68"/>
        <v>0</v>
      </c>
      <c r="X48" s="340">
        <f t="shared" si="70"/>
        <v>2315152.3699999996</v>
      </c>
      <c r="Y48" s="340">
        <f t="shared" si="71"/>
        <v>15799210.890000001</v>
      </c>
      <c r="Z48" s="340">
        <f t="shared" si="72"/>
        <v>24770.428941646955</v>
      </c>
      <c r="AA48" s="340">
        <f t="shared" si="72"/>
        <v>0</v>
      </c>
      <c r="AB48" s="340">
        <f t="shared" si="72"/>
        <v>0</v>
      </c>
      <c r="AC48" s="340">
        <f t="shared" si="72"/>
        <v>0</v>
      </c>
      <c r="AD48" s="340">
        <f t="shared" si="72"/>
        <v>0</v>
      </c>
      <c r="AE48" s="342">
        <f t="shared" si="73"/>
        <v>15823981.318941647</v>
      </c>
      <c r="AF48" s="631"/>
      <c r="AG48" s="145"/>
      <c r="AH48" s="340">
        <f t="shared" si="74"/>
        <v>14038132.33</v>
      </c>
      <c r="AI48" s="340">
        <f t="shared" si="74"/>
        <v>0</v>
      </c>
      <c r="AJ48" s="340">
        <f t="shared" si="75"/>
        <v>14038132.33</v>
      </c>
      <c r="AK48" s="340">
        <f t="shared" si="74"/>
        <v>2617636.9700000002</v>
      </c>
      <c r="AL48" s="340">
        <f t="shared" si="74"/>
        <v>0</v>
      </c>
      <c r="AM48" s="340">
        <f t="shared" si="76"/>
        <v>2617636.9700000002</v>
      </c>
      <c r="AN48" s="340">
        <f t="shared" si="77"/>
        <v>16655769.300000001</v>
      </c>
      <c r="AO48" s="340">
        <f t="shared" si="78"/>
        <v>116435.17161039764</v>
      </c>
      <c r="AP48" s="340">
        <f t="shared" si="78"/>
        <v>0</v>
      </c>
      <c r="AQ48" s="340">
        <f t="shared" si="78"/>
        <v>0</v>
      </c>
      <c r="AR48" s="340">
        <f t="shared" si="78"/>
        <v>0</v>
      </c>
      <c r="AS48" s="340">
        <f t="shared" si="78"/>
        <v>0</v>
      </c>
      <c r="AT48" s="342">
        <f t="shared" si="79"/>
        <v>16772204.471610399</v>
      </c>
      <c r="AU48" s="631"/>
      <c r="AV48" s="145"/>
      <c r="AW48" s="340">
        <f t="shared" si="80"/>
        <v>14197091.609999999</v>
      </c>
      <c r="AX48" s="340">
        <f t="shared" si="80"/>
        <v>0</v>
      </c>
      <c r="AY48" s="340">
        <f t="shared" si="81"/>
        <v>14197091.609999999</v>
      </c>
      <c r="AZ48" s="340">
        <f t="shared" si="80"/>
        <v>3256513.6499999994</v>
      </c>
      <c r="BA48" s="340">
        <f t="shared" si="80"/>
        <v>0</v>
      </c>
      <c r="BB48" s="340">
        <f t="shared" si="82"/>
        <v>3256513.6499999994</v>
      </c>
      <c r="BC48" s="340">
        <f t="shared" si="83"/>
        <v>17453605.259999998</v>
      </c>
      <c r="BD48" s="340">
        <f t="shared" si="84"/>
        <v>341470.36621782475</v>
      </c>
      <c r="BE48" s="340">
        <f t="shared" si="84"/>
        <v>0</v>
      </c>
      <c r="BF48" s="340">
        <f t="shared" si="84"/>
        <v>0</v>
      </c>
      <c r="BG48" s="340">
        <f t="shared" si="84"/>
        <v>0</v>
      </c>
      <c r="BH48" s="340">
        <f t="shared" si="84"/>
        <v>0</v>
      </c>
      <c r="BI48" s="342">
        <f t="shared" si="85"/>
        <v>17795075.626217823</v>
      </c>
      <c r="BJ48" s="631"/>
      <c r="BL48" s="340">
        <f t="shared" si="86"/>
        <v>54498437.079999998</v>
      </c>
      <c r="BM48" s="340">
        <f t="shared" si="87"/>
        <v>0</v>
      </c>
      <c r="BN48" s="340">
        <f t="shared" si="88"/>
        <v>54498437.079999998</v>
      </c>
      <c r="BO48" s="340">
        <f t="shared" si="89"/>
        <v>11376474.349999998</v>
      </c>
      <c r="BP48" s="340">
        <f t="shared" si="90"/>
        <v>0</v>
      </c>
      <c r="BQ48" s="340">
        <f t="shared" si="91"/>
        <v>11376474.349999998</v>
      </c>
      <c r="BR48" s="340">
        <f t="shared" si="92"/>
        <v>65874911.43</v>
      </c>
      <c r="BS48" s="340">
        <f t="shared" si="93"/>
        <v>486320.57995932829</v>
      </c>
      <c r="BT48" s="340">
        <f t="shared" si="94"/>
        <v>0</v>
      </c>
      <c r="BU48" s="340">
        <f t="shared" si="95"/>
        <v>0</v>
      </c>
      <c r="BV48" s="340">
        <f t="shared" si="96"/>
        <v>0</v>
      </c>
      <c r="BW48" s="340">
        <f t="shared" si="97"/>
        <v>0</v>
      </c>
      <c r="BX48" s="340">
        <f t="shared" si="98"/>
        <v>66361232.009959325</v>
      </c>
      <c r="BY48" s="631"/>
    </row>
    <row r="49" spans="1:77" s="329" customFormat="1">
      <c r="A49" s="604">
        <v>29</v>
      </c>
      <c r="B49" s="122" t="s">
        <v>377</v>
      </c>
      <c r="C49" s="122" t="s">
        <v>377</v>
      </c>
      <c r="D49" s="340">
        <f t="shared" si="63"/>
        <v>2325883.399999999</v>
      </c>
      <c r="E49" s="340">
        <f t="shared" si="63"/>
        <v>0</v>
      </c>
      <c r="F49" s="340">
        <f t="shared" si="13"/>
        <v>2325883.399999999</v>
      </c>
      <c r="G49" s="340">
        <f t="shared" si="63"/>
        <v>7523157.8599999975</v>
      </c>
      <c r="H49" s="340">
        <f t="shared" si="63"/>
        <v>0</v>
      </c>
      <c r="I49" s="340">
        <f t="shared" si="64"/>
        <v>7523157.8599999975</v>
      </c>
      <c r="J49" s="340">
        <f t="shared" si="65"/>
        <v>9849041.2599999961</v>
      </c>
      <c r="K49" s="340">
        <f t="shared" si="66"/>
        <v>1111.8912280683062</v>
      </c>
      <c r="L49" s="340">
        <f t="shared" si="66"/>
        <v>0</v>
      </c>
      <c r="M49" s="340">
        <f t="shared" si="66"/>
        <v>0</v>
      </c>
      <c r="N49" s="340">
        <f t="shared" si="66"/>
        <v>0</v>
      </c>
      <c r="O49" s="340">
        <f t="shared" si="66"/>
        <v>0</v>
      </c>
      <c r="P49" s="342">
        <f t="shared" si="67"/>
        <v>9850153.1512280647</v>
      </c>
      <c r="Q49" s="631"/>
      <c r="R49" s="145"/>
      <c r="S49" s="340">
        <f t="shared" si="68"/>
        <v>3165818.6700000009</v>
      </c>
      <c r="T49" s="340">
        <f t="shared" si="68"/>
        <v>0</v>
      </c>
      <c r="U49" s="340">
        <f t="shared" si="69"/>
        <v>3165818.6700000009</v>
      </c>
      <c r="V49" s="340">
        <f t="shared" si="68"/>
        <v>6218122.1200000001</v>
      </c>
      <c r="W49" s="340">
        <f t="shared" si="68"/>
        <v>0</v>
      </c>
      <c r="X49" s="340">
        <f t="shared" si="70"/>
        <v>6218122.1200000001</v>
      </c>
      <c r="Y49" s="340">
        <f t="shared" si="71"/>
        <v>9383940.790000001</v>
      </c>
      <c r="Z49" s="340">
        <f t="shared" si="72"/>
        <v>11109.213126649589</v>
      </c>
      <c r="AA49" s="340">
        <f t="shared" si="72"/>
        <v>0</v>
      </c>
      <c r="AB49" s="340">
        <f t="shared" si="72"/>
        <v>0</v>
      </c>
      <c r="AC49" s="340">
        <f t="shared" si="72"/>
        <v>0</v>
      </c>
      <c r="AD49" s="340">
        <f t="shared" si="72"/>
        <v>0</v>
      </c>
      <c r="AE49" s="342">
        <f t="shared" si="73"/>
        <v>9395050.003126651</v>
      </c>
      <c r="AF49" s="631"/>
      <c r="AG49" s="145"/>
      <c r="AH49" s="340">
        <f t="shared" si="74"/>
        <v>1921291.5499999989</v>
      </c>
      <c r="AI49" s="340">
        <f t="shared" si="74"/>
        <v>0</v>
      </c>
      <c r="AJ49" s="340">
        <f t="shared" si="75"/>
        <v>1921291.5499999989</v>
      </c>
      <c r="AK49" s="340">
        <f t="shared" si="74"/>
        <v>6859987.209999999</v>
      </c>
      <c r="AL49" s="340">
        <f t="shared" si="74"/>
        <v>0</v>
      </c>
      <c r="AM49" s="340">
        <f t="shared" si="76"/>
        <v>6859987.209999999</v>
      </c>
      <c r="AN49" s="340">
        <f t="shared" si="77"/>
        <v>8781278.7599999979</v>
      </c>
      <c r="AO49" s="340">
        <f t="shared" si="78"/>
        <v>48493.261127348182</v>
      </c>
      <c r="AP49" s="340">
        <f t="shared" si="78"/>
        <v>0</v>
      </c>
      <c r="AQ49" s="340">
        <f t="shared" si="78"/>
        <v>0</v>
      </c>
      <c r="AR49" s="340">
        <f t="shared" si="78"/>
        <v>0</v>
      </c>
      <c r="AS49" s="340">
        <f t="shared" si="78"/>
        <v>0</v>
      </c>
      <c r="AT49" s="342">
        <f t="shared" si="79"/>
        <v>8829772.0211273469</v>
      </c>
      <c r="AU49" s="631"/>
      <c r="AV49" s="145"/>
      <c r="AW49" s="340">
        <f t="shared" si="80"/>
        <v>1894064.9999999993</v>
      </c>
      <c r="AX49" s="340">
        <f t="shared" si="80"/>
        <v>0</v>
      </c>
      <c r="AY49" s="340">
        <f t="shared" si="81"/>
        <v>1894064.9999999993</v>
      </c>
      <c r="AZ49" s="340">
        <f t="shared" si="80"/>
        <v>6802849.2700000005</v>
      </c>
      <c r="BA49" s="340">
        <f t="shared" si="80"/>
        <v>0</v>
      </c>
      <c r="BB49" s="340">
        <f t="shared" si="82"/>
        <v>6802849.2700000005</v>
      </c>
      <c r="BC49" s="340">
        <f t="shared" si="83"/>
        <v>8696914.2699999996</v>
      </c>
      <c r="BD49" s="340">
        <f t="shared" si="84"/>
        <v>145969.85196944192</v>
      </c>
      <c r="BE49" s="340">
        <f t="shared" si="84"/>
        <v>0</v>
      </c>
      <c r="BF49" s="340">
        <f t="shared" si="84"/>
        <v>0</v>
      </c>
      <c r="BG49" s="340">
        <f t="shared" si="84"/>
        <v>0</v>
      </c>
      <c r="BH49" s="340">
        <f t="shared" si="84"/>
        <v>0</v>
      </c>
      <c r="BI49" s="342">
        <f t="shared" si="85"/>
        <v>8842884.121969441</v>
      </c>
      <c r="BJ49" s="631"/>
      <c r="BL49" s="340">
        <f t="shared" si="86"/>
        <v>9307058.6199999992</v>
      </c>
      <c r="BM49" s="340">
        <f t="shared" si="87"/>
        <v>0</v>
      </c>
      <c r="BN49" s="340">
        <f t="shared" si="88"/>
        <v>9307058.6199999992</v>
      </c>
      <c r="BO49" s="340">
        <f t="shared" si="89"/>
        <v>27404116.459999997</v>
      </c>
      <c r="BP49" s="340">
        <f t="shared" si="90"/>
        <v>0</v>
      </c>
      <c r="BQ49" s="340">
        <f t="shared" si="91"/>
        <v>27404116.459999997</v>
      </c>
      <c r="BR49" s="340">
        <f t="shared" si="92"/>
        <v>36711175.079999998</v>
      </c>
      <c r="BS49" s="340">
        <f t="shared" si="93"/>
        <v>206684.21745150798</v>
      </c>
      <c r="BT49" s="340">
        <f t="shared" si="94"/>
        <v>0</v>
      </c>
      <c r="BU49" s="340">
        <f t="shared" si="95"/>
        <v>0</v>
      </c>
      <c r="BV49" s="340">
        <f t="shared" si="96"/>
        <v>0</v>
      </c>
      <c r="BW49" s="340">
        <f t="shared" si="97"/>
        <v>0</v>
      </c>
      <c r="BX49" s="340">
        <f t="shared" si="98"/>
        <v>36917859.297451504</v>
      </c>
      <c r="BY49" s="631"/>
    </row>
    <row r="50" spans="1:77" s="329" customFormat="1">
      <c r="A50" s="604">
        <v>30</v>
      </c>
      <c r="B50" s="120" t="s">
        <v>379</v>
      </c>
      <c r="C50" s="120" t="s">
        <v>202</v>
      </c>
      <c r="D50" s="340">
        <f t="shared" si="63"/>
        <v>14768289.552190233</v>
      </c>
      <c r="E50" s="340">
        <f t="shared" si="63"/>
        <v>0</v>
      </c>
      <c r="F50" s="340">
        <f t="shared" si="13"/>
        <v>14768289.552190233</v>
      </c>
      <c r="G50" s="340">
        <f t="shared" si="63"/>
        <v>65014977.242532544</v>
      </c>
      <c r="H50" s="340">
        <f t="shared" si="63"/>
        <v>0</v>
      </c>
      <c r="I50" s="340">
        <f t="shared" si="64"/>
        <v>65014977.242532544</v>
      </c>
      <c r="J50" s="340">
        <f t="shared" si="65"/>
        <v>79783266.794722781</v>
      </c>
      <c r="K50" s="340">
        <f t="shared" si="66"/>
        <v>6824.1039035881849</v>
      </c>
      <c r="L50" s="340">
        <f t="shared" si="66"/>
        <v>0</v>
      </c>
      <c r="M50" s="340">
        <f t="shared" si="66"/>
        <v>0</v>
      </c>
      <c r="N50" s="340">
        <f t="shared" si="66"/>
        <v>0</v>
      </c>
      <c r="O50" s="340">
        <f t="shared" si="66"/>
        <v>0</v>
      </c>
      <c r="P50" s="342">
        <f t="shared" si="67"/>
        <v>79790090.898626372</v>
      </c>
      <c r="Q50" s="631"/>
      <c r="R50" s="145"/>
      <c r="S50" s="340">
        <f t="shared" si="68"/>
        <v>16354988.890000001</v>
      </c>
      <c r="T50" s="340">
        <f t="shared" si="68"/>
        <v>0</v>
      </c>
      <c r="U50" s="340">
        <f t="shared" si="69"/>
        <v>16354988.890000001</v>
      </c>
      <c r="V50" s="340">
        <f t="shared" si="68"/>
        <v>67223516.483443856</v>
      </c>
      <c r="W50" s="340">
        <f t="shared" si="68"/>
        <v>0</v>
      </c>
      <c r="X50" s="340">
        <f t="shared" si="70"/>
        <v>67223516.483443856</v>
      </c>
      <c r="Y50" s="340">
        <f t="shared" si="71"/>
        <v>83578505.373443857</v>
      </c>
      <c r="Z50" s="340">
        <f t="shared" si="72"/>
        <v>78719.415763993704</v>
      </c>
      <c r="AA50" s="340">
        <f t="shared" si="72"/>
        <v>0</v>
      </c>
      <c r="AB50" s="340">
        <f t="shared" si="72"/>
        <v>0</v>
      </c>
      <c r="AC50" s="340">
        <f t="shared" si="72"/>
        <v>0</v>
      </c>
      <c r="AD50" s="340">
        <f t="shared" si="72"/>
        <v>0</v>
      </c>
      <c r="AE50" s="342">
        <f t="shared" si="73"/>
        <v>83657224.789207846</v>
      </c>
      <c r="AF50" s="631"/>
      <c r="AG50" s="145"/>
      <c r="AH50" s="340">
        <f t="shared" si="74"/>
        <v>16728676.987572826</v>
      </c>
      <c r="AI50" s="340">
        <f t="shared" si="74"/>
        <v>0</v>
      </c>
      <c r="AJ50" s="340">
        <f t="shared" si="75"/>
        <v>16728676.987572826</v>
      </c>
      <c r="AK50" s="340">
        <f t="shared" si="74"/>
        <v>72469165.780002534</v>
      </c>
      <c r="AL50" s="340">
        <f t="shared" si="74"/>
        <v>0</v>
      </c>
      <c r="AM50" s="340">
        <f t="shared" si="76"/>
        <v>72469165.780002534</v>
      </c>
      <c r="AN50" s="340">
        <f t="shared" si="77"/>
        <v>89197842.767575353</v>
      </c>
      <c r="AO50" s="340">
        <f t="shared" si="78"/>
        <v>430027.57954105682</v>
      </c>
      <c r="AP50" s="340">
        <f t="shared" si="78"/>
        <v>0</v>
      </c>
      <c r="AQ50" s="340">
        <f t="shared" si="78"/>
        <v>0</v>
      </c>
      <c r="AR50" s="340">
        <f t="shared" si="78"/>
        <v>0</v>
      </c>
      <c r="AS50" s="340">
        <f t="shared" si="78"/>
        <v>0</v>
      </c>
      <c r="AT50" s="342">
        <f t="shared" si="79"/>
        <v>89627870.347116411</v>
      </c>
      <c r="AU50" s="631"/>
      <c r="AV50" s="145"/>
      <c r="AW50" s="340">
        <f t="shared" si="80"/>
        <v>17897630.640728336</v>
      </c>
      <c r="AX50" s="340">
        <f t="shared" si="80"/>
        <v>0</v>
      </c>
      <c r="AY50" s="340">
        <f t="shared" si="81"/>
        <v>17897630.640728336</v>
      </c>
      <c r="AZ50" s="340">
        <f t="shared" si="80"/>
        <v>75262885.686732754</v>
      </c>
      <c r="BA50" s="340">
        <f t="shared" si="80"/>
        <v>0</v>
      </c>
      <c r="BB50" s="340">
        <f t="shared" si="82"/>
        <v>75262885.686732754</v>
      </c>
      <c r="BC50" s="340">
        <f t="shared" si="83"/>
        <v>93160516.327461094</v>
      </c>
      <c r="BD50" s="340">
        <f t="shared" si="84"/>
        <v>1384073.6586014556</v>
      </c>
      <c r="BE50" s="340">
        <f t="shared" si="84"/>
        <v>0</v>
      </c>
      <c r="BF50" s="340">
        <f t="shared" si="84"/>
        <v>0</v>
      </c>
      <c r="BG50" s="340">
        <f t="shared" si="84"/>
        <v>0</v>
      </c>
      <c r="BH50" s="340">
        <f t="shared" si="84"/>
        <v>0</v>
      </c>
      <c r="BI50" s="342">
        <f t="shared" si="85"/>
        <v>94544589.986062557</v>
      </c>
      <c r="BJ50" s="631"/>
      <c r="BL50" s="340">
        <f t="shared" si="86"/>
        <v>65749586.070491403</v>
      </c>
      <c r="BM50" s="340">
        <f t="shared" si="87"/>
        <v>0</v>
      </c>
      <c r="BN50" s="340">
        <f t="shared" si="88"/>
        <v>65749586.070491403</v>
      </c>
      <c r="BO50" s="340">
        <f t="shared" si="89"/>
        <v>279970545.19271171</v>
      </c>
      <c r="BP50" s="340">
        <f t="shared" si="90"/>
        <v>0</v>
      </c>
      <c r="BQ50" s="340">
        <f t="shared" si="91"/>
        <v>279970545.19271171</v>
      </c>
      <c r="BR50" s="340">
        <f t="shared" si="92"/>
        <v>345720131.26320308</v>
      </c>
      <c r="BS50" s="340">
        <f t="shared" si="93"/>
        <v>1899644.7578100944</v>
      </c>
      <c r="BT50" s="340">
        <f t="shared" si="94"/>
        <v>0</v>
      </c>
      <c r="BU50" s="340">
        <f t="shared" si="95"/>
        <v>0</v>
      </c>
      <c r="BV50" s="340">
        <f t="shared" si="96"/>
        <v>0</v>
      </c>
      <c r="BW50" s="340">
        <f t="shared" si="97"/>
        <v>0</v>
      </c>
      <c r="BX50" s="340">
        <f t="shared" si="98"/>
        <v>347619776.02101314</v>
      </c>
      <c r="BY50" s="631"/>
    </row>
    <row r="51" spans="1:77" s="329" customFormat="1">
      <c r="A51" s="604">
        <v>31</v>
      </c>
      <c r="B51" s="122" t="s">
        <v>381</v>
      </c>
      <c r="C51" s="122" t="s">
        <v>381</v>
      </c>
      <c r="D51" s="340">
        <f t="shared" si="63"/>
        <v>8815606.4400000032</v>
      </c>
      <c r="E51" s="340">
        <f t="shared" si="63"/>
        <v>0</v>
      </c>
      <c r="F51" s="340">
        <f t="shared" si="13"/>
        <v>8815606.4400000032</v>
      </c>
      <c r="G51" s="340">
        <f t="shared" si="63"/>
        <v>3709599.9799999995</v>
      </c>
      <c r="H51" s="340">
        <f t="shared" si="63"/>
        <v>0</v>
      </c>
      <c r="I51" s="340">
        <f t="shared" si="64"/>
        <v>3709599.9799999995</v>
      </c>
      <c r="J51" s="340">
        <f t="shared" si="65"/>
        <v>12525206.420000002</v>
      </c>
      <c r="K51" s="340">
        <f t="shared" si="66"/>
        <v>2611.8232358571231</v>
      </c>
      <c r="L51" s="340">
        <f t="shared" si="66"/>
        <v>0</v>
      </c>
      <c r="M51" s="340">
        <f t="shared" si="66"/>
        <v>0</v>
      </c>
      <c r="N51" s="340">
        <f t="shared" si="66"/>
        <v>0</v>
      </c>
      <c r="O51" s="340">
        <f t="shared" si="66"/>
        <v>0</v>
      </c>
      <c r="P51" s="342">
        <f t="shared" si="67"/>
        <v>12527818.243235858</v>
      </c>
      <c r="Q51" s="631"/>
      <c r="R51" s="145"/>
      <c r="S51" s="340">
        <f t="shared" si="68"/>
        <v>10454225.15000001</v>
      </c>
      <c r="T51" s="340">
        <f t="shared" si="68"/>
        <v>0</v>
      </c>
      <c r="U51" s="340">
        <f t="shared" si="69"/>
        <v>10454225.15000001</v>
      </c>
      <c r="V51" s="340">
        <f t="shared" si="68"/>
        <v>3965079.4</v>
      </c>
      <c r="W51" s="340">
        <f t="shared" si="68"/>
        <v>0</v>
      </c>
      <c r="X51" s="340">
        <f t="shared" si="70"/>
        <v>3965079.4</v>
      </c>
      <c r="Y51" s="340">
        <f t="shared" si="71"/>
        <v>14419304.55000001</v>
      </c>
      <c r="Z51" s="340">
        <f t="shared" si="72"/>
        <v>21229.002028216793</v>
      </c>
      <c r="AA51" s="340">
        <f t="shared" si="72"/>
        <v>0</v>
      </c>
      <c r="AB51" s="340">
        <f t="shared" si="72"/>
        <v>0</v>
      </c>
      <c r="AC51" s="340">
        <f t="shared" si="72"/>
        <v>0</v>
      </c>
      <c r="AD51" s="340">
        <f t="shared" si="72"/>
        <v>0</v>
      </c>
      <c r="AE51" s="342">
        <f t="shared" si="73"/>
        <v>14440533.552028228</v>
      </c>
      <c r="AF51" s="631"/>
      <c r="AG51" s="145"/>
      <c r="AH51" s="340">
        <f t="shared" si="74"/>
        <v>10833949.140000001</v>
      </c>
      <c r="AI51" s="340">
        <f t="shared" si="74"/>
        <v>0</v>
      </c>
      <c r="AJ51" s="340">
        <f t="shared" si="75"/>
        <v>10833949.140000001</v>
      </c>
      <c r="AK51" s="340">
        <f t="shared" si="74"/>
        <v>4191023.9699999993</v>
      </c>
      <c r="AL51" s="340">
        <f t="shared" si="74"/>
        <v>0</v>
      </c>
      <c r="AM51" s="340">
        <f t="shared" si="76"/>
        <v>4191023.9699999993</v>
      </c>
      <c r="AN51" s="340">
        <f t="shared" si="77"/>
        <v>15024973.109999999</v>
      </c>
      <c r="AO51" s="340">
        <f t="shared" si="78"/>
        <v>100729.67359245672</v>
      </c>
      <c r="AP51" s="340">
        <f t="shared" si="78"/>
        <v>0</v>
      </c>
      <c r="AQ51" s="340">
        <f t="shared" si="78"/>
        <v>0</v>
      </c>
      <c r="AR51" s="340">
        <f t="shared" si="78"/>
        <v>0</v>
      </c>
      <c r="AS51" s="340">
        <f t="shared" si="78"/>
        <v>0</v>
      </c>
      <c r="AT51" s="342">
        <f t="shared" si="79"/>
        <v>15125702.783592457</v>
      </c>
      <c r="AU51" s="631"/>
      <c r="AV51" s="145"/>
      <c r="AW51" s="340">
        <f t="shared" si="80"/>
        <v>11433327.65</v>
      </c>
      <c r="AX51" s="340">
        <f t="shared" si="80"/>
        <v>0</v>
      </c>
      <c r="AY51" s="340">
        <f t="shared" si="81"/>
        <v>11433327.65</v>
      </c>
      <c r="AZ51" s="340">
        <f t="shared" si="80"/>
        <v>3829074.5500000007</v>
      </c>
      <c r="BA51" s="340">
        <f t="shared" si="80"/>
        <v>0</v>
      </c>
      <c r="BB51" s="340">
        <f t="shared" si="82"/>
        <v>3829074.5500000007</v>
      </c>
      <c r="BC51" s="340">
        <f t="shared" si="83"/>
        <v>15262402.200000001</v>
      </c>
      <c r="BD51" s="340">
        <f t="shared" si="84"/>
        <v>294019.57965057396</v>
      </c>
      <c r="BE51" s="340">
        <f t="shared" si="84"/>
        <v>0</v>
      </c>
      <c r="BF51" s="340">
        <f t="shared" si="84"/>
        <v>0</v>
      </c>
      <c r="BG51" s="340">
        <f t="shared" si="84"/>
        <v>0</v>
      </c>
      <c r="BH51" s="340">
        <f t="shared" si="84"/>
        <v>0</v>
      </c>
      <c r="BI51" s="342">
        <f t="shared" si="85"/>
        <v>15556421.779650575</v>
      </c>
      <c r="BJ51" s="631"/>
      <c r="BL51" s="340">
        <f t="shared" si="86"/>
        <v>41537108.38000001</v>
      </c>
      <c r="BM51" s="340">
        <f t="shared" si="87"/>
        <v>0</v>
      </c>
      <c r="BN51" s="340">
        <f t="shared" si="88"/>
        <v>41537108.38000001</v>
      </c>
      <c r="BO51" s="340">
        <f t="shared" si="89"/>
        <v>15694777.899999999</v>
      </c>
      <c r="BP51" s="340">
        <f t="shared" si="90"/>
        <v>0</v>
      </c>
      <c r="BQ51" s="340">
        <f t="shared" si="91"/>
        <v>15694777.899999999</v>
      </c>
      <c r="BR51" s="340">
        <f t="shared" si="92"/>
        <v>57231886.280000016</v>
      </c>
      <c r="BS51" s="340">
        <f t="shared" si="93"/>
        <v>418590.0785071046</v>
      </c>
      <c r="BT51" s="340">
        <f t="shared" si="94"/>
        <v>0</v>
      </c>
      <c r="BU51" s="340">
        <f t="shared" si="95"/>
        <v>0</v>
      </c>
      <c r="BV51" s="340">
        <f t="shared" si="96"/>
        <v>0</v>
      </c>
      <c r="BW51" s="340">
        <f t="shared" si="97"/>
        <v>0</v>
      </c>
      <c r="BX51" s="340">
        <f t="shared" si="98"/>
        <v>57650476.358507119</v>
      </c>
      <c r="BY51" s="631"/>
    </row>
    <row r="52" spans="1:77" s="329" customFormat="1">
      <c r="A52" s="604">
        <v>32</v>
      </c>
      <c r="B52" s="122" t="s">
        <v>383</v>
      </c>
      <c r="C52" s="122" t="s">
        <v>383</v>
      </c>
      <c r="D52" s="340">
        <f>SUMIF($C$18:$C$45,$C52,D$18:D$45)</f>
        <v>18564996.844970178</v>
      </c>
      <c r="E52" s="340">
        <f t="shared" si="63"/>
        <v>0</v>
      </c>
      <c r="F52" s="340">
        <f t="shared" si="13"/>
        <v>18564996.844970178</v>
      </c>
      <c r="G52" s="340">
        <f t="shared" si="63"/>
        <v>2605975.8106111544</v>
      </c>
      <c r="H52" s="340">
        <f t="shared" si="63"/>
        <v>0</v>
      </c>
      <c r="I52" s="340">
        <f t="shared" si="64"/>
        <v>2605975.8106111544</v>
      </c>
      <c r="J52" s="340">
        <f t="shared" si="65"/>
        <v>21170972.655581333</v>
      </c>
      <c r="K52" s="340">
        <f t="shared" si="66"/>
        <v>0</v>
      </c>
      <c r="L52" s="340">
        <f t="shared" si="66"/>
        <v>0</v>
      </c>
      <c r="M52" s="340">
        <f t="shared" si="66"/>
        <v>0</v>
      </c>
      <c r="N52" s="340">
        <f t="shared" si="66"/>
        <v>0</v>
      </c>
      <c r="O52" s="340">
        <f t="shared" si="66"/>
        <v>0</v>
      </c>
      <c r="P52" s="342">
        <f t="shared" si="67"/>
        <v>21170972.655581333</v>
      </c>
      <c r="Q52" s="631">
        <f>P52-P27-P29+P28+P30</f>
        <v>14888043.272127161</v>
      </c>
      <c r="R52" s="145"/>
      <c r="S52" s="340">
        <f t="shared" si="68"/>
        <v>19244337.942038067</v>
      </c>
      <c r="T52" s="340">
        <f t="shared" si="68"/>
        <v>0</v>
      </c>
      <c r="U52" s="340">
        <f t="shared" si="69"/>
        <v>19244337.942038067</v>
      </c>
      <c r="V52" s="340">
        <f t="shared" si="68"/>
        <v>3140760.3883264335</v>
      </c>
      <c r="W52" s="340">
        <f t="shared" si="68"/>
        <v>0</v>
      </c>
      <c r="X52" s="340">
        <f t="shared" si="70"/>
        <v>3140760.3883264335</v>
      </c>
      <c r="Y52" s="340">
        <f t="shared" si="71"/>
        <v>22385098.330364499</v>
      </c>
      <c r="Z52" s="340">
        <f t="shared" si="72"/>
        <v>0</v>
      </c>
      <c r="AA52" s="340">
        <f t="shared" si="72"/>
        <v>0</v>
      </c>
      <c r="AB52" s="340">
        <f t="shared" si="72"/>
        <v>0</v>
      </c>
      <c r="AC52" s="340">
        <f t="shared" si="72"/>
        <v>0</v>
      </c>
      <c r="AD52" s="340">
        <f t="shared" si="72"/>
        <v>0</v>
      </c>
      <c r="AE52" s="342">
        <f t="shared" si="73"/>
        <v>22385098.330364499</v>
      </c>
      <c r="AF52" s="631">
        <f>AE52-AE27-AE29+AE28+AE30</f>
        <v>16102168.946910329</v>
      </c>
      <c r="AG52" s="145"/>
      <c r="AH52" s="340">
        <f t="shared" si="74"/>
        <v>21079760.0892727</v>
      </c>
      <c r="AI52" s="340">
        <f t="shared" si="74"/>
        <v>0</v>
      </c>
      <c r="AJ52" s="340">
        <f t="shared" si="75"/>
        <v>21079760.0892727</v>
      </c>
      <c r="AK52" s="340">
        <f t="shared" si="74"/>
        <v>3387482.7400917606</v>
      </c>
      <c r="AL52" s="340">
        <f t="shared" si="74"/>
        <v>0</v>
      </c>
      <c r="AM52" s="340">
        <f t="shared" si="76"/>
        <v>3387482.7400917606</v>
      </c>
      <c r="AN52" s="340">
        <f t="shared" si="77"/>
        <v>24467242.82936446</v>
      </c>
      <c r="AO52" s="340">
        <f t="shared" si="78"/>
        <v>0</v>
      </c>
      <c r="AP52" s="340">
        <f t="shared" si="78"/>
        <v>0</v>
      </c>
      <c r="AQ52" s="340">
        <f t="shared" si="78"/>
        <v>0</v>
      </c>
      <c r="AR52" s="340">
        <f t="shared" si="78"/>
        <v>0</v>
      </c>
      <c r="AS52" s="340">
        <f t="shared" si="78"/>
        <v>0</v>
      </c>
      <c r="AT52" s="342">
        <f t="shared" si="79"/>
        <v>24467242.82936446</v>
      </c>
      <c r="AU52" s="631">
        <f>AT52-AT27-AT29+AT28+AT30</f>
        <v>18184313.445910361</v>
      </c>
      <c r="AV52" s="145"/>
      <c r="AW52" s="340">
        <f t="shared" si="80"/>
        <v>22158422.699039485</v>
      </c>
      <c r="AX52" s="340">
        <f t="shared" si="80"/>
        <v>0</v>
      </c>
      <c r="AY52" s="340">
        <f t="shared" si="81"/>
        <v>22158422.699039485</v>
      </c>
      <c r="AZ52" s="340">
        <f t="shared" si="80"/>
        <v>3629493.6014712718</v>
      </c>
      <c r="BA52" s="340">
        <f t="shared" si="80"/>
        <v>0</v>
      </c>
      <c r="BB52" s="340">
        <f t="shared" si="82"/>
        <v>3629493.6014712718</v>
      </c>
      <c r="BC52" s="340">
        <f t="shared" si="83"/>
        <v>25787916.300510757</v>
      </c>
      <c r="BD52" s="340">
        <f t="shared" si="84"/>
        <v>0</v>
      </c>
      <c r="BE52" s="340">
        <f t="shared" si="84"/>
        <v>0</v>
      </c>
      <c r="BF52" s="340">
        <f t="shared" si="84"/>
        <v>0</v>
      </c>
      <c r="BG52" s="340">
        <f t="shared" si="84"/>
        <v>0</v>
      </c>
      <c r="BH52" s="340">
        <f t="shared" si="84"/>
        <v>0</v>
      </c>
      <c r="BI52" s="342">
        <f t="shared" si="85"/>
        <v>25787916.300510757</v>
      </c>
      <c r="BJ52" s="631">
        <f>BI52-BI27-BI29+BI28+BI30</f>
        <v>19504986.917056613</v>
      </c>
      <c r="BL52" s="340">
        <f t="shared" si="86"/>
        <v>81047517.575320423</v>
      </c>
      <c r="BM52" s="340">
        <f t="shared" si="87"/>
        <v>0</v>
      </c>
      <c r="BN52" s="340">
        <f t="shared" si="88"/>
        <v>81047517.575320423</v>
      </c>
      <c r="BO52" s="340">
        <f t="shared" si="89"/>
        <v>12763712.540500619</v>
      </c>
      <c r="BP52" s="340">
        <f t="shared" si="90"/>
        <v>0</v>
      </c>
      <c r="BQ52" s="340">
        <f t="shared" si="91"/>
        <v>12763712.540500619</v>
      </c>
      <c r="BR52" s="340">
        <f t="shared" si="92"/>
        <v>93811230.115821064</v>
      </c>
      <c r="BS52" s="340">
        <f t="shared" si="93"/>
        <v>0</v>
      </c>
      <c r="BT52" s="340">
        <f t="shared" si="94"/>
        <v>0</v>
      </c>
      <c r="BU52" s="340">
        <f t="shared" si="95"/>
        <v>0</v>
      </c>
      <c r="BV52" s="340">
        <f t="shared" si="96"/>
        <v>0</v>
      </c>
      <c r="BW52" s="340">
        <f t="shared" si="97"/>
        <v>0</v>
      </c>
      <c r="BX52" s="340">
        <f t="shared" si="98"/>
        <v>93811230.115821064</v>
      </c>
      <c r="BY52" s="631">
        <f>BX52-BX27-BX29+BX28+BX30</f>
        <v>68679512.582004473</v>
      </c>
    </row>
    <row r="53" spans="1:77">
      <c r="A53" s="605"/>
      <c r="B53" s="337"/>
      <c r="C53" s="337"/>
      <c r="D53" s="337"/>
      <c r="E53" s="337"/>
      <c r="F53" s="337"/>
      <c r="G53" s="337"/>
      <c r="H53" s="337"/>
      <c r="I53" s="337"/>
      <c r="J53" s="337"/>
      <c r="K53" s="337"/>
      <c r="L53" s="337"/>
      <c r="M53" s="337"/>
      <c r="N53" s="337"/>
      <c r="O53" s="337"/>
      <c r="P53" s="337"/>
      <c r="Q53" s="697">
        <f>SUM(P47:P51)+Q52</f>
        <v>136986002.59769246</v>
      </c>
      <c r="R53" s="337"/>
      <c r="S53" s="337"/>
      <c r="T53" s="337"/>
      <c r="U53" s="337"/>
      <c r="V53" s="337"/>
      <c r="W53" s="337"/>
      <c r="X53" s="337"/>
      <c r="Y53" s="337"/>
      <c r="Z53" s="337"/>
      <c r="AA53" s="337"/>
      <c r="AB53" s="337"/>
      <c r="AC53" s="337"/>
      <c r="AD53" s="337"/>
      <c r="AE53" s="337"/>
      <c r="AF53" s="697">
        <f>SUM(AE47:AE51)+AF52</f>
        <v>143871999.60692593</v>
      </c>
      <c r="AG53" s="337"/>
      <c r="AH53" s="337"/>
      <c r="AI53" s="337"/>
      <c r="AJ53" s="337"/>
      <c r="AK53" s="337"/>
      <c r="AL53" s="337"/>
      <c r="AM53" s="337"/>
      <c r="AN53" s="337"/>
      <c r="AO53" s="337"/>
      <c r="AP53" s="337"/>
      <c r="AQ53" s="337"/>
      <c r="AR53" s="337"/>
      <c r="AS53" s="337"/>
      <c r="AU53" s="697">
        <f>SUM(AT47:AT51)+AU52</f>
        <v>152877645.39377886</v>
      </c>
      <c r="BJ53" s="697">
        <f>SUM(BI47:BI51)+BJ52</f>
        <v>161318038.56098366</v>
      </c>
      <c r="BY53" s="697">
        <f>SUM(BX47:BX51)+BY52</f>
        <v>595053686.15938079</v>
      </c>
    </row>
    <row r="54" spans="1:77" s="329" customFormat="1" ht="15" customHeight="1">
      <c r="A54" s="235"/>
      <c r="B54" s="169" t="s">
        <v>1386</v>
      </c>
      <c r="C54" s="169"/>
      <c r="D54" s="145"/>
      <c r="E54" s="145"/>
      <c r="F54" s="145"/>
      <c r="G54" s="145"/>
      <c r="H54" s="145"/>
      <c r="I54" s="145"/>
      <c r="J54" s="145"/>
      <c r="K54" s="145"/>
      <c r="L54" s="145"/>
      <c r="M54" s="145"/>
      <c r="N54" s="145"/>
      <c r="O54" s="145"/>
      <c r="P54" s="145"/>
      <c r="Q54" s="223">
        <f>P45-Q53</f>
        <v>0</v>
      </c>
      <c r="R54" s="145"/>
      <c r="S54" s="145"/>
      <c r="T54" s="145"/>
      <c r="U54" s="145"/>
      <c r="V54" s="145"/>
      <c r="W54" s="145"/>
      <c r="X54" s="145"/>
      <c r="Y54" s="145"/>
      <c r="Z54" s="145"/>
      <c r="AA54" s="145"/>
      <c r="AB54" s="145"/>
      <c r="AC54" s="145"/>
      <c r="AD54" s="145"/>
      <c r="AE54" s="145"/>
      <c r="AF54" s="223">
        <f>AE45-AF53</f>
        <v>0</v>
      </c>
      <c r="AG54" s="145"/>
      <c r="AH54" s="145"/>
      <c r="AI54" s="145"/>
      <c r="AJ54" s="145"/>
      <c r="AK54" s="145"/>
      <c r="AL54" s="145"/>
      <c r="AM54" s="145"/>
      <c r="AN54" s="145"/>
      <c r="AO54" s="145"/>
      <c r="AP54" s="145"/>
      <c r="AQ54" s="145"/>
      <c r="AR54" s="145"/>
      <c r="AS54" s="145"/>
      <c r="AU54" s="223">
        <f>AT45-AU53</f>
        <v>0</v>
      </c>
      <c r="BJ54" s="223">
        <f>BI45-BJ53</f>
        <v>0</v>
      </c>
      <c r="BY54" s="223">
        <f>BX45-BY53</f>
        <v>0</v>
      </c>
    </row>
    <row r="55" spans="1:77" s="329" customFormat="1" ht="15" customHeight="1">
      <c r="A55" s="236"/>
      <c r="B55" s="145" t="s">
        <v>1387</v>
      </c>
      <c r="C55" s="145"/>
      <c r="D55" s="145"/>
      <c r="E55" s="145"/>
      <c r="F55" s="145"/>
      <c r="G55" s="145"/>
      <c r="H55" s="145"/>
      <c r="I55" s="145"/>
      <c r="J55" s="145"/>
      <c r="K55" s="145"/>
      <c r="L55" s="145"/>
      <c r="M55" s="145"/>
      <c r="N55" s="145"/>
      <c r="O55" s="145"/>
      <c r="P55" s="145"/>
      <c r="Q55" s="223">
        <f>Q53-'Schedule 3A_Income Statement'!CO66</f>
        <v>0</v>
      </c>
      <c r="R55" s="145"/>
      <c r="S55" s="145"/>
      <c r="T55" s="145"/>
      <c r="U55" s="145"/>
      <c r="V55" s="145"/>
      <c r="W55" s="145"/>
      <c r="X55" s="145"/>
      <c r="Y55" s="145"/>
      <c r="Z55" s="145"/>
      <c r="AA55" s="145"/>
      <c r="AB55" s="145"/>
      <c r="AC55" s="145"/>
      <c r="AD55" s="145"/>
      <c r="AE55" s="145"/>
      <c r="AF55" s="223">
        <f>AF53-'Schedule 3A_Income Statement'!CP66</f>
        <v>0</v>
      </c>
      <c r="AG55" s="145"/>
      <c r="AH55" s="145"/>
      <c r="AI55" s="145"/>
      <c r="AJ55" s="145"/>
      <c r="AK55" s="145"/>
      <c r="AL55" s="145"/>
      <c r="AM55" s="145"/>
      <c r="AN55" s="145"/>
      <c r="AO55" s="145"/>
      <c r="AP55" s="145"/>
      <c r="AQ55" s="145"/>
      <c r="AR55" s="145"/>
      <c r="AS55" s="145"/>
      <c r="AU55" s="223">
        <f>AU53-'Schedule 3A_Income Statement'!CQ66</f>
        <v>0</v>
      </c>
      <c r="BJ55" s="223">
        <f>BJ53-'Schedule 3A_Income Statement'!CR66</f>
        <v>0</v>
      </c>
      <c r="BY55" s="223">
        <f>BY53-'Schedule 3A_Income Statement'!CS66</f>
        <v>0</v>
      </c>
    </row>
    <row r="56" spans="1:77" s="329" customFormat="1">
      <c r="A56" s="168"/>
      <c r="B56" s="145" t="s">
        <v>1388</v>
      </c>
      <c r="C56" s="145"/>
      <c r="D56" s="145"/>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row>
    <row r="57" spans="1:77" s="329" customFormat="1">
      <c r="A57" s="168"/>
      <c r="B57" s="145" t="s">
        <v>356</v>
      </c>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row>
    <row r="58" spans="1:77" s="329" customFormat="1">
      <c r="A58" s="168"/>
      <c r="B58" s="145" t="s">
        <v>1389</v>
      </c>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row>
    <row r="59" spans="1:77" s="329" customFormat="1">
      <c r="A59" s="168"/>
      <c r="B59" s="145" t="s">
        <v>1390</v>
      </c>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row>
    <row r="60" spans="1:77" s="329" customFormat="1">
      <c r="A60" s="168"/>
      <c r="B60" s="145" t="s">
        <v>362</v>
      </c>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row>
    <row r="61" spans="1:77" s="329" customFormat="1">
      <c r="A61" s="168"/>
      <c r="B61" s="145" t="s">
        <v>364</v>
      </c>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row>
    <row r="62" spans="1:77">
      <c r="B62" s="941" t="s">
        <v>1391</v>
      </c>
      <c r="C62" s="335"/>
    </row>
    <row r="63" spans="1:77">
      <c r="B63" s="327" t="s">
        <v>1392</v>
      </c>
    </row>
  </sheetData>
  <sheetProtection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R31"/>
  <sheetViews>
    <sheetView topLeftCell="A4" zoomScale="110" zoomScaleNormal="110" workbookViewId="0">
      <selection activeCell="I34" sqref="I34"/>
    </sheetView>
  </sheetViews>
  <sheetFormatPr defaultRowHeight="13.15"/>
  <cols>
    <col min="1" max="1" width="52.42578125" style="345" bestFit="1" customWidth="1"/>
    <col min="2" max="11" width="12.42578125" style="353" customWidth="1"/>
    <col min="12" max="16" width="16.42578125" style="354" customWidth="1"/>
    <col min="17" max="21" width="9.42578125" style="355"/>
    <col min="22" max="26" width="13" style="355" customWidth="1"/>
    <col min="27" max="31" width="13.42578125" style="355" customWidth="1"/>
    <col min="32" max="36" width="15.42578125" style="344" customWidth="1"/>
    <col min="37" max="41" width="12.5703125" style="344" customWidth="1"/>
    <col min="42" max="43" width="9.42578125" style="345"/>
    <col min="44" max="44" width="9.42578125" style="346"/>
    <col min="45" max="287" width="9.42578125" style="345"/>
    <col min="288" max="288" width="11.42578125" style="345" customWidth="1"/>
    <col min="289" max="289" width="39.42578125" style="345" customWidth="1"/>
    <col min="290" max="291" width="12.42578125" style="345" customWidth="1"/>
    <col min="292" max="292" width="16.42578125" style="345" customWidth="1"/>
    <col min="293" max="293" width="9.42578125" style="345"/>
    <col min="294" max="294" width="13" style="345" customWidth="1"/>
    <col min="295" max="295" width="13.42578125" style="345" bestFit="1" customWidth="1"/>
    <col min="296" max="296" width="15.42578125" style="345" bestFit="1" customWidth="1"/>
    <col min="297" max="297" width="12.5703125" style="345" bestFit="1" customWidth="1"/>
    <col min="298" max="543" width="9.42578125" style="345"/>
    <col min="544" max="544" width="11.42578125" style="345" customWidth="1"/>
    <col min="545" max="545" width="39.42578125" style="345" customWidth="1"/>
    <col min="546" max="547" width="12.42578125" style="345" customWidth="1"/>
    <col min="548" max="548" width="16.42578125" style="345" customWidth="1"/>
    <col min="549" max="549" width="9.42578125" style="345"/>
    <col min="550" max="550" width="13" style="345" customWidth="1"/>
    <col min="551" max="551" width="13.42578125" style="345" bestFit="1" customWidth="1"/>
    <col min="552" max="552" width="15.42578125" style="345" bestFit="1" customWidth="1"/>
    <col min="553" max="553" width="12.5703125" style="345" bestFit="1" customWidth="1"/>
    <col min="554" max="799" width="9.42578125" style="345"/>
    <col min="800" max="800" width="11.42578125" style="345" customWidth="1"/>
    <col min="801" max="801" width="39.42578125" style="345" customWidth="1"/>
    <col min="802" max="803" width="12.42578125" style="345" customWidth="1"/>
    <col min="804" max="804" width="16.42578125" style="345" customWidth="1"/>
    <col min="805" max="805" width="9.42578125" style="345"/>
    <col min="806" max="806" width="13" style="345" customWidth="1"/>
    <col min="807" max="807" width="13.42578125" style="345" bestFit="1" customWidth="1"/>
    <col min="808" max="808" width="15.42578125" style="345" bestFit="1" customWidth="1"/>
    <col min="809" max="809" width="12.5703125" style="345" bestFit="1" customWidth="1"/>
    <col min="810" max="1055" width="9.42578125" style="345"/>
    <col min="1056" max="1056" width="11.42578125" style="345" customWidth="1"/>
    <col min="1057" max="1057" width="39.42578125" style="345" customWidth="1"/>
    <col min="1058" max="1059" width="12.42578125" style="345" customWidth="1"/>
    <col min="1060" max="1060" width="16.42578125" style="345" customWidth="1"/>
    <col min="1061" max="1061" width="9.42578125" style="345"/>
    <col min="1062" max="1062" width="13" style="345" customWidth="1"/>
    <col min="1063" max="1063" width="13.42578125" style="345" bestFit="1" customWidth="1"/>
    <col min="1064" max="1064" width="15.42578125" style="345" bestFit="1" customWidth="1"/>
    <col min="1065" max="1065" width="12.5703125" style="345" bestFit="1" customWidth="1"/>
    <col min="1066" max="1311" width="9.42578125" style="345"/>
    <col min="1312" max="1312" width="11.42578125" style="345" customWidth="1"/>
    <col min="1313" max="1313" width="39.42578125" style="345" customWidth="1"/>
    <col min="1314" max="1315" width="12.42578125" style="345" customWidth="1"/>
    <col min="1316" max="1316" width="16.42578125" style="345" customWidth="1"/>
    <col min="1317" max="1317" width="9.42578125" style="345"/>
    <col min="1318" max="1318" width="13" style="345" customWidth="1"/>
    <col min="1319" max="1319" width="13.42578125" style="345" bestFit="1" customWidth="1"/>
    <col min="1320" max="1320" width="15.42578125" style="345" bestFit="1" customWidth="1"/>
    <col min="1321" max="1321" width="12.5703125" style="345" bestFit="1" customWidth="1"/>
    <col min="1322" max="1567" width="9.42578125" style="345"/>
    <col min="1568" max="1568" width="11.42578125" style="345" customWidth="1"/>
    <col min="1569" max="1569" width="39.42578125" style="345" customWidth="1"/>
    <col min="1570" max="1571" width="12.42578125" style="345" customWidth="1"/>
    <col min="1572" max="1572" width="16.42578125" style="345" customWidth="1"/>
    <col min="1573" max="1573" width="9.42578125" style="345"/>
    <col min="1574" max="1574" width="13" style="345" customWidth="1"/>
    <col min="1575" max="1575" width="13.42578125" style="345" bestFit="1" customWidth="1"/>
    <col min="1576" max="1576" width="15.42578125" style="345" bestFit="1" customWidth="1"/>
    <col min="1577" max="1577" width="12.5703125" style="345" bestFit="1" customWidth="1"/>
    <col min="1578" max="1823" width="9.42578125" style="345"/>
    <col min="1824" max="1824" width="11.42578125" style="345" customWidth="1"/>
    <col min="1825" max="1825" width="39.42578125" style="345" customWidth="1"/>
    <col min="1826" max="1827" width="12.42578125" style="345" customWidth="1"/>
    <col min="1828" max="1828" width="16.42578125" style="345" customWidth="1"/>
    <col min="1829" max="1829" width="9.42578125" style="345"/>
    <col min="1830" max="1830" width="13" style="345" customWidth="1"/>
    <col min="1831" max="1831" width="13.42578125" style="345" bestFit="1" customWidth="1"/>
    <col min="1832" max="1832" width="15.42578125" style="345" bestFit="1" customWidth="1"/>
    <col min="1833" max="1833" width="12.5703125" style="345" bestFit="1" customWidth="1"/>
    <col min="1834" max="2079" width="9.42578125" style="345"/>
    <col min="2080" max="2080" width="11.42578125" style="345" customWidth="1"/>
    <col min="2081" max="2081" width="39.42578125" style="345" customWidth="1"/>
    <col min="2082" max="2083" width="12.42578125" style="345" customWidth="1"/>
    <col min="2084" max="2084" width="16.42578125" style="345" customWidth="1"/>
    <col min="2085" max="2085" width="9.42578125" style="345"/>
    <col min="2086" max="2086" width="13" style="345" customWidth="1"/>
    <col min="2087" max="2087" width="13.42578125" style="345" bestFit="1" customWidth="1"/>
    <col min="2088" max="2088" width="15.42578125" style="345" bestFit="1" customWidth="1"/>
    <col min="2089" max="2089" width="12.5703125" style="345" bestFit="1" customWidth="1"/>
    <col min="2090" max="2335" width="9.42578125" style="345"/>
    <col min="2336" max="2336" width="11.42578125" style="345" customWidth="1"/>
    <col min="2337" max="2337" width="39.42578125" style="345" customWidth="1"/>
    <col min="2338" max="2339" width="12.42578125" style="345" customWidth="1"/>
    <col min="2340" max="2340" width="16.42578125" style="345" customWidth="1"/>
    <col min="2341" max="2341" width="9.42578125" style="345"/>
    <col min="2342" max="2342" width="13" style="345" customWidth="1"/>
    <col min="2343" max="2343" width="13.42578125" style="345" bestFit="1" customWidth="1"/>
    <col min="2344" max="2344" width="15.42578125" style="345" bestFit="1" customWidth="1"/>
    <col min="2345" max="2345" width="12.5703125" style="345" bestFit="1" customWidth="1"/>
    <col min="2346" max="2591" width="9.42578125" style="345"/>
    <col min="2592" max="2592" width="11.42578125" style="345" customWidth="1"/>
    <col min="2593" max="2593" width="39.42578125" style="345" customWidth="1"/>
    <col min="2594" max="2595" width="12.42578125" style="345" customWidth="1"/>
    <col min="2596" max="2596" width="16.42578125" style="345" customWidth="1"/>
    <col min="2597" max="2597" width="9.42578125" style="345"/>
    <col min="2598" max="2598" width="13" style="345" customWidth="1"/>
    <col min="2599" max="2599" width="13.42578125" style="345" bestFit="1" customWidth="1"/>
    <col min="2600" max="2600" width="15.42578125" style="345" bestFit="1" customWidth="1"/>
    <col min="2601" max="2601" width="12.5703125" style="345" bestFit="1" customWidth="1"/>
    <col min="2602" max="2847" width="9.42578125" style="345"/>
    <col min="2848" max="2848" width="11.42578125" style="345" customWidth="1"/>
    <col min="2849" max="2849" width="39.42578125" style="345" customWidth="1"/>
    <col min="2850" max="2851" width="12.42578125" style="345" customWidth="1"/>
    <col min="2852" max="2852" width="16.42578125" style="345" customWidth="1"/>
    <col min="2853" max="2853" width="9.42578125" style="345"/>
    <col min="2854" max="2854" width="13" style="345" customWidth="1"/>
    <col min="2855" max="2855" width="13.42578125" style="345" bestFit="1" customWidth="1"/>
    <col min="2856" max="2856" width="15.42578125" style="345" bestFit="1" customWidth="1"/>
    <col min="2857" max="2857" width="12.5703125" style="345" bestFit="1" customWidth="1"/>
    <col min="2858" max="3103" width="9.42578125" style="345"/>
    <col min="3104" max="3104" width="11.42578125" style="345" customWidth="1"/>
    <col min="3105" max="3105" width="39.42578125" style="345" customWidth="1"/>
    <col min="3106" max="3107" width="12.42578125" style="345" customWidth="1"/>
    <col min="3108" max="3108" width="16.42578125" style="345" customWidth="1"/>
    <col min="3109" max="3109" width="9.42578125" style="345"/>
    <col min="3110" max="3110" width="13" style="345" customWidth="1"/>
    <col min="3111" max="3111" width="13.42578125" style="345" bestFit="1" customWidth="1"/>
    <col min="3112" max="3112" width="15.42578125" style="345" bestFit="1" customWidth="1"/>
    <col min="3113" max="3113" width="12.5703125" style="345" bestFit="1" customWidth="1"/>
    <col min="3114" max="3359" width="9.42578125" style="345"/>
    <col min="3360" max="3360" width="11.42578125" style="345" customWidth="1"/>
    <col min="3361" max="3361" width="39.42578125" style="345" customWidth="1"/>
    <col min="3362" max="3363" width="12.42578125" style="345" customWidth="1"/>
    <col min="3364" max="3364" width="16.42578125" style="345" customWidth="1"/>
    <col min="3365" max="3365" width="9.42578125" style="345"/>
    <col min="3366" max="3366" width="13" style="345" customWidth="1"/>
    <col min="3367" max="3367" width="13.42578125" style="345" bestFit="1" customWidth="1"/>
    <col min="3368" max="3368" width="15.42578125" style="345" bestFit="1" customWidth="1"/>
    <col min="3369" max="3369" width="12.5703125" style="345" bestFit="1" customWidth="1"/>
    <col min="3370" max="3615" width="9.42578125" style="345"/>
    <col min="3616" max="3616" width="11.42578125" style="345" customWidth="1"/>
    <col min="3617" max="3617" width="39.42578125" style="345" customWidth="1"/>
    <col min="3618" max="3619" width="12.42578125" style="345" customWidth="1"/>
    <col min="3620" max="3620" width="16.42578125" style="345" customWidth="1"/>
    <col min="3621" max="3621" width="9.42578125" style="345"/>
    <col min="3622" max="3622" width="13" style="345" customWidth="1"/>
    <col min="3623" max="3623" width="13.42578125" style="345" bestFit="1" customWidth="1"/>
    <col min="3624" max="3624" width="15.42578125" style="345" bestFit="1" customWidth="1"/>
    <col min="3625" max="3625" width="12.5703125" style="345" bestFit="1" customWidth="1"/>
    <col min="3626" max="3871" width="9.42578125" style="345"/>
    <col min="3872" max="3872" width="11.42578125" style="345" customWidth="1"/>
    <col min="3873" max="3873" width="39.42578125" style="345" customWidth="1"/>
    <col min="3874" max="3875" width="12.42578125" style="345" customWidth="1"/>
    <col min="3876" max="3876" width="16.42578125" style="345" customWidth="1"/>
    <col min="3877" max="3877" width="9.42578125" style="345"/>
    <col min="3878" max="3878" width="13" style="345" customWidth="1"/>
    <col min="3879" max="3879" width="13.42578125" style="345" bestFit="1" customWidth="1"/>
    <col min="3880" max="3880" width="15.42578125" style="345" bestFit="1" customWidth="1"/>
    <col min="3881" max="3881" width="12.5703125" style="345" bestFit="1" customWidth="1"/>
    <col min="3882" max="4127" width="9.42578125" style="345"/>
    <col min="4128" max="4128" width="11.42578125" style="345" customWidth="1"/>
    <col min="4129" max="4129" width="39.42578125" style="345" customWidth="1"/>
    <col min="4130" max="4131" width="12.42578125" style="345" customWidth="1"/>
    <col min="4132" max="4132" width="16.42578125" style="345" customWidth="1"/>
    <col min="4133" max="4133" width="9.42578125" style="345"/>
    <col min="4134" max="4134" width="13" style="345" customWidth="1"/>
    <col min="4135" max="4135" width="13.42578125" style="345" bestFit="1" customWidth="1"/>
    <col min="4136" max="4136" width="15.42578125" style="345" bestFit="1" customWidth="1"/>
    <col min="4137" max="4137" width="12.5703125" style="345" bestFit="1" customWidth="1"/>
    <col min="4138" max="4383" width="9.42578125" style="345"/>
    <col min="4384" max="4384" width="11.42578125" style="345" customWidth="1"/>
    <col min="4385" max="4385" width="39.42578125" style="345" customWidth="1"/>
    <col min="4386" max="4387" width="12.42578125" style="345" customWidth="1"/>
    <col min="4388" max="4388" width="16.42578125" style="345" customWidth="1"/>
    <col min="4389" max="4389" width="9.42578125" style="345"/>
    <col min="4390" max="4390" width="13" style="345" customWidth="1"/>
    <col min="4391" max="4391" width="13.42578125" style="345" bestFit="1" customWidth="1"/>
    <col min="4392" max="4392" width="15.42578125" style="345" bestFit="1" customWidth="1"/>
    <col min="4393" max="4393" width="12.5703125" style="345" bestFit="1" customWidth="1"/>
    <col min="4394" max="4639" width="9.42578125" style="345"/>
    <col min="4640" max="4640" width="11.42578125" style="345" customWidth="1"/>
    <col min="4641" max="4641" width="39.42578125" style="345" customWidth="1"/>
    <col min="4642" max="4643" width="12.42578125" style="345" customWidth="1"/>
    <col min="4644" max="4644" width="16.42578125" style="345" customWidth="1"/>
    <col min="4645" max="4645" width="9.42578125" style="345"/>
    <col min="4646" max="4646" width="13" style="345" customWidth="1"/>
    <col min="4647" max="4647" width="13.42578125" style="345" bestFit="1" customWidth="1"/>
    <col min="4648" max="4648" width="15.42578125" style="345" bestFit="1" customWidth="1"/>
    <col min="4649" max="4649" width="12.5703125" style="345" bestFit="1" customWidth="1"/>
    <col min="4650" max="4895" width="9.42578125" style="345"/>
    <col min="4896" max="4896" width="11.42578125" style="345" customWidth="1"/>
    <col min="4897" max="4897" width="39.42578125" style="345" customWidth="1"/>
    <col min="4898" max="4899" width="12.42578125" style="345" customWidth="1"/>
    <col min="4900" max="4900" width="16.42578125" style="345" customWidth="1"/>
    <col min="4901" max="4901" width="9.42578125" style="345"/>
    <col min="4902" max="4902" width="13" style="345" customWidth="1"/>
    <col min="4903" max="4903" width="13.42578125" style="345" bestFit="1" customWidth="1"/>
    <col min="4904" max="4904" width="15.42578125" style="345" bestFit="1" customWidth="1"/>
    <col min="4905" max="4905" width="12.5703125" style="345" bestFit="1" customWidth="1"/>
    <col min="4906" max="5151" width="9.42578125" style="345"/>
    <col min="5152" max="5152" width="11.42578125" style="345" customWidth="1"/>
    <col min="5153" max="5153" width="39.42578125" style="345" customWidth="1"/>
    <col min="5154" max="5155" width="12.42578125" style="345" customWidth="1"/>
    <col min="5156" max="5156" width="16.42578125" style="345" customWidth="1"/>
    <col min="5157" max="5157" width="9.42578125" style="345"/>
    <col min="5158" max="5158" width="13" style="345" customWidth="1"/>
    <col min="5159" max="5159" width="13.42578125" style="345" bestFit="1" customWidth="1"/>
    <col min="5160" max="5160" width="15.42578125" style="345" bestFit="1" customWidth="1"/>
    <col min="5161" max="5161" width="12.5703125" style="345" bestFit="1" customWidth="1"/>
    <col min="5162" max="5407" width="9.42578125" style="345"/>
    <col min="5408" max="5408" width="11.42578125" style="345" customWidth="1"/>
    <col min="5409" max="5409" width="39.42578125" style="345" customWidth="1"/>
    <col min="5410" max="5411" width="12.42578125" style="345" customWidth="1"/>
    <col min="5412" max="5412" width="16.42578125" style="345" customWidth="1"/>
    <col min="5413" max="5413" width="9.42578125" style="345"/>
    <col min="5414" max="5414" width="13" style="345" customWidth="1"/>
    <col min="5415" max="5415" width="13.42578125" style="345" bestFit="1" customWidth="1"/>
    <col min="5416" max="5416" width="15.42578125" style="345" bestFit="1" customWidth="1"/>
    <col min="5417" max="5417" width="12.5703125" style="345" bestFit="1" customWidth="1"/>
    <col min="5418" max="5663" width="9.42578125" style="345"/>
    <col min="5664" max="5664" width="11.42578125" style="345" customWidth="1"/>
    <col min="5665" max="5665" width="39.42578125" style="345" customWidth="1"/>
    <col min="5666" max="5667" width="12.42578125" style="345" customWidth="1"/>
    <col min="5668" max="5668" width="16.42578125" style="345" customWidth="1"/>
    <col min="5669" max="5669" width="9.42578125" style="345"/>
    <col min="5670" max="5670" width="13" style="345" customWidth="1"/>
    <col min="5671" max="5671" width="13.42578125" style="345" bestFit="1" customWidth="1"/>
    <col min="5672" max="5672" width="15.42578125" style="345" bestFit="1" customWidth="1"/>
    <col min="5673" max="5673" width="12.5703125" style="345" bestFit="1" customWidth="1"/>
    <col min="5674" max="5919" width="9.42578125" style="345"/>
    <col min="5920" max="5920" width="11.42578125" style="345" customWidth="1"/>
    <col min="5921" max="5921" width="39.42578125" style="345" customWidth="1"/>
    <col min="5922" max="5923" width="12.42578125" style="345" customWidth="1"/>
    <col min="5924" max="5924" width="16.42578125" style="345" customWidth="1"/>
    <col min="5925" max="5925" width="9.42578125" style="345"/>
    <col min="5926" max="5926" width="13" style="345" customWidth="1"/>
    <col min="5927" max="5927" width="13.42578125" style="345" bestFit="1" customWidth="1"/>
    <col min="5928" max="5928" width="15.42578125" style="345" bestFit="1" customWidth="1"/>
    <col min="5929" max="5929" width="12.5703125" style="345" bestFit="1" customWidth="1"/>
    <col min="5930" max="6175" width="9.42578125" style="345"/>
    <col min="6176" max="6176" width="11.42578125" style="345" customWidth="1"/>
    <col min="6177" max="6177" width="39.42578125" style="345" customWidth="1"/>
    <col min="6178" max="6179" width="12.42578125" style="345" customWidth="1"/>
    <col min="6180" max="6180" width="16.42578125" style="345" customWidth="1"/>
    <col min="6181" max="6181" width="9.42578125" style="345"/>
    <col min="6182" max="6182" width="13" style="345" customWidth="1"/>
    <col min="6183" max="6183" width="13.42578125" style="345" bestFit="1" customWidth="1"/>
    <col min="6184" max="6184" width="15.42578125" style="345" bestFit="1" customWidth="1"/>
    <col min="6185" max="6185" width="12.5703125" style="345" bestFit="1" customWidth="1"/>
    <col min="6186" max="6431" width="9.42578125" style="345"/>
    <col min="6432" max="6432" width="11.42578125" style="345" customWidth="1"/>
    <col min="6433" max="6433" width="39.42578125" style="345" customWidth="1"/>
    <col min="6434" max="6435" width="12.42578125" style="345" customWidth="1"/>
    <col min="6436" max="6436" width="16.42578125" style="345" customWidth="1"/>
    <col min="6437" max="6437" width="9.42578125" style="345"/>
    <col min="6438" max="6438" width="13" style="345" customWidth="1"/>
    <col min="6439" max="6439" width="13.42578125" style="345" bestFit="1" customWidth="1"/>
    <col min="6440" max="6440" width="15.42578125" style="345" bestFit="1" customWidth="1"/>
    <col min="6441" max="6441" width="12.5703125" style="345" bestFit="1" customWidth="1"/>
    <col min="6442" max="6687" width="9.42578125" style="345"/>
    <col min="6688" max="6688" width="11.42578125" style="345" customWidth="1"/>
    <col min="6689" max="6689" width="39.42578125" style="345" customWidth="1"/>
    <col min="6690" max="6691" width="12.42578125" style="345" customWidth="1"/>
    <col min="6692" max="6692" width="16.42578125" style="345" customWidth="1"/>
    <col min="6693" max="6693" width="9.42578125" style="345"/>
    <col min="6694" max="6694" width="13" style="345" customWidth="1"/>
    <col min="6695" max="6695" width="13.42578125" style="345" bestFit="1" customWidth="1"/>
    <col min="6696" max="6696" width="15.42578125" style="345" bestFit="1" customWidth="1"/>
    <col min="6697" max="6697" width="12.5703125" style="345" bestFit="1" customWidth="1"/>
    <col min="6698" max="6943" width="9.42578125" style="345"/>
    <col min="6944" max="6944" width="11.42578125" style="345" customWidth="1"/>
    <col min="6945" max="6945" width="39.42578125" style="345" customWidth="1"/>
    <col min="6946" max="6947" width="12.42578125" style="345" customWidth="1"/>
    <col min="6948" max="6948" width="16.42578125" style="345" customWidth="1"/>
    <col min="6949" max="6949" width="9.42578125" style="345"/>
    <col min="6950" max="6950" width="13" style="345" customWidth="1"/>
    <col min="6951" max="6951" width="13.42578125" style="345" bestFit="1" customWidth="1"/>
    <col min="6952" max="6952" width="15.42578125" style="345" bestFit="1" customWidth="1"/>
    <col min="6953" max="6953" width="12.5703125" style="345" bestFit="1" customWidth="1"/>
    <col min="6954" max="7199" width="9.42578125" style="345"/>
    <col min="7200" max="7200" width="11.42578125" style="345" customWidth="1"/>
    <col min="7201" max="7201" width="39.42578125" style="345" customWidth="1"/>
    <col min="7202" max="7203" width="12.42578125" style="345" customWidth="1"/>
    <col min="7204" max="7204" width="16.42578125" style="345" customWidth="1"/>
    <col min="7205" max="7205" width="9.42578125" style="345"/>
    <col min="7206" max="7206" width="13" style="345" customWidth="1"/>
    <col min="7207" max="7207" width="13.42578125" style="345" bestFit="1" customWidth="1"/>
    <col min="7208" max="7208" width="15.42578125" style="345" bestFit="1" customWidth="1"/>
    <col min="7209" max="7209" width="12.5703125" style="345" bestFit="1" customWidth="1"/>
    <col min="7210" max="7455" width="9.42578125" style="345"/>
    <col min="7456" max="7456" width="11.42578125" style="345" customWidth="1"/>
    <col min="7457" max="7457" width="39.42578125" style="345" customWidth="1"/>
    <col min="7458" max="7459" width="12.42578125" style="345" customWidth="1"/>
    <col min="7460" max="7460" width="16.42578125" style="345" customWidth="1"/>
    <col min="7461" max="7461" width="9.42578125" style="345"/>
    <col min="7462" max="7462" width="13" style="345" customWidth="1"/>
    <col min="7463" max="7463" width="13.42578125" style="345" bestFit="1" customWidth="1"/>
    <col min="7464" max="7464" width="15.42578125" style="345" bestFit="1" customWidth="1"/>
    <col min="7465" max="7465" width="12.5703125" style="345" bestFit="1" customWidth="1"/>
    <col min="7466" max="7711" width="9.42578125" style="345"/>
    <col min="7712" max="7712" width="11.42578125" style="345" customWidth="1"/>
    <col min="7713" max="7713" width="39.42578125" style="345" customWidth="1"/>
    <col min="7714" max="7715" width="12.42578125" style="345" customWidth="1"/>
    <col min="7716" max="7716" width="16.42578125" style="345" customWidth="1"/>
    <col min="7717" max="7717" width="9.42578125" style="345"/>
    <col min="7718" max="7718" width="13" style="345" customWidth="1"/>
    <col min="7719" max="7719" width="13.42578125" style="345" bestFit="1" customWidth="1"/>
    <col min="7720" max="7720" width="15.42578125" style="345" bestFit="1" customWidth="1"/>
    <col min="7721" max="7721" width="12.5703125" style="345" bestFit="1" customWidth="1"/>
    <col min="7722" max="7967" width="9.42578125" style="345"/>
    <col min="7968" max="7968" width="11.42578125" style="345" customWidth="1"/>
    <col min="7969" max="7969" width="39.42578125" style="345" customWidth="1"/>
    <col min="7970" max="7971" width="12.42578125" style="345" customWidth="1"/>
    <col min="7972" max="7972" width="16.42578125" style="345" customWidth="1"/>
    <col min="7973" max="7973" width="9.42578125" style="345"/>
    <col min="7974" max="7974" width="13" style="345" customWidth="1"/>
    <col min="7975" max="7975" width="13.42578125" style="345" bestFit="1" customWidth="1"/>
    <col min="7976" max="7976" width="15.42578125" style="345" bestFit="1" customWidth="1"/>
    <col min="7977" max="7977" width="12.5703125" style="345" bestFit="1" customWidth="1"/>
    <col min="7978" max="8223" width="9.42578125" style="345"/>
    <col min="8224" max="8224" width="11.42578125" style="345" customWidth="1"/>
    <col min="8225" max="8225" width="39.42578125" style="345" customWidth="1"/>
    <col min="8226" max="8227" width="12.42578125" style="345" customWidth="1"/>
    <col min="8228" max="8228" width="16.42578125" style="345" customWidth="1"/>
    <col min="8229" max="8229" width="9.42578125" style="345"/>
    <col min="8230" max="8230" width="13" style="345" customWidth="1"/>
    <col min="8231" max="8231" width="13.42578125" style="345" bestFit="1" customWidth="1"/>
    <col min="8232" max="8232" width="15.42578125" style="345" bestFit="1" customWidth="1"/>
    <col min="8233" max="8233" width="12.5703125" style="345" bestFit="1" customWidth="1"/>
    <col min="8234" max="8479" width="9.42578125" style="345"/>
    <col min="8480" max="8480" width="11.42578125" style="345" customWidth="1"/>
    <col min="8481" max="8481" width="39.42578125" style="345" customWidth="1"/>
    <col min="8482" max="8483" width="12.42578125" style="345" customWidth="1"/>
    <col min="8484" max="8484" width="16.42578125" style="345" customWidth="1"/>
    <col min="8485" max="8485" width="9.42578125" style="345"/>
    <col min="8486" max="8486" width="13" style="345" customWidth="1"/>
    <col min="8487" max="8487" width="13.42578125" style="345" bestFit="1" customWidth="1"/>
    <col min="8488" max="8488" width="15.42578125" style="345" bestFit="1" customWidth="1"/>
    <col min="8489" max="8489" width="12.5703125" style="345" bestFit="1" customWidth="1"/>
    <col min="8490" max="8735" width="9.42578125" style="345"/>
    <col min="8736" max="8736" width="11.42578125" style="345" customWidth="1"/>
    <col min="8737" max="8737" width="39.42578125" style="345" customWidth="1"/>
    <col min="8738" max="8739" width="12.42578125" style="345" customWidth="1"/>
    <col min="8740" max="8740" width="16.42578125" style="345" customWidth="1"/>
    <col min="8741" max="8741" width="9.42578125" style="345"/>
    <col min="8742" max="8742" width="13" style="345" customWidth="1"/>
    <col min="8743" max="8743" width="13.42578125" style="345" bestFit="1" customWidth="1"/>
    <col min="8744" max="8744" width="15.42578125" style="345" bestFit="1" customWidth="1"/>
    <col min="8745" max="8745" width="12.5703125" style="345" bestFit="1" customWidth="1"/>
    <col min="8746" max="8991" width="9.42578125" style="345"/>
    <col min="8992" max="8992" width="11.42578125" style="345" customWidth="1"/>
    <col min="8993" max="8993" width="39.42578125" style="345" customWidth="1"/>
    <col min="8994" max="8995" width="12.42578125" style="345" customWidth="1"/>
    <col min="8996" max="8996" width="16.42578125" style="345" customWidth="1"/>
    <col min="8997" max="8997" width="9.42578125" style="345"/>
    <col min="8998" max="8998" width="13" style="345" customWidth="1"/>
    <col min="8999" max="8999" width="13.42578125" style="345" bestFit="1" customWidth="1"/>
    <col min="9000" max="9000" width="15.42578125" style="345" bestFit="1" customWidth="1"/>
    <col min="9001" max="9001" width="12.5703125" style="345" bestFit="1" customWidth="1"/>
    <col min="9002" max="9247" width="9.42578125" style="345"/>
    <col min="9248" max="9248" width="11.42578125" style="345" customWidth="1"/>
    <col min="9249" max="9249" width="39.42578125" style="345" customWidth="1"/>
    <col min="9250" max="9251" width="12.42578125" style="345" customWidth="1"/>
    <col min="9252" max="9252" width="16.42578125" style="345" customWidth="1"/>
    <col min="9253" max="9253" width="9.42578125" style="345"/>
    <col min="9254" max="9254" width="13" style="345" customWidth="1"/>
    <col min="9255" max="9255" width="13.42578125" style="345" bestFit="1" customWidth="1"/>
    <col min="9256" max="9256" width="15.42578125" style="345" bestFit="1" customWidth="1"/>
    <col min="9257" max="9257" width="12.5703125" style="345" bestFit="1" customWidth="1"/>
    <col min="9258" max="9503" width="9.42578125" style="345"/>
    <col min="9504" max="9504" width="11.42578125" style="345" customWidth="1"/>
    <col min="9505" max="9505" width="39.42578125" style="345" customWidth="1"/>
    <col min="9506" max="9507" width="12.42578125" style="345" customWidth="1"/>
    <col min="9508" max="9508" width="16.42578125" style="345" customWidth="1"/>
    <col min="9509" max="9509" width="9.42578125" style="345"/>
    <col min="9510" max="9510" width="13" style="345" customWidth="1"/>
    <col min="9511" max="9511" width="13.42578125" style="345" bestFit="1" customWidth="1"/>
    <col min="9512" max="9512" width="15.42578125" style="345" bestFit="1" customWidth="1"/>
    <col min="9513" max="9513" width="12.5703125" style="345" bestFit="1" customWidth="1"/>
    <col min="9514" max="9759" width="9.42578125" style="345"/>
    <col min="9760" max="9760" width="11.42578125" style="345" customWidth="1"/>
    <col min="9761" max="9761" width="39.42578125" style="345" customWidth="1"/>
    <col min="9762" max="9763" width="12.42578125" style="345" customWidth="1"/>
    <col min="9764" max="9764" width="16.42578125" style="345" customWidth="1"/>
    <col min="9765" max="9765" width="9.42578125" style="345"/>
    <col min="9766" max="9766" width="13" style="345" customWidth="1"/>
    <col min="9767" max="9767" width="13.42578125" style="345" bestFit="1" customWidth="1"/>
    <col min="9768" max="9768" width="15.42578125" style="345" bestFit="1" customWidth="1"/>
    <col min="9769" max="9769" width="12.5703125" style="345" bestFit="1" customWidth="1"/>
    <col min="9770" max="10015" width="9.42578125" style="345"/>
    <col min="10016" max="10016" width="11.42578125" style="345" customWidth="1"/>
    <col min="10017" max="10017" width="39.42578125" style="345" customWidth="1"/>
    <col min="10018" max="10019" width="12.42578125" style="345" customWidth="1"/>
    <col min="10020" max="10020" width="16.42578125" style="345" customWidth="1"/>
    <col min="10021" max="10021" width="9.42578125" style="345"/>
    <col min="10022" max="10022" width="13" style="345" customWidth="1"/>
    <col min="10023" max="10023" width="13.42578125" style="345" bestFit="1" customWidth="1"/>
    <col min="10024" max="10024" width="15.42578125" style="345" bestFit="1" customWidth="1"/>
    <col min="10025" max="10025" width="12.5703125" style="345" bestFit="1" customWidth="1"/>
    <col min="10026" max="10271" width="9.42578125" style="345"/>
    <col min="10272" max="10272" width="11.42578125" style="345" customWidth="1"/>
    <col min="10273" max="10273" width="39.42578125" style="345" customWidth="1"/>
    <col min="10274" max="10275" width="12.42578125" style="345" customWidth="1"/>
    <col min="10276" max="10276" width="16.42578125" style="345" customWidth="1"/>
    <col min="10277" max="10277" width="9.42578125" style="345"/>
    <col min="10278" max="10278" width="13" style="345" customWidth="1"/>
    <col min="10279" max="10279" width="13.42578125" style="345" bestFit="1" customWidth="1"/>
    <col min="10280" max="10280" width="15.42578125" style="345" bestFit="1" customWidth="1"/>
    <col min="10281" max="10281" width="12.5703125" style="345" bestFit="1" customWidth="1"/>
    <col min="10282" max="10527" width="9.42578125" style="345"/>
    <col min="10528" max="10528" width="11.42578125" style="345" customWidth="1"/>
    <col min="10529" max="10529" width="39.42578125" style="345" customWidth="1"/>
    <col min="10530" max="10531" width="12.42578125" style="345" customWidth="1"/>
    <col min="10532" max="10532" width="16.42578125" style="345" customWidth="1"/>
    <col min="10533" max="10533" width="9.42578125" style="345"/>
    <col min="10534" max="10534" width="13" style="345" customWidth="1"/>
    <col min="10535" max="10535" width="13.42578125" style="345" bestFit="1" customWidth="1"/>
    <col min="10536" max="10536" width="15.42578125" style="345" bestFit="1" customWidth="1"/>
    <col min="10537" max="10537" width="12.5703125" style="345" bestFit="1" customWidth="1"/>
    <col min="10538" max="10783" width="9.42578125" style="345"/>
    <col min="10784" max="10784" width="11.42578125" style="345" customWidth="1"/>
    <col min="10785" max="10785" width="39.42578125" style="345" customWidth="1"/>
    <col min="10786" max="10787" width="12.42578125" style="345" customWidth="1"/>
    <col min="10788" max="10788" width="16.42578125" style="345" customWidth="1"/>
    <col min="10789" max="10789" width="9.42578125" style="345"/>
    <col min="10790" max="10790" width="13" style="345" customWidth="1"/>
    <col min="10791" max="10791" width="13.42578125" style="345" bestFit="1" customWidth="1"/>
    <col min="10792" max="10792" width="15.42578125" style="345" bestFit="1" customWidth="1"/>
    <col min="10793" max="10793" width="12.5703125" style="345" bestFit="1" customWidth="1"/>
    <col min="10794" max="11039" width="9.42578125" style="345"/>
    <col min="11040" max="11040" width="11.42578125" style="345" customWidth="1"/>
    <col min="11041" max="11041" width="39.42578125" style="345" customWidth="1"/>
    <col min="11042" max="11043" width="12.42578125" style="345" customWidth="1"/>
    <col min="11044" max="11044" width="16.42578125" style="345" customWidth="1"/>
    <col min="11045" max="11045" width="9.42578125" style="345"/>
    <col min="11046" max="11046" width="13" style="345" customWidth="1"/>
    <col min="11047" max="11047" width="13.42578125" style="345" bestFit="1" customWidth="1"/>
    <col min="11048" max="11048" width="15.42578125" style="345" bestFit="1" customWidth="1"/>
    <col min="11049" max="11049" width="12.5703125" style="345" bestFit="1" customWidth="1"/>
    <col min="11050" max="11295" width="9.42578125" style="345"/>
    <col min="11296" max="11296" width="11.42578125" style="345" customWidth="1"/>
    <col min="11297" max="11297" width="39.42578125" style="345" customWidth="1"/>
    <col min="11298" max="11299" width="12.42578125" style="345" customWidth="1"/>
    <col min="11300" max="11300" width="16.42578125" style="345" customWidth="1"/>
    <col min="11301" max="11301" width="9.42578125" style="345"/>
    <col min="11302" max="11302" width="13" style="345" customWidth="1"/>
    <col min="11303" max="11303" width="13.42578125" style="345" bestFit="1" customWidth="1"/>
    <col min="11304" max="11304" width="15.42578125" style="345" bestFit="1" customWidth="1"/>
    <col min="11305" max="11305" width="12.5703125" style="345" bestFit="1" customWidth="1"/>
    <col min="11306" max="11551" width="9.42578125" style="345"/>
    <col min="11552" max="11552" width="11.42578125" style="345" customWidth="1"/>
    <col min="11553" max="11553" width="39.42578125" style="345" customWidth="1"/>
    <col min="11554" max="11555" width="12.42578125" style="345" customWidth="1"/>
    <col min="11556" max="11556" width="16.42578125" style="345" customWidth="1"/>
    <col min="11557" max="11557" width="9.42578125" style="345"/>
    <col min="11558" max="11558" width="13" style="345" customWidth="1"/>
    <col min="11559" max="11559" width="13.42578125" style="345" bestFit="1" customWidth="1"/>
    <col min="11560" max="11560" width="15.42578125" style="345" bestFit="1" customWidth="1"/>
    <col min="11561" max="11561" width="12.5703125" style="345" bestFit="1" customWidth="1"/>
    <col min="11562" max="11807" width="9.42578125" style="345"/>
    <col min="11808" max="11808" width="11.42578125" style="345" customWidth="1"/>
    <col min="11809" max="11809" width="39.42578125" style="345" customWidth="1"/>
    <col min="11810" max="11811" width="12.42578125" style="345" customWidth="1"/>
    <col min="11812" max="11812" width="16.42578125" style="345" customWidth="1"/>
    <col min="11813" max="11813" width="9.42578125" style="345"/>
    <col min="11814" max="11814" width="13" style="345" customWidth="1"/>
    <col min="11815" max="11815" width="13.42578125" style="345" bestFit="1" customWidth="1"/>
    <col min="11816" max="11816" width="15.42578125" style="345" bestFit="1" customWidth="1"/>
    <col min="11817" max="11817" width="12.5703125" style="345" bestFit="1" customWidth="1"/>
    <col min="11818" max="12063" width="9.42578125" style="345"/>
    <col min="12064" max="12064" width="11.42578125" style="345" customWidth="1"/>
    <col min="12065" max="12065" width="39.42578125" style="345" customWidth="1"/>
    <col min="12066" max="12067" width="12.42578125" style="345" customWidth="1"/>
    <col min="12068" max="12068" width="16.42578125" style="345" customWidth="1"/>
    <col min="12069" max="12069" width="9.42578125" style="345"/>
    <col min="12070" max="12070" width="13" style="345" customWidth="1"/>
    <col min="12071" max="12071" width="13.42578125" style="345" bestFit="1" customWidth="1"/>
    <col min="12072" max="12072" width="15.42578125" style="345" bestFit="1" customWidth="1"/>
    <col min="12073" max="12073" width="12.5703125" style="345" bestFit="1" customWidth="1"/>
    <col min="12074" max="12319" width="9.42578125" style="345"/>
    <col min="12320" max="12320" width="11.42578125" style="345" customWidth="1"/>
    <col min="12321" max="12321" width="39.42578125" style="345" customWidth="1"/>
    <col min="12322" max="12323" width="12.42578125" style="345" customWidth="1"/>
    <col min="12324" max="12324" width="16.42578125" style="345" customWidth="1"/>
    <col min="12325" max="12325" width="9.42578125" style="345"/>
    <col min="12326" max="12326" width="13" style="345" customWidth="1"/>
    <col min="12327" max="12327" width="13.42578125" style="345" bestFit="1" customWidth="1"/>
    <col min="12328" max="12328" width="15.42578125" style="345" bestFit="1" customWidth="1"/>
    <col min="12329" max="12329" width="12.5703125" style="345" bestFit="1" customWidth="1"/>
    <col min="12330" max="12575" width="9.42578125" style="345"/>
    <col min="12576" max="12576" width="11.42578125" style="345" customWidth="1"/>
    <col min="12577" max="12577" width="39.42578125" style="345" customWidth="1"/>
    <col min="12578" max="12579" width="12.42578125" style="345" customWidth="1"/>
    <col min="12580" max="12580" width="16.42578125" style="345" customWidth="1"/>
    <col min="12581" max="12581" width="9.42578125" style="345"/>
    <col min="12582" max="12582" width="13" style="345" customWidth="1"/>
    <col min="12583" max="12583" width="13.42578125" style="345" bestFit="1" customWidth="1"/>
    <col min="12584" max="12584" width="15.42578125" style="345" bestFit="1" customWidth="1"/>
    <col min="12585" max="12585" width="12.5703125" style="345" bestFit="1" customWidth="1"/>
    <col min="12586" max="12831" width="9.42578125" style="345"/>
    <col min="12832" max="12832" width="11.42578125" style="345" customWidth="1"/>
    <col min="12833" max="12833" width="39.42578125" style="345" customWidth="1"/>
    <col min="12834" max="12835" width="12.42578125" style="345" customWidth="1"/>
    <col min="12836" max="12836" width="16.42578125" style="345" customWidth="1"/>
    <col min="12837" max="12837" width="9.42578125" style="345"/>
    <col min="12838" max="12838" width="13" style="345" customWidth="1"/>
    <col min="12839" max="12839" width="13.42578125" style="345" bestFit="1" customWidth="1"/>
    <col min="12840" max="12840" width="15.42578125" style="345" bestFit="1" customWidth="1"/>
    <col min="12841" max="12841" width="12.5703125" style="345" bestFit="1" customWidth="1"/>
    <col min="12842" max="13087" width="9.42578125" style="345"/>
    <col min="13088" max="13088" width="11.42578125" style="345" customWidth="1"/>
    <col min="13089" max="13089" width="39.42578125" style="345" customWidth="1"/>
    <col min="13090" max="13091" width="12.42578125" style="345" customWidth="1"/>
    <col min="13092" max="13092" width="16.42578125" style="345" customWidth="1"/>
    <col min="13093" max="13093" width="9.42578125" style="345"/>
    <col min="13094" max="13094" width="13" style="345" customWidth="1"/>
    <col min="13095" max="13095" width="13.42578125" style="345" bestFit="1" customWidth="1"/>
    <col min="13096" max="13096" width="15.42578125" style="345" bestFit="1" customWidth="1"/>
    <col min="13097" max="13097" width="12.5703125" style="345" bestFit="1" customWidth="1"/>
    <col min="13098" max="13343" width="9.42578125" style="345"/>
    <col min="13344" max="13344" width="11.42578125" style="345" customWidth="1"/>
    <col min="13345" max="13345" width="39.42578125" style="345" customWidth="1"/>
    <col min="13346" max="13347" width="12.42578125" style="345" customWidth="1"/>
    <col min="13348" max="13348" width="16.42578125" style="345" customWidth="1"/>
    <col min="13349" max="13349" width="9.42578125" style="345"/>
    <col min="13350" max="13350" width="13" style="345" customWidth="1"/>
    <col min="13351" max="13351" width="13.42578125" style="345" bestFit="1" customWidth="1"/>
    <col min="13352" max="13352" width="15.42578125" style="345" bestFit="1" customWidth="1"/>
    <col min="13353" max="13353" width="12.5703125" style="345" bestFit="1" customWidth="1"/>
    <col min="13354" max="13599" width="9.42578125" style="345"/>
    <col min="13600" max="13600" width="11.42578125" style="345" customWidth="1"/>
    <col min="13601" max="13601" width="39.42578125" style="345" customWidth="1"/>
    <col min="13602" max="13603" width="12.42578125" style="345" customWidth="1"/>
    <col min="13604" max="13604" width="16.42578125" style="345" customWidth="1"/>
    <col min="13605" max="13605" width="9.42578125" style="345"/>
    <col min="13606" max="13606" width="13" style="345" customWidth="1"/>
    <col min="13607" max="13607" width="13.42578125" style="345" bestFit="1" customWidth="1"/>
    <col min="13608" max="13608" width="15.42578125" style="345" bestFit="1" customWidth="1"/>
    <col min="13609" max="13609" width="12.5703125" style="345" bestFit="1" customWidth="1"/>
    <col min="13610" max="13855" width="9.42578125" style="345"/>
    <col min="13856" max="13856" width="11.42578125" style="345" customWidth="1"/>
    <col min="13857" max="13857" width="39.42578125" style="345" customWidth="1"/>
    <col min="13858" max="13859" width="12.42578125" style="345" customWidth="1"/>
    <col min="13860" max="13860" width="16.42578125" style="345" customWidth="1"/>
    <col min="13861" max="13861" width="9.42578125" style="345"/>
    <col min="13862" max="13862" width="13" style="345" customWidth="1"/>
    <col min="13863" max="13863" width="13.42578125" style="345" bestFit="1" customWidth="1"/>
    <col min="13864" max="13864" width="15.42578125" style="345" bestFit="1" customWidth="1"/>
    <col min="13865" max="13865" width="12.5703125" style="345" bestFit="1" customWidth="1"/>
    <col min="13866" max="14111" width="9.42578125" style="345"/>
    <col min="14112" max="14112" width="11.42578125" style="345" customWidth="1"/>
    <col min="14113" max="14113" width="39.42578125" style="345" customWidth="1"/>
    <col min="14114" max="14115" width="12.42578125" style="345" customWidth="1"/>
    <col min="14116" max="14116" width="16.42578125" style="345" customWidth="1"/>
    <col min="14117" max="14117" width="9.42578125" style="345"/>
    <col min="14118" max="14118" width="13" style="345" customWidth="1"/>
    <col min="14119" max="14119" width="13.42578125" style="345" bestFit="1" customWidth="1"/>
    <col min="14120" max="14120" width="15.42578125" style="345" bestFit="1" customWidth="1"/>
    <col min="14121" max="14121" width="12.5703125" style="345" bestFit="1" customWidth="1"/>
    <col min="14122" max="14367" width="9.42578125" style="345"/>
    <col min="14368" max="14368" width="11.42578125" style="345" customWidth="1"/>
    <col min="14369" max="14369" width="39.42578125" style="345" customWidth="1"/>
    <col min="14370" max="14371" width="12.42578125" style="345" customWidth="1"/>
    <col min="14372" max="14372" width="16.42578125" style="345" customWidth="1"/>
    <col min="14373" max="14373" width="9.42578125" style="345"/>
    <col min="14374" max="14374" width="13" style="345" customWidth="1"/>
    <col min="14375" max="14375" width="13.42578125" style="345" bestFit="1" customWidth="1"/>
    <col min="14376" max="14376" width="15.42578125" style="345" bestFit="1" customWidth="1"/>
    <col min="14377" max="14377" width="12.5703125" style="345" bestFit="1" customWidth="1"/>
    <col min="14378" max="14623" width="9.42578125" style="345"/>
    <col min="14624" max="14624" width="11.42578125" style="345" customWidth="1"/>
    <col min="14625" max="14625" width="39.42578125" style="345" customWidth="1"/>
    <col min="14626" max="14627" width="12.42578125" style="345" customWidth="1"/>
    <col min="14628" max="14628" width="16.42578125" style="345" customWidth="1"/>
    <col min="14629" max="14629" width="9.42578125" style="345"/>
    <col min="14630" max="14630" width="13" style="345" customWidth="1"/>
    <col min="14631" max="14631" width="13.42578125" style="345" bestFit="1" customWidth="1"/>
    <col min="14632" max="14632" width="15.42578125" style="345" bestFit="1" customWidth="1"/>
    <col min="14633" max="14633" width="12.5703125" style="345" bestFit="1" customWidth="1"/>
    <col min="14634" max="14879" width="9.42578125" style="345"/>
    <col min="14880" max="14880" width="11.42578125" style="345" customWidth="1"/>
    <col min="14881" max="14881" width="39.42578125" style="345" customWidth="1"/>
    <col min="14882" max="14883" width="12.42578125" style="345" customWidth="1"/>
    <col min="14884" max="14884" width="16.42578125" style="345" customWidth="1"/>
    <col min="14885" max="14885" width="9.42578125" style="345"/>
    <col min="14886" max="14886" width="13" style="345" customWidth="1"/>
    <col min="14887" max="14887" width="13.42578125" style="345" bestFit="1" customWidth="1"/>
    <col min="14888" max="14888" width="15.42578125" style="345" bestFit="1" customWidth="1"/>
    <col min="14889" max="14889" width="12.5703125" style="345" bestFit="1" customWidth="1"/>
    <col min="14890" max="15135" width="9.42578125" style="345"/>
    <col min="15136" max="15136" width="11.42578125" style="345" customWidth="1"/>
    <col min="15137" max="15137" width="39.42578125" style="345" customWidth="1"/>
    <col min="15138" max="15139" width="12.42578125" style="345" customWidth="1"/>
    <col min="15140" max="15140" width="16.42578125" style="345" customWidth="1"/>
    <col min="15141" max="15141" width="9.42578125" style="345"/>
    <col min="15142" max="15142" width="13" style="345" customWidth="1"/>
    <col min="15143" max="15143" width="13.42578125" style="345" bestFit="1" customWidth="1"/>
    <col min="15144" max="15144" width="15.42578125" style="345" bestFit="1" customWidth="1"/>
    <col min="15145" max="15145" width="12.5703125" style="345" bestFit="1" customWidth="1"/>
    <col min="15146" max="15391" width="9.42578125" style="345"/>
    <col min="15392" max="15392" width="11.42578125" style="345" customWidth="1"/>
    <col min="15393" max="15393" width="39.42578125" style="345" customWidth="1"/>
    <col min="15394" max="15395" width="12.42578125" style="345" customWidth="1"/>
    <col min="15396" max="15396" width="16.42578125" style="345" customWidth="1"/>
    <col min="15397" max="15397" width="9.42578125" style="345"/>
    <col min="15398" max="15398" width="13" style="345" customWidth="1"/>
    <col min="15399" max="15399" width="13.42578125" style="345" bestFit="1" customWidth="1"/>
    <col min="15400" max="15400" width="15.42578125" style="345" bestFit="1" customWidth="1"/>
    <col min="15401" max="15401" width="12.5703125" style="345" bestFit="1" customWidth="1"/>
    <col min="15402" max="15647" width="9.42578125" style="345"/>
    <col min="15648" max="15648" width="11.42578125" style="345" customWidth="1"/>
    <col min="15649" max="15649" width="39.42578125" style="345" customWidth="1"/>
    <col min="15650" max="15651" width="12.42578125" style="345" customWidth="1"/>
    <col min="15652" max="15652" width="16.42578125" style="345" customWidth="1"/>
    <col min="15653" max="15653" width="9.42578125" style="345"/>
    <col min="15654" max="15654" width="13" style="345" customWidth="1"/>
    <col min="15655" max="15655" width="13.42578125" style="345" bestFit="1" customWidth="1"/>
    <col min="15656" max="15656" width="15.42578125" style="345" bestFit="1" customWidth="1"/>
    <col min="15657" max="15657" width="12.5703125" style="345" bestFit="1" customWidth="1"/>
    <col min="15658" max="15903" width="9.42578125" style="345"/>
    <col min="15904" max="15904" width="11.42578125" style="345" customWidth="1"/>
    <col min="15905" max="15905" width="39.42578125" style="345" customWidth="1"/>
    <col min="15906" max="15907" width="12.42578125" style="345" customWidth="1"/>
    <col min="15908" max="15908" width="16.42578125" style="345" customWidth="1"/>
    <col min="15909" max="15909" width="9.42578125" style="345"/>
    <col min="15910" max="15910" width="13" style="345" customWidth="1"/>
    <col min="15911" max="15911" width="13.42578125" style="345" bestFit="1" customWidth="1"/>
    <col min="15912" max="15912" width="15.42578125" style="345" bestFit="1" customWidth="1"/>
    <col min="15913" max="15913" width="12.5703125" style="345" bestFit="1" customWidth="1"/>
    <col min="15914" max="16159" width="9.42578125" style="345"/>
    <col min="16160" max="16160" width="11.42578125" style="345" customWidth="1"/>
    <col min="16161" max="16161" width="39.42578125" style="345" customWidth="1"/>
    <col min="16162" max="16163" width="12.42578125" style="345" customWidth="1"/>
    <col min="16164" max="16164" width="16.42578125" style="345" customWidth="1"/>
    <col min="16165" max="16165" width="9.42578125" style="345"/>
    <col min="16166" max="16166" width="13" style="345" customWidth="1"/>
    <col min="16167" max="16167" width="13.42578125" style="345" bestFit="1" customWidth="1"/>
    <col min="16168" max="16168" width="15.42578125" style="345" bestFit="1" customWidth="1"/>
    <col min="16169" max="16169" width="12.5703125" style="345" bestFit="1" customWidth="1"/>
    <col min="16170" max="16384" width="9.42578125" style="345"/>
  </cols>
  <sheetData>
    <row r="1" spans="1:44" s="180" customFormat="1" ht="21" customHeight="1">
      <c r="A1" s="17" t="s">
        <v>1393</v>
      </c>
      <c r="B1" s="179"/>
      <c r="C1" s="179"/>
      <c r="D1" s="759"/>
      <c r="E1" s="759"/>
    </row>
    <row r="2" spans="1:44" s="180" customFormat="1" ht="21" customHeight="1">
      <c r="A2" s="15" t="s">
        <v>1303</v>
      </c>
      <c r="B2" s="397" t="str">
        <f>'Schedule 2_Balance Sheet'!C2</f>
        <v>Tufts Associated Health Plans, Inc. (TAHMO)</v>
      </c>
      <c r="C2" s="398"/>
      <c r="D2" s="398"/>
      <c r="E2" s="398"/>
      <c r="F2" s="399"/>
    </row>
    <row r="3" spans="1:44" s="180" customFormat="1" ht="21" customHeight="1">
      <c r="A3" s="15" t="s">
        <v>1285</v>
      </c>
      <c r="B3" s="520" t="str">
        <f>'Schedule 2_Balance Sheet'!C3</f>
        <v>01/01/2024 - 12/31/2024</v>
      </c>
      <c r="C3" s="521"/>
      <c r="D3" s="521"/>
      <c r="E3" s="521"/>
      <c r="F3" s="522"/>
    </row>
    <row r="4" spans="1:44" s="180" customFormat="1" ht="21" customHeight="1">
      <c r="A4" s="15" t="s">
        <v>1306</v>
      </c>
      <c r="B4" s="401">
        <f>'Schedule 2_Balance Sheet'!C4</f>
        <v>45657</v>
      </c>
      <c r="C4" s="398"/>
      <c r="D4" s="398"/>
      <c r="E4" s="398"/>
      <c r="F4" s="399"/>
    </row>
    <row r="5" spans="1:44" s="180" customFormat="1" ht="21" customHeight="1">
      <c r="A5" s="15" t="s">
        <v>1307</v>
      </c>
      <c r="B5" s="397" t="str">
        <f>'Schedule 2_Balance Sheet'!C5</f>
        <v>Roshni Parikh</v>
      </c>
      <c r="C5" s="398"/>
      <c r="D5" s="398"/>
      <c r="E5" s="398"/>
      <c r="F5" s="399"/>
    </row>
    <row r="6" spans="1:44" s="180" customFormat="1" ht="21" customHeight="1">
      <c r="A6" s="15" t="s">
        <v>1288</v>
      </c>
      <c r="B6" s="401">
        <f>'Schedule 2_Balance Sheet'!C6</f>
        <v>45657</v>
      </c>
      <c r="C6" s="398"/>
      <c r="D6" s="398"/>
      <c r="E6" s="398"/>
      <c r="F6" s="399"/>
      <c r="H6" s="343"/>
      <c r="M6" s="343"/>
      <c r="O6" s="343"/>
    </row>
    <row r="7" spans="1:44" ht="13.9" thickBot="1">
      <c r="A7" s="179" t="s">
        <v>1289</v>
      </c>
      <c r="B7" s="179"/>
      <c r="C7" s="179"/>
      <c r="D7" s="179"/>
      <c r="E7" s="179"/>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row>
    <row r="8" spans="1:44" ht="13.9" thickBot="1">
      <c r="A8" s="356" t="s">
        <v>1394</v>
      </c>
      <c r="B8" s="942">
        <f>'Schedule 1_Enrollment'!L15</f>
        <v>35665</v>
      </c>
      <c r="C8" s="942">
        <f>'Schedule 1_Enrollment'!L22</f>
        <v>37327</v>
      </c>
      <c r="D8" s="942">
        <f>'Schedule 1_Enrollment'!L29</f>
        <v>39087</v>
      </c>
      <c r="E8" s="942">
        <f>'Schedule 1_Enrollment'!L36</f>
        <v>40861</v>
      </c>
      <c r="F8" s="943">
        <f>B8+C8+D8+E8</f>
        <v>152940</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row>
    <row r="9" spans="1:44" s="347" customFormat="1" ht="13.5" customHeight="1" thickBot="1">
      <c r="A9" s="357"/>
      <c r="B9" s="944" t="s">
        <v>1395</v>
      </c>
      <c r="C9" s="944"/>
      <c r="D9" s="944"/>
      <c r="E9" s="944"/>
      <c r="F9" s="358"/>
      <c r="G9" s="359" t="s">
        <v>1396</v>
      </c>
      <c r="H9" s="944"/>
      <c r="I9" s="944"/>
      <c r="J9" s="944"/>
      <c r="K9" s="358"/>
      <c r="L9" s="360" t="s">
        <v>1397</v>
      </c>
      <c r="M9" s="945"/>
      <c r="N9" s="945"/>
      <c r="O9" s="945"/>
      <c r="P9" s="361"/>
      <c r="Q9" s="362" t="s">
        <v>1398</v>
      </c>
      <c r="R9" s="946"/>
      <c r="S9" s="946"/>
      <c r="T9" s="946"/>
      <c r="U9" s="363"/>
      <c r="V9" s="362" t="s">
        <v>1399</v>
      </c>
      <c r="W9" s="946"/>
      <c r="X9" s="946"/>
      <c r="Y9" s="946"/>
      <c r="Z9" s="363"/>
      <c r="AA9" s="362" t="s">
        <v>1400</v>
      </c>
      <c r="AB9" s="946"/>
      <c r="AC9" s="946"/>
      <c r="AD9" s="946"/>
      <c r="AE9" s="363"/>
      <c r="AF9" s="364" t="s">
        <v>1401</v>
      </c>
      <c r="AG9" s="947"/>
      <c r="AH9" s="947"/>
      <c r="AI9" s="947"/>
      <c r="AJ9" s="365"/>
      <c r="AK9" s="366" t="s">
        <v>1402</v>
      </c>
      <c r="AL9" s="947"/>
      <c r="AM9" s="947"/>
      <c r="AN9" s="947"/>
      <c r="AO9" s="365"/>
      <c r="AR9" s="348"/>
    </row>
    <row r="10" spans="1:44" s="347" customFormat="1">
      <c r="A10" s="276" t="s">
        <v>1403</v>
      </c>
      <c r="B10" s="109" t="s">
        <v>1291</v>
      </c>
      <c r="C10" s="109" t="s">
        <v>1298</v>
      </c>
      <c r="D10" s="109" t="s">
        <v>1299</v>
      </c>
      <c r="E10" s="109" t="s">
        <v>1300</v>
      </c>
      <c r="F10" s="109" t="s">
        <v>54</v>
      </c>
      <c r="G10" s="109" t="str">
        <f>B10</f>
        <v>Q1</v>
      </c>
      <c r="H10" s="109" t="str">
        <f>C10</f>
        <v>Q2</v>
      </c>
      <c r="I10" s="109" t="str">
        <f>D10</f>
        <v>Q3</v>
      </c>
      <c r="J10" s="109" t="str">
        <f>E10</f>
        <v>Q4</v>
      </c>
      <c r="K10" s="109" t="s">
        <v>54</v>
      </c>
      <c r="L10" s="109" t="str">
        <f>G10</f>
        <v>Q1</v>
      </c>
      <c r="M10" s="109" t="str">
        <f>H10</f>
        <v>Q2</v>
      </c>
      <c r="N10" s="109" t="str">
        <f>I10</f>
        <v>Q3</v>
      </c>
      <c r="O10" s="109" t="str">
        <f>J10</f>
        <v>Q4</v>
      </c>
      <c r="P10" s="109" t="s">
        <v>54</v>
      </c>
      <c r="Q10" s="109" t="str">
        <f>L10</f>
        <v>Q1</v>
      </c>
      <c r="R10" s="109" t="str">
        <f>M10</f>
        <v>Q2</v>
      </c>
      <c r="S10" s="109" t="str">
        <f>N10</f>
        <v>Q3</v>
      </c>
      <c r="T10" s="109" t="str">
        <f>O10</f>
        <v>Q4</v>
      </c>
      <c r="U10" s="109" t="s">
        <v>54</v>
      </c>
      <c r="V10" s="109" t="str">
        <f>Q10</f>
        <v>Q1</v>
      </c>
      <c r="W10" s="109" t="str">
        <f>R10</f>
        <v>Q2</v>
      </c>
      <c r="X10" s="109" t="str">
        <f>S10</f>
        <v>Q3</v>
      </c>
      <c r="Y10" s="109" t="str">
        <f>T10</f>
        <v>Q4</v>
      </c>
      <c r="Z10" s="109" t="s">
        <v>54</v>
      </c>
      <c r="AA10" s="109" t="str">
        <f>V10</f>
        <v>Q1</v>
      </c>
      <c r="AB10" s="109" t="str">
        <f>W10</f>
        <v>Q2</v>
      </c>
      <c r="AC10" s="109" t="str">
        <f>X10</f>
        <v>Q3</v>
      </c>
      <c r="AD10" s="109" t="str">
        <f>Y10</f>
        <v>Q4</v>
      </c>
      <c r="AE10" s="109" t="s">
        <v>54</v>
      </c>
      <c r="AF10" s="109" t="str">
        <f>AA10</f>
        <v>Q1</v>
      </c>
      <c r="AG10" s="109" t="str">
        <f>AB10</f>
        <v>Q2</v>
      </c>
      <c r="AH10" s="109" t="str">
        <f>AC10</f>
        <v>Q3</v>
      </c>
      <c r="AI10" s="109" t="str">
        <f>AD10</f>
        <v>Q4</v>
      </c>
      <c r="AJ10" s="109" t="s">
        <v>54</v>
      </c>
      <c r="AK10" s="110" t="str">
        <f t="shared" ref="AK10:AN10" si="0">AF10</f>
        <v>Q1</v>
      </c>
      <c r="AL10" s="110" t="str">
        <f t="shared" si="0"/>
        <v>Q2</v>
      </c>
      <c r="AM10" s="110" t="str">
        <f t="shared" si="0"/>
        <v>Q3</v>
      </c>
      <c r="AN10" s="110" t="str">
        <f t="shared" si="0"/>
        <v>Q4</v>
      </c>
      <c r="AO10" s="111" t="s">
        <v>54</v>
      </c>
      <c r="AR10" s="348"/>
    </row>
    <row r="11" spans="1:44" s="349" customFormat="1">
      <c r="A11" s="277" t="s">
        <v>1404</v>
      </c>
      <c r="B11" s="291"/>
      <c r="C11" s="291"/>
      <c r="D11" s="291"/>
      <c r="E11" s="291"/>
      <c r="F11" s="291"/>
      <c r="G11" s="291"/>
      <c r="H11" s="291"/>
      <c r="I11" s="291"/>
      <c r="J11" s="291"/>
      <c r="K11" s="291"/>
      <c r="L11" s="292"/>
      <c r="M11" s="292"/>
      <c r="N11" s="292"/>
      <c r="O11" s="292"/>
      <c r="P11" s="292"/>
      <c r="Q11" s="293"/>
      <c r="R11" s="293"/>
      <c r="S11" s="293"/>
      <c r="T11" s="293"/>
      <c r="U11" s="293"/>
      <c r="V11" s="293"/>
      <c r="W11" s="293"/>
      <c r="X11" s="293"/>
      <c r="Y11" s="293"/>
      <c r="Z11" s="293"/>
      <c r="AA11" s="293"/>
      <c r="AB11" s="293"/>
      <c r="AC11" s="293"/>
      <c r="AD11" s="293"/>
      <c r="AE11" s="293"/>
      <c r="AF11" s="294"/>
      <c r="AG11" s="294"/>
      <c r="AH11" s="294"/>
      <c r="AI11" s="294"/>
      <c r="AJ11" s="294"/>
      <c r="AK11" s="295"/>
      <c r="AL11" s="295"/>
      <c r="AM11" s="295"/>
      <c r="AN11" s="296"/>
      <c r="AO11" s="297"/>
      <c r="AR11" s="350"/>
    </row>
    <row r="12" spans="1:44" s="349" customFormat="1">
      <c r="A12" s="277"/>
      <c r="B12" s="291"/>
      <c r="C12" s="291"/>
      <c r="D12" s="291"/>
      <c r="E12" s="291"/>
      <c r="F12" s="291"/>
      <c r="G12" s="291"/>
      <c r="H12" s="291"/>
      <c r="I12" s="291"/>
      <c r="J12" s="291"/>
      <c r="K12" s="291"/>
      <c r="L12" s="292"/>
      <c r="M12" s="292"/>
      <c r="N12" s="292"/>
      <c r="O12" s="292"/>
      <c r="P12" s="292"/>
      <c r="Q12" s="293"/>
      <c r="R12" s="293"/>
      <c r="S12" s="293"/>
      <c r="T12" s="293"/>
      <c r="U12" s="293"/>
      <c r="V12" s="293"/>
      <c r="W12" s="293"/>
      <c r="X12" s="293"/>
      <c r="Y12" s="293"/>
      <c r="Z12" s="293"/>
      <c r="AA12" s="293"/>
      <c r="AB12" s="293"/>
      <c r="AC12" s="293"/>
      <c r="AD12" s="293"/>
      <c r="AE12" s="293"/>
      <c r="AF12" s="294"/>
      <c r="AG12" s="294"/>
      <c r="AH12" s="294"/>
      <c r="AI12" s="294"/>
      <c r="AJ12" s="294"/>
      <c r="AK12" s="295"/>
      <c r="AL12" s="295"/>
      <c r="AM12" s="295"/>
      <c r="AN12" s="296"/>
      <c r="AO12" s="297"/>
      <c r="AR12" s="350"/>
    </row>
    <row r="13" spans="1:44">
      <c r="A13" s="278" t="s">
        <v>197</v>
      </c>
      <c r="B13" s="351">
        <v>574</v>
      </c>
      <c r="C13" s="351">
        <v>670</v>
      </c>
      <c r="D13" s="351">
        <v>670</v>
      </c>
      <c r="E13" s="351">
        <v>676</v>
      </c>
      <c r="F13" s="112">
        <f>SUM(B13:E13)</f>
        <v>2590</v>
      </c>
      <c r="G13" s="351">
        <v>4753</v>
      </c>
      <c r="H13" s="351">
        <v>7650</v>
      </c>
      <c r="I13" s="351">
        <v>5985</v>
      </c>
      <c r="J13" s="351">
        <v>6092</v>
      </c>
      <c r="K13" s="112">
        <f t="shared" ref="K13:K26" si="1">SUM(G13:J13)</f>
        <v>24480</v>
      </c>
      <c r="L13" s="105">
        <f>'Schedule 3A_Income Statement'!CO35</f>
        <v>15345872.48912158</v>
      </c>
      <c r="M13" s="105">
        <f>'Schedule 3A_Income Statement'!CP35</f>
        <v>15227011.153329838</v>
      </c>
      <c r="N13" s="105">
        <f>'Schedule 3A_Income Statement'!CQ35</f>
        <v>16322005.973912552</v>
      </c>
      <c r="O13" s="105">
        <f>'Schedule 3A_Income Statement'!CR35</f>
        <v>17297446.782121547</v>
      </c>
      <c r="P13" s="105">
        <f t="shared" ref="P13:P20" si="2">SUM(L13:O13)</f>
        <v>64192336.398485519</v>
      </c>
      <c r="Q13" s="113">
        <f>IF(B8=0,0,(B13/$B$8)*12000)</f>
        <v>193.13052011776253</v>
      </c>
      <c r="R13" s="113">
        <f>IF(C8=0,0,(C13/$C$8)*12000)</f>
        <v>215.39368285691322</v>
      </c>
      <c r="S13" s="113">
        <f>IF(D8=0,0,(D13/$D$8)*12000)</f>
        <v>205.6949881034615</v>
      </c>
      <c r="T13" s="113">
        <f>IF(E8=0,0,(E13/$E$8)*12000)</f>
        <v>198.52671251315437</v>
      </c>
      <c r="U13" s="113">
        <f>IF(F8=0,0,(F13/$F$8)*12000)</f>
        <v>203.21694782267556</v>
      </c>
      <c r="V13" s="114">
        <f t="shared" ref="V13:Z28" si="3">IF(B13=0,0,G13/B13)</f>
        <v>8.2804878048780495</v>
      </c>
      <c r="W13" s="114">
        <f t="shared" si="3"/>
        <v>11.417910447761194</v>
      </c>
      <c r="X13" s="114">
        <f t="shared" si="3"/>
        <v>8.932835820895523</v>
      </c>
      <c r="Y13" s="114">
        <f t="shared" si="3"/>
        <v>9.0118343195266277</v>
      </c>
      <c r="Z13" s="114">
        <f t="shared" si="3"/>
        <v>9.4517374517374524</v>
      </c>
      <c r="AA13" s="113">
        <f>IF($B$8=0,0,(G13/$B$8)*12000)</f>
        <v>1599.2149165848871</v>
      </c>
      <c r="AB13" s="113">
        <f>IF($C$8=0,0,(H13/$C$8)*12000)</f>
        <v>2459.3457818737106</v>
      </c>
      <c r="AC13" s="113">
        <f>IF($D$8=0,0,(I13/$D$8)*12000)</f>
        <v>1837.4395579092793</v>
      </c>
      <c r="AD13" s="113">
        <f>IF($E$8=0,0,(J13/$E$8)*12000)</f>
        <v>1789.0898411688408</v>
      </c>
      <c r="AE13" s="113">
        <f>IF($F$8=0,0,(K13/$F$8)*12000)</f>
        <v>1920.7532365633583</v>
      </c>
      <c r="AF13" s="106">
        <f t="shared" ref="AF13:AJ13" si="4">IF(G13=0,0,L13/G13)</f>
        <v>3228.6708371810605</v>
      </c>
      <c r="AG13" s="106">
        <f t="shared" si="4"/>
        <v>1990.458974291482</v>
      </c>
      <c r="AH13" s="106">
        <f t="shared" si="4"/>
        <v>2727.1522095091982</v>
      </c>
      <c r="AI13" s="106">
        <f t="shared" si="4"/>
        <v>2839.3707784178509</v>
      </c>
      <c r="AJ13" s="107">
        <f t="shared" si="4"/>
        <v>2622.2359639904216</v>
      </c>
      <c r="AK13" s="106">
        <f>IF(B$8=0,0,L13/B$8)</f>
        <v>430.27821363021394</v>
      </c>
      <c r="AL13" s="106">
        <f>IF(C$8=0,0,M13/C$8)</f>
        <v>407.93557353470243</v>
      </c>
      <c r="AM13" s="106">
        <f>IF(D$8=0,0,N13/D$8)</f>
        <v>417.58144584932461</v>
      </c>
      <c r="AN13" s="106">
        <f>IF(E$8=0,0,O13/E$8)</f>
        <v>423.32411791492001</v>
      </c>
      <c r="AO13" s="108">
        <f>IF(F$8=0,0,P13/F$8)</f>
        <v>419.72235123895331</v>
      </c>
    </row>
    <row r="14" spans="1:44">
      <c r="A14" s="278" t="s">
        <v>199</v>
      </c>
      <c r="B14" s="351">
        <v>41</v>
      </c>
      <c r="C14" s="351">
        <v>42</v>
      </c>
      <c r="D14" s="351">
        <v>35</v>
      </c>
      <c r="E14" s="351">
        <v>52</v>
      </c>
      <c r="F14" s="112">
        <f>SUM(B14:E14)</f>
        <v>170</v>
      </c>
      <c r="G14" s="351">
        <v>432</v>
      </c>
      <c r="H14" s="351">
        <v>470</v>
      </c>
      <c r="I14" s="351">
        <v>350</v>
      </c>
      <c r="J14" s="351">
        <v>367</v>
      </c>
      <c r="K14" s="112">
        <f t="shared" si="1"/>
        <v>1619</v>
      </c>
      <c r="L14" s="105">
        <f>'Schedule 3A_Income Statement'!CO36</f>
        <v>624098.10406787298</v>
      </c>
      <c r="M14" s="105">
        <f>'Schedule 3A_Income Statement'!CP36</f>
        <v>596970.16561180877</v>
      </c>
      <c r="N14" s="105">
        <f>'Schedule 3A_Income Statement'!CQ36</f>
        <v>450198.49769784784</v>
      </c>
      <c r="O14" s="105">
        <f>'Schedule 3A_Income Statement'!CR36</f>
        <v>497628.84409628069</v>
      </c>
      <c r="P14" s="105">
        <f t="shared" si="2"/>
        <v>2168895.6114738104</v>
      </c>
      <c r="Q14" s="113">
        <f>IF(B8=0,0,(B14/$B$8)*12000)</f>
        <v>13.795037151268749</v>
      </c>
      <c r="R14" s="113">
        <f>IF(C8=0,0,(C14/$C$8)*12000)</f>
        <v>13.502290567149783</v>
      </c>
      <c r="S14" s="113">
        <f>IF(D8=0,0,(D14/$D$8)*12000)</f>
        <v>10.745260572568885</v>
      </c>
      <c r="T14" s="113">
        <f>IF(E8=0,0,(E14/$E$8)*12000)</f>
        <v>15.27128557793495</v>
      </c>
      <c r="U14" s="113">
        <f>IF(F8=0,0,(F14/$F$8)*12000)</f>
        <v>13.338564142801101</v>
      </c>
      <c r="V14" s="114">
        <f t="shared" ref="V14" si="5">IF(B14=0,0,G14/B14)</f>
        <v>10.536585365853659</v>
      </c>
      <c r="W14" s="114">
        <f t="shared" ref="W14" si="6">IF(C14=0,0,H14/C14)</f>
        <v>11.19047619047619</v>
      </c>
      <c r="X14" s="114">
        <f t="shared" ref="X14" si="7">IF(D14=0,0,I14/D14)</f>
        <v>10</v>
      </c>
      <c r="Y14" s="114">
        <f t="shared" ref="Y14" si="8">IF(E14=0,0,J14/E14)</f>
        <v>7.0576923076923075</v>
      </c>
      <c r="Z14" s="114">
        <f t="shared" ref="Z14" si="9">IF(F14=0,0,K14/F14)</f>
        <v>9.5235294117647058</v>
      </c>
      <c r="AA14" s="113">
        <f t="shared" ref="AA14:AA31" si="10">IF($B$8=0,0,(G14/$B$8)*12000)</f>
        <v>145.35258656946587</v>
      </c>
      <c r="AB14" s="113">
        <f t="shared" ref="AB14:AB30" si="11">IF($C$8=0,0,(H14/$C$8)*12000)</f>
        <v>151.0970611085809</v>
      </c>
      <c r="AC14" s="113">
        <f t="shared" ref="AC14:AC30" si="12">IF($D$8=0,0,(I14/$D$8)*12000)</f>
        <v>107.45260572568885</v>
      </c>
      <c r="AD14" s="113">
        <f t="shared" ref="AD14:AD30" si="13">IF($E$8=0,0,(J14/$E$8)*12000)</f>
        <v>107.78003475196398</v>
      </c>
      <c r="AE14" s="113">
        <f t="shared" ref="AE14:AE30" si="14">IF($F$8=0,0,(K14/$F$8)*12000)</f>
        <v>127.03020792467635</v>
      </c>
      <c r="AF14" s="106">
        <f t="shared" ref="AF14:AF31" si="15">IF(G14=0,0,L14/G14)</f>
        <v>1444.6715371941505</v>
      </c>
      <c r="AG14" s="106">
        <f t="shared" ref="AG14:AG31" si="16">IF(H14=0,0,M14/H14)</f>
        <v>1270.1492885357634</v>
      </c>
      <c r="AH14" s="106">
        <f t="shared" ref="AH14:AH31" si="17">IF(I14=0,0,N14/I14)</f>
        <v>1286.2814219938509</v>
      </c>
      <c r="AI14" s="106">
        <f t="shared" ref="AI14:AI31" si="18">IF(J14=0,0,O14/J14)</f>
        <v>1355.9369048944977</v>
      </c>
      <c r="AJ14" s="107">
        <f t="shared" ref="AJ14:AJ31" si="19">IF(K14=0,0,P14/K14)</f>
        <v>1339.651396833731</v>
      </c>
      <c r="AK14" s="106">
        <f t="shared" ref="AK14:AK30" si="20">IF(B$8=0,0,L14/B$8)</f>
        <v>17.498895389538006</v>
      </c>
      <c r="AL14" s="106">
        <f t="shared" ref="AL14:AL30" si="21">IF(C$8=0,0,M14/C$8)</f>
        <v>15.992985388909068</v>
      </c>
      <c r="AM14" s="106">
        <f t="shared" ref="AM14:AM30" si="22">IF(D$8=0,0,N14/D$8)</f>
        <v>11.517857540815305</v>
      </c>
      <c r="AN14" s="106">
        <f t="shared" ref="AN14:AN30" si="23">IF(E$8=0,0,O14/E$8)</f>
        <v>12.178577227583286</v>
      </c>
      <c r="AO14" s="108">
        <f t="shared" ref="AO14:AO30" si="24">IF(F$8=0,0,P14/F$8)</f>
        <v>14.181349623864328</v>
      </c>
    </row>
    <row r="15" spans="1:44">
      <c r="A15" s="278" t="s">
        <v>200</v>
      </c>
      <c r="B15" s="289"/>
      <c r="C15" s="289"/>
      <c r="D15" s="289"/>
      <c r="E15" s="289"/>
      <c r="F15" s="289"/>
      <c r="G15" s="351">
        <v>160456.79999999999</v>
      </c>
      <c r="H15" s="351">
        <v>188560</v>
      </c>
      <c r="I15" s="351">
        <v>201756.9</v>
      </c>
      <c r="J15" s="351">
        <v>216678.6</v>
      </c>
      <c r="K15" s="112">
        <f>SUM(G15:J15)</f>
        <v>767452.29999999993</v>
      </c>
      <c r="L15" s="105">
        <f>'Schedule 3A_Income Statement'!CO37</f>
        <v>11799565.543081902</v>
      </c>
      <c r="M15" s="105">
        <f>'Schedule 3A_Income Statement'!CP37</f>
        <v>13651452.341587065</v>
      </c>
      <c r="N15" s="105">
        <f>'Schedule 3A_Income Statement'!CQ37</f>
        <v>14270294.679870078</v>
      </c>
      <c r="O15" s="105">
        <f>'Schedule 3A_Income Statement'!CR37</f>
        <v>14705612.536343962</v>
      </c>
      <c r="P15" s="105">
        <f>SUM(L15:O15)</f>
        <v>54426925.100883007</v>
      </c>
      <c r="Q15" s="287"/>
      <c r="R15" s="287"/>
      <c r="S15" s="287"/>
      <c r="T15" s="287"/>
      <c r="U15" s="287"/>
      <c r="V15" s="114">
        <f>IF(B15=0,0,G15/B15)</f>
        <v>0</v>
      </c>
      <c r="W15" s="114">
        <f>IF(C15=0,0,H15/C15)</f>
        <v>0</v>
      </c>
      <c r="X15" s="114">
        <f>IF(D15=0,0,I15/D15)</f>
        <v>0</v>
      </c>
      <c r="Y15" s="114">
        <f>IF(E15=0,0,J15/E15)</f>
        <v>0</v>
      </c>
      <c r="Z15" s="114">
        <f>IF(F15=0,0,K15/F15)</f>
        <v>0</v>
      </c>
      <c r="AA15" s="113">
        <f t="shared" si="10"/>
        <v>53987.988223748769</v>
      </c>
      <c r="AB15" s="113">
        <f t="shared" si="11"/>
        <v>60618.8549843277</v>
      </c>
      <c r="AC15" s="113">
        <f t="shared" si="12"/>
        <v>61940.870366106385</v>
      </c>
      <c r="AD15" s="113">
        <f t="shared" si="13"/>
        <v>63633.861138983382</v>
      </c>
      <c r="AE15" s="113">
        <f t="shared" si="14"/>
        <v>60215.951353471944</v>
      </c>
      <c r="AF15" s="106">
        <f>IF(G15=0,0,L15/G15)</f>
        <v>73.537335551263041</v>
      </c>
      <c r="AG15" s="106">
        <f>IF(H15=0,0,M15/H15)</f>
        <v>72.398453232854607</v>
      </c>
      <c r="AH15" s="106">
        <f>IF(I15=0,0,N15/I15)</f>
        <v>70.730144445469165</v>
      </c>
      <c r="AI15" s="106">
        <f>IF(J15=0,0,O15/J15)</f>
        <v>67.868319881815566</v>
      </c>
      <c r="AJ15" s="107">
        <f>IF(K15=0,0,P15/K15)</f>
        <v>70.918967994340505</v>
      </c>
      <c r="AK15" s="106">
        <f t="shared" si="20"/>
        <v>330.84440047895419</v>
      </c>
      <c r="AL15" s="106">
        <f t="shared" si="21"/>
        <v>365.72594480100366</v>
      </c>
      <c r="AM15" s="106">
        <f t="shared" si="22"/>
        <v>365.0905590060654</v>
      </c>
      <c r="AN15" s="106">
        <f t="shared" si="23"/>
        <v>359.89360359129637</v>
      </c>
      <c r="AO15" s="108">
        <f t="shared" si="24"/>
        <v>355.87109389880351</v>
      </c>
    </row>
    <row r="16" spans="1:44">
      <c r="A16" s="278" t="s">
        <v>201</v>
      </c>
      <c r="B16" s="289"/>
      <c r="C16" s="289"/>
      <c r="D16" s="289"/>
      <c r="E16" s="289"/>
      <c r="F16" s="289"/>
      <c r="G16" s="351">
        <v>8816</v>
      </c>
      <c r="H16" s="351">
        <v>9700</v>
      </c>
      <c r="I16" s="351">
        <v>9330</v>
      </c>
      <c r="J16" s="351">
        <v>9597</v>
      </c>
      <c r="K16" s="112">
        <f t="shared" ref="K16" si="25">SUM(G16:J16)</f>
        <v>37443</v>
      </c>
      <c r="L16" s="105">
        <f>'Schedule 3A_Income Statement'!CO38</f>
        <v>906935.96859321953</v>
      </c>
      <c r="M16" s="105">
        <f>'Schedule 3A_Income Statement'!CP38</f>
        <v>951045.29098740953</v>
      </c>
      <c r="N16" s="105">
        <f>'Schedule 3A_Income Statement'!CQ38</f>
        <v>987808.85725542856</v>
      </c>
      <c r="O16" s="105">
        <f>'Schedule 3A_Income Statement'!CR38</f>
        <v>1052817.7842161439</v>
      </c>
      <c r="P16" s="105">
        <f t="shared" ref="P16" si="26">SUM(L16:O16)</f>
        <v>3898607.9010522012</v>
      </c>
      <c r="Q16" s="287"/>
      <c r="R16" s="287"/>
      <c r="S16" s="287"/>
      <c r="T16" s="287"/>
      <c r="U16" s="287"/>
      <c r="V16" s="114">
        <f t="shared" ref="V16" si="27">IF(B16=0,0,G16/B16)</f>
        <v>0</v>
      </c>
      <c r="W16" s="114">
        <f t="shared" ref="W16" si="28">IF(C16=0,0,H16/C16)</f>
        <v>0</v>
      </c>
      <c r="X16" s="114">
        <f t="shared" ref="X16" si="29">IF(D16=0,0,I16/D16)</f>
        <v>0</v>
      </c>
      <c r="Y16" s="114">
        <f t="shared" ref="Y16" si="30">IF(E16=0,0,J16/E16)</f>
        <v>0</v>
      </c>
      <c r="Z16" s="114">
        <f t="shared" ref="Z16" si="31">IF(F16=0,0,K16/F16)</f>
        <v>0</v>
      </c>
      <c r="AA16" s="113">
        <f t="shared" si="10"/>
        <v>2966.2694518435442</v>
      </c>
      <c r="AB16" s="113">
        <f t="shared" si="11"/>
        <v>3118.3861547941174</v>
      </c>
      <c r="AC16" s="113">
        <f t="shared" si="12"/>
        <v>2864.3794612019342</v>
      </c>
      <c r="AD16" s="113">
        <f t="shared" si="13"/>
        <v>2818.4332248354176</v>
      </c>
      <c r="AE16" s="113">
        <f t="shared" si="14"/>
        <v>2937.8579835229502</v>
      </c>
      <c r="AF16" s="106">
        <f t="shared" ref="AF16" si="32">IF(G16=0,0,L16/G16)</f>
        <v>102.87386213625449</v>
      </c>
      <c r="AG16" s="106">
        <f t="shared" ref="AG16" si="33">IF(H16=0,0,M16/H16)</f>
        <v>98.045906287361802</v>
      </c>
      <c r="AH16" s="106">
        <f t="shared" ref="AH16" si="34">IF(I16=0,0,N16/I16)</f>
        <v>105.87447559007809</v>
      </c>
      <c r="AI16" s="106">
        <f t="shared" ref="AI16" si="35">IF(J16=0,0,O16/J16)</f>
        <v>109.70280131459246</v>
      </c>
      <c r="AJ16" s="107">
        <f t="shared" ref="AJ16" si="36">IF(K16=0,0,P16/K16)</f>
        <v>104.12114149646666</v>
      </c>
      <c r="AK16" s="106">
        <f t="shared" si="20"/>
        <v>25.42929955399466</v>
      </c>
      <c r="AL16" s="106">
        <f t="shared" si="21"/>
        <v>25.478749725062542</v>
      </c>
      <c r="AM16" s="106">
        <f t="shared" si="22"/>
        <v>25.272056112145435</v>
      </c>
      <c r="AN16" s="106">
        <f t="shared" si="23"/>
        <v>25.765835006880494</v>
      </c>
      <c r="AO16" s="108">
        <f t="shared" si="24"/>
        <v>25.491093899909774</v>
      </c>
    </row>
    <row r="17" spans="1:44">
      <c r="A17" s="278" t="s">
        <v>202</v>
      </c>
      <c r="B17" s="289"/>
      <c r="C17" s="289"/>
      <c r="D17" s="289"/>
      <c r="E17" s="289"/>
      <c r="F17" s="289"/>
      <c r="G17" s="351">
        <v>130994.89999999997</v>
      </c>
      <c r="H17" s="351">
        <v>146756.1</v>
      </c>
      <c r="I17" s="351">
        <v>155282.79999999999</v>
      </c>
      <c r="J17" s="351">
        <v>159063.20000000004</v>
      </c>
      <c r="K17" s="112">
        <f>SUM(G17:J17)</f>
        <v>592097</v>
      </c>
      <c r="L17" s="105">
        <f>'Schedule 3A_Income Statement'!CO39</f>
        <v>9004124.6634526812</v>
      </c>
      <c r="M17" s="105">
        <f>'Schedule 3A_Income Statement'!CP39</f>
        <v>9369874.3942362573</v>
      </c>
      <c r="N17" s="105">
        <f>'Schedule 3A_Income Statement'!CQ39</f>
        <v>9937858.5704850554</v>
      </c>
      <c r="O17" s="105">
        <f>'Schedule 3A_Income Statement'!CR39</f>
        <v>10411176.83989336</v>
      </c>
      <c r="P17" s="105">
        <f t="shared" ref="P17" si="37">SUM(L17:O17)</f>
        <v>38723034.468067348</v>
      </c>
      <c r="Q17" s="287"/>
      <c r="R17" s="287"/>
      <c r="S17" s="287"/>
      <c r="T17" s="287"/>
      <c r="U17" s="287"/>
      <c r="V17" s="114">
        <f t="shared" ref="V17:Z18" si="38">IF(B17=0,0,G17/B17)</f>
        <v>0</v>
      </c>
      <c r="W17" s="114">
        <f t="shared" si="38"/>
        <v>0</v>
      </c>
      <c r="X17" s="114">
        <f t="shared" si="38"/>
        <v>0</v>
      </c>
      <c r="Y17" s="114">
        <f t="shared" si="38"/>
        <v>0</v>
      </c>
      <c r="Z17" s="114">
        <f t="shared" si="38"/>
        <v>0</v>
      </c>
      <c r="AA17" s="113">
        <f t="shared" si="10"/>
        <v>44075.110051871576</v>
      </c>
      <c r="AB17" s="113">
        <f t="shared" si="11"/>
        <v>47179.607254802155</v>
      </c>
      <c r="AC17" s="113">
        <f t="shared" si="12"/>
        <v>47672.975669659987</v>
      </c>
      <c r="AD17" s="113">
        <f t="shared" si="13"/>
        <v>46713.452925772755</v>
      </c>
      <c r="AE17" s="113">
        <f t="shared" si="14"/>
        <v>46457.198901530013</v>
      </c>
      <c r="AF17" s="106">
        <f t="shared" ref="AF17:AJ18" si="39">IF(G17=0,0,L17/G17)</f>
        <v>68.736452056169242</v>
      </c>
      <c r="AG17" s="106">
        <f t="shared" si="39"/>
        <v>63.846575333061161</v>
      </c>
      <c r="AH17" s="106">
        <f t="shared" si="39"/>
        <v>63.998450378825318</v>
      </c>
      <c r="AI17" s="106">
        <f t="shared" si="39"/>
        <v>65.453083050594714</v>
      </c>
      <c r="AJ17" s="107">
        <f t="shared" si="39"/>
        <v>65.399815347936823</v>
      </c>
      <c r="AK17" s="106">
        <f t="shared" si="20"/>
        <v>252.46389074590442</v>
      </c>
      <c r="AL17" s="106">
        <f t="shared" si="21"/>
        <v>251.02136239816372</v>
      </c>
      <c r="AM17" s="106">
        <f t="shared" si="22"/>
        <v>254.24971398380677</v>
      </c>
      <c r="AN17" s="106">
        <f t="shared" si="23"/>
        <v>254.79495949422088</v>
      </c>
      <c r="AO17" s="108">
        <f t="shared" si="24"/>
        <v>253.191019145203</v>
      </c>
    </row>
    <row r="18" spans="1:44">
      <c r="A18" s="278" t="s">
        <v>1405</v>
      </c>
      <c r="B18" s="590"/>
      <c r="C18" s="590"/>
      <c r="D18" s="590"/>
      <c r="E18" s="590"/>
      <c r="F18" s="590"/>
      <c r="G18" s="351">
        <v>6220</v>
      </c>
      <c r="H18" s="351">
        <v>6849</v>
      </c>
      <c r="I18" s="351">
        <v>6840</v>
      </c>
      <c r="J18" s="351">
        <v>8376</v>
      </c>
      <c r="K18" s="112">
        <f>SUM(G18:J18)</f>
        <v>28285</v>
      </c>
      <c r="L18" s="105">
        <f>'Schedule 3A_Income Statement'!CO41</f>
        <v>3959926.4392855475</v>
      </c>
      <c r="M18" s="105">
        <f>'Schedule 3A_Income Statement'!CP41</f>
        <v>4453040.9967112336</v>
      </c>
      <c r="N18" s="105">
        <f>'Schedule 3A_Income Statement'!CQ41</f>
        <v>4337782.3244218919</v>
      </c>
      <c r="O18" s="105">
        <f>'Schedule 3A_Income Statement'!CR41</f>
        <v>5074080.1300266404</v>
      </c>
      <c r="P18" s="105">
        <f>SUM(L18:O18)</f>
        <v>17824829.890445314</v>
      </c>
      <c r="Q18" s="287"/>
      <c r="R18" s="287"/>
      <c r="S18" s="287"/>
      <c r="T18" s="287"/>
      <c r="U18" s="287"/>
      <c r="V18" s="114">
        <f t="shared" si="38"/>
        <v>0</v>
      </c>
      <c r="W18" s="114">
        <f t="shared" si="38"/>
        <v>0</v>
      </c>
      <c r="X18" s="114">
        <f t="shared" si="38"/>
        <v>0</v>
      </c>
      <c r="Y18" s="114">
        <f t="shared" si="38"/>
        <v>0</v>
      </c>
      <c r="Z18" s="114">
        <f t="shared" si="38"/>
        <v>0</v>
      </c>
      <c r="AA18" s="113">
        <f t="shared" si="10"/>
        <v>2092.8080751436983</v>
      </c>
      <c r="AB18" s="113">
        <f t="shared" si="11"/>
        <v>2201.8378117716397</v>
      </c>
      <c r="AC18" s="113">
        <f t="shared" si="12"/>
        <v>2099.9309233248905</v>
      </c>
      <c r="AD18" s="113">
        <f t="shared" si="13"/>
        <v>2459.851692322753</v>
      </c>
      <c r="AE18" s="113">
        <f t="shared" si="14"/>
        <v>2219.3016869360531</v>
      </c>
      <c r="AF18" s="106">
        <f t="shared" si="39"/>
        <v>636.64412207163139</v>
      </c>
      <c r="AG18" s="106">
        <f t="shared" si="39"/>
        <v>650.17389351894201</v>
      </c>
      <c r="AH18" s="106">
        <f t="shared" si="39"/>
        <v>634.17870240086143</v>
      </c>
      <c r="AI18" s="106">
        <f t="shared" si="39"/>
        <v>605.78798113976131</v>
      </c>
      <c r="AJ18" s="107">
        <f t="shared" si="39"/>
        <v>630.18666750734712</v>
      </c>
      <c r="AK18" s="106">
        <f t="shared" si="20"/>
        <v>111.03116330535673</v>
      </c>
      <c r="AL18" s="106">
        <f t="shared" si="21"/>
        <v>119.29812191473286</v>
      </c>
      <c r="AM18" s="106">
        <f t="shared" si="22"/>
        <v>110.97762234046849</v>
      </c>
      <c r="AN18" s="106">
        <f t="shared" si="23"/>
        <v>124.17904921628546</v>
      </c>
      <c r="AO18" s="108">
        <f t="shared" si="24"/>
        <v>116.54786119030544</v>
      </c>
      <c r="AR18" s="345"/>
    </row>
    <row r="19" spans="1:44">
      <c r="A19" s="278" t="s">
        <v>214</v>
      </c>
      <c r="B19" s="289"/>
      <c r="C19" s="289"/>
      <c r="D19" s="289"/>
      <c r="E19" s="289"/>
      <c r="F19" s="289"/>
      <c r="G19" s="351">
        <v>36065</v>
      </c>
      <c r="H19" s="351">
        <v>34819</v>
      </c>
      <c r="I19" s="351">
        <v>33912</v>
      </c>
      <c r="J19" s="351">
        <v>32787</v>
      </c>
      <c r="K19" s="112">
        <f t="shared" si="1"/>
        <v>137583</v>
      </c>
      <c r="L19" s="105">
        <f>'Schedule 3A_Income Statement'!CO49</f>
        <v>9850153.1512280647</v>
      </c>
      <c r="M19" s="105">
        <f>'Schedule 3A_Income Statement'!CP49</f>
        <v>9395050.003126651</v>
      </c>
      <c r="N19" s="105">
        <f>'Schedule 3A_Income Statement'!CQ49</f>
        <v>8829772.021127345</v>
      </c>
      <c r="O19" s="105">
        <f>'Schedule 3A_Income Statement'!CR49</f>
        <v>8842884.1219694428</v>
      </c>
      <c r="P19" s="105">
        <f t="shared" si="2"/>
        <v>36917859.297451496</v>
      </c>
      <c r="Q19" s="287"/>
      <c r="R19" s="287"/>
      <c r="S19" s="287"/>
      <c r="T19" s="287"/>
      <c r="U19" s="287"/>
      <c r="V19" s="114">
        <f t="shared" si="3"/>
        <v>0</v>
      </c>
      <c r="W19" s="114">
        <f t="shared" si="3"/>
        <v>0</v>
      </c>
      <c r="X19" s="114">
        <f t="shared" si="3"/>
        <v>0</v>
      </c>
      <c r="Y19" s="114">
        <f t="shared" si="3"/>
        <v>0</v>
      </c>
      <c r="Z19" s="114">
        <f t="shared" si="3"/>
        <v>0</v>
      </c>
      <c r="AA19" s="113">
        <f t="shared" si="10"/>
        <v>12134.585728305063</v>
      </c>
      <c r="AB19" s="113">
        <f t="shared" si="11"/>
        <v>11193.720363275912</v>
      </c>
      <c r="AC19" s="113">
        <f t="shared" si="12"/>
        <v>10411.236472484459</v>
      </c>
      <c r="AD19" s="113">
        <f t="shared" si="13"/>
        <v>9628.8392354567932</v>
      </c>
      <c r="AE19" s="113">
        <f t="shared" si="14"/>
        <v>10795.056885052962</v>
      </c>
      <c r="AF19" s="106">
        <f t="shared" si="15"/>
        <v>273.12222795585927</v>
      </c>
      <c r="AG19" s="106">
        <f t="shared" si="16"/>
        <v>269.82538278315434</v>
      </c>
      <c r="AH19" s="106">
        <f t="shared" si="17"/>
        <v>260.37308389736216</v>
      </c>
      <c r="AI19" s="106">
        <f t="shared" si="18"/>
        <v>269.70702174549189</v>
      </c>
      <c r="AJ19" s="107">
        <f t="shared" si="19"/>
        <v>268.33154748371163</v>
      </c>
      <c r="AK19" s="106">
        <f t="shared" si="20"/>
        <v>276.18542411967098</v>
      </c>
      <c r="AL19" s="106">
        <f t="shared" si="21"/>
        <v>251.69582348237606</v>
      </c>
      <c r="AM19" s="106">
        <f t="shared" si="22"/>
        <v>225.90047896045604</v>
      </c>
      <c r="AN19" s="106">
        <f t="shared" si="23"/>
        <v>216.41379608843255</v>
      </c>
      <c r="AO19" s="108">
        <f t="shared" si="24"/>
        <v>241.38785992841306</v>
      </c>
    </row>
    <row r="20" spans="1:44">
      <c r="A20" s="278" t="s">
        <v>215</v>
      </c>
      <c r="B20" s="289"/>
      <c r="C20" s="289"/>
      <c r="D20" s="289"/>
      <c r="E20" s="289"/>
      <c r="F20" s="289"/>
      <c r="G20" s="351">
        <v>3445715</v>
      </c>
      <c r="H20" s="351">
        <v>3544742</v>
      </c>
      <c r="I20" s="351">
        <v>3636986</v>
      </c>
      <c r="J20" s="351">
        <v>3672114</v>
      </c>
      <c r="K20" s="112">
        <f t="shared" si="1"/>
        <v>14299557</v>
      </c>
      <c r="L20" s="105">
        <f>'Schedule 3A_Income Statement'!CO50</f>
        <v>18239336.086054236</v>
      </c>
      <c r="M20" s="105">
        <f>'Schedule 3A_Income Statement'!CP50</f>
        <v>18882743.079568923</v>
      </c>
      <c r="N20" s="105">
        <f>'Schedule 3A_Income Statement'!CQ50</f>
        <v>19806490.196376659</v>
      </c>
      <c r="O20" s="105">
        <f>'Schedule 3A_Income Statement'!CR50</f>
        <v>20180962.141643662</v>
      </c>
      <c r="P20" s="105">
        <f t="shared" si="2"/>
        <v>77109531.503643483</v>
      </c>
      <c r="Q20" s="287"/>
      <c r="R20" s="287"/>
      <c r="S20" s="287"/>
      <c r="T20" s="287"/>
      <c r="U20" s="287"/>
      <c r="V20" s="114">
        <f t="shared" ref="V20" si="40">IF(B20=0,0,G20/B20)</f>
        <v>0</v>
      </c>
      <c r="W20" s="114">
        <f t="shared" ref="W20" si="41">IF(C20=0,0,H20/C20)</f>
        <v>0</v>
      </c>
      <c r="X20" s="114">
        <f t="shared" ref="X20" si="42">IF(D20=0,0,I20/D20)</f>
        <v>0</v>
      </c>
      <c r="Y20" s="114">
        <f t="shared" ref="Y20" si="43">IF(E20=0,0,J20/E20)</f>
        <v>0</v>
      </c>
      <c r="Z20" s="114">
        <f t="shared" ref="Z20" si="44">IF(F20=0,0,K20/F20)</f>
        <v>0</v>
      </c>
      <c r="AA20" s="113">
        <f t="shared" si="10"/>
        <v>1159360.1570166831</v>
      </c>
      <c r="AB20" s="113">
        <f t="shared" si="11"/>
        <v>1139574.6778471349</v>
      </c>
      <c r="AC20" s="113">
        <f t="shared" si="12"/>
        <v>1116581.7791081434</v>
      </c>
      <c r="AD20" s="113">
        <f t="shared" si="13"/>
        <v>1078421.1840140966</v>
      </c>
      <c r="AE20" s="113">
        <f t="shared" si="14"/>
        <v>1121973.8721067086</v>
      </c>
      <c r="AF20" s="106">
        <f t="shared" si="15"/>
        <v>5.2933385628394207</v>
      </c>
      <c r="AG20" s="106">
        <f t="shared" si="16"/>
        <v>5.3269724791166526</v>
      </c>
      <c r="AH20" s="106">
        <f t="shared" si="17"/>
        <v>5.4458527463060511</v>
      </c>
      <c r="AI20" s="106">
        <f t="shared" si="18"/>
        <v>5.4957341034738194</v>
      </c>
      <c r="AJ20" s="107">
        <f t="shared" si="19"/>
        <v>5.3924419828980357</v>
      </c>
      <c r="AK20" s="106">
        <f t="shared" si="20"/>
        <v>511.40715227966456</v>
      </c>
      <c r="AL20" s="106">
        <f t="shared" si="21"/>
        <v>505.87357889915938</v>
      </c>
      <c r="AM20" s="106">
        <f t="shared" si="22"/>
        <v>506.7283290192816</v>
      </c>
      <c r="AN20" s="106">
        <f t="shared" si="23"/>
        <v>493.89300657457386</v>
      </c>
      <c r="AO20" s="108">
        <f t="shared" si="24"/>
        <v>504.18158430524051</v>
      </c>
    </row>
    <row r="21" spans="1:44">
      <c r="A21" s="278" t="s">
        <v>216</v>
      </c>
      <c r="B21" s="289"/>
      <c r="C21" s="289"/>
      <c r="D21" s="289"/>
      <c r="E21" s="289"/>
      <c r="F21" s="289"/>
      <c r="G21" s="351">
        <v>90595</v>
      </c>
      <c r="H21" s="351">
        <v>108744</v>
      </c>
      <c r="I21" s="351">
        <v>75047</v>
      </c>
      <c r="J21" s="351">
        <v>74562</v>
      </c>
      <c r="K21" s="112">
        <f t="shared" ref="K21:K25" si="45">SUM(G21:J21)</f>
        <v>348948</v>
      </c>
      <c r="L21" s="105">
        <f>'Schedule 3A_Income Statement'!CO51</f>
        <v>1283439.1734495549</v>
      </c>
      <c r="M21" s="105">
        <f>'Schedule 3A_Income Statement'!CP51</f>
        <v>1239510.0963329885</v>
      </c>
      <c r="N21" s="105">
        <f>'Schedule 3A_Income Statement'!CQ51</f>
        <v>1299367.9207695047</v>
      </c>
      <c r="O21" s="105">
        <f>'Schedule 3A_Income Statement'!CR51</f>
        <v>1363306.4504807724</v>
      </c>
      <c r="P21" s="105">
        <f t="shared" ref="P21:P25" si="46">SUM(L21:O21)</f>
        <v>5185623.6410328206</v>
      </c>
      <c r="Q21" s="287"/>
      <c r="R21" s="287"/>
      <c r="S21" s="287"/>
      <c r="T21" s="287"/>
      <c r="U21" s="287"/>
      <c r="V21" s="114">
        <f t="shared" ref="V21:V25" si="47">IF(B21=0,0,G21/B21)</f>
        <v>0</v>
      </c>
      <c r="W21" s="114">
        <f t="shared" ref="W21:W25" si="48">IF(C21=0,0,H21/C21)</f>
        <v>0</v>
      </c>
      <c r="X21" s="114">
        <f t="shared" ref="X21:X25" si="49">IF(D21=0,0,I21/D21)</f>
        <v>0</v>
      </c>
      <c r="Y21" s="114">
        <f t="shared" ref="Y21:Y25" si="50">IF(E21=0,0,J21/E21)</f>
        <v>0</v>
      </c>
      <c r="Z21" s="114">
        <f t="shared" ref="Z21:Z25" si="51">IF(F21=0,0,K21/F21)</f>
        <v>0</v>
      </c>
      <c r="AA21" s="113">
        <f t="shared" si="10"/>
        <v>30481.985139492503</v>
      </c>
      <c r="AB21" s="113">
        <f t="shared" ref="AB21:AB25" si="52">IF($C$8=0,0,(H21/$C$8)*12000)</f>
        <v>34959.359177003236</v>
      </c>
      <c r="AC21" s="113">
        <f t="shared" ref="AC21:AC25" si="53">IF($D$8=0,0,(I21/$D$8)*12000)</f>
        <v>23039.987719702203</v>
      </c>
      <c r="AD21" s="113">
        <f t="shared" ref="AD21:AD25" si="54">IF($E$8=0,0,(J21/$E$8)*12000)</f>
        <v>21897.261447345882</v>
      </c>
      <c r="AE21" s="113">
        <f t="shared" ref="AE21:AE25" si="55">IF($F$8=0,0,(K21/$F$8)*12000)</f>
        <v>27379.207532365632</v>
      </c>
      <c r="AF21" s="106">
        <f t="shared" ref="AF21:AF25" si="56">IF(G21=0,0,L21/G21)</f>
        <v>14.16677712290474</v>
      </c>
      <c r="AG21" s="106">
        <f t="shared" ref="AG21:AG25" si="57">IF(H21=0,0,M21/H21)</f>
        <v>11.398422867771909</v>
      </c>
      <c r="AH21" s="106">
        <f t="shared" ref="AH21:AH25" si="58">IF(I21=0,0,N21/I21)</f>
        <v>17.31405546883293</v>
      </c>
      <c r="AI21" s="106">
        <f t="shared" ref="AI21:AI25" si="59">IF(J21=0,0,O21/J21)</f>
        <v>18.284199062267273</v>
      </c>
      <c r="AJ21" s="107">
        <f t="shared" ref="AJ21:AJ25" si="60">IF(K21=0,0,P21/K21)</f>
        <v>14.860734668296768</v>
      </c>
      <c r="AK21" s="106">
        <f t="shared" ref="AK21:AK25" si="61">IF(B$8=0,0,L21/B$8)</f>
        <v>35.98595747790705</v>
      </c>
      <c r="AL21" s="106">
        <f t="shared" ref="AL21:AL25" si="62">IF(C$8=0,0,M21/C$8)</f>
        <v>33.206796590483791</v>
      </c>
      <c r="AM21" s="106">
        <f t="shared" ref="AM21:AM25" si="63">IF(D$8=0,0,N21/D$8)</f>
        <v>33.242968781679451</v>
      </c>
      <c r="AN21" s="106">
        <f t="shared" ref="AN21:AN25" si="64">IF(E$8=0,0,O21/E$8)</f>
        <v>33.364490601815234</v>
      </c>
      <c r="AO21" s="108">
        <f t="shared" ref="AO21:AO25" si="65">IF(F$8=0,0,P21/F$8)</f>
        <v>33.906261547226499</v>
      </c>
    </row>
    <row r="22" spans="1:44">
      <c r="A22" s="278" t="s">
        <v>217</v>
      </c>
      <c r="B22" s="289"/>
      <c r="C22" s="289"/>
      <c r="D22" s="289"/>
      <c r="E22" s="289"/>
      <c r="F22" s="289"/>
      <c r="G22" s="351">
        <v>156225</v>
      </c>
      <c r="H22" s="351">
        <v>169123</v>
      </c>
      <c r="I22" s="351">
        <v>183924</v>
      </c>
      <c r="J22" s="351">
        <v>205950</v>
      </c>
      <c r="K22" s="112">
        <f t="shared" si="45"/>
        <v>715222</v>
      </c>
      <c r="L22" s="105">
        <f>'Schedule 3A_Income Statement'!CO52</f>
        <v>12336313.359045897</v>
      </c>
      <c r="M22" s="105">
        <f>'Schedule 3A_Income Statement'!CP52</f>
        <v>13229623.500969458</v>
      </c>
      <c r="N22" s="105">
        <f>'Schedule 3A_Income Statement'!CQ52</f>
        <v>14696557.535672214</v>
      </c>
      <c r="O22" s="105">
        <f>'Schedule 3A_Income Statement'!CR52</f>
        <v>16669939.091961175</v>
      </c>
      <c r="P22" s="105">
        <f t="shared" si="46"/>
        <v>56932433.48764874</v>
      </c>
      <c r="Q22" s="287"/>
      <c r="R22" s="287"/>
      <c r="S22" s="287"/>
      <c r="T22" s="287"/>
      <c r="U22" s="287"/>
      <c r="V22" s="114">
        <f t="shared" si="47"/>
        <v>0</v>
      </c>
      <c r="W22" s="114">
        <f t="shared" si="48"/>
        <v>0</v>
      </c>
      <c r="X22" s="114">
        <f t="shared" si="49"/>
        <v>0</v>
      </c>
      <c r="Y22" s="114">
        <f t="shared" si="50"/>
        <v>0</v>
      </c>
      <c r="Z22" s="114">
        <f t="shared" si="51"/>
        <v>0</v>
      </c>
      <c r="AA22" s="113">
        <f t="shared" si="10"/>
        <v>52564.138511145386</v>
      </c>
      <c r="AB22" s="113">
        <f t="shared" si="52"/>
        <v>54370.187799716026</v>
      </c>
      <c r="AC22" s="113">
        <f t="shared" si="53"/>
        <v>56466.037301404554</v>
      </c>
      <c r="AD22" s="113">
        <f t="shared" si="54"/>
        <v>60483.101245686601</v>
      </c>
      <c r="AE22" s="113">
        <f t="shared" si="55"/>
        <v>56117.850137308749</v>
      </c>
      <c r="AF22" s="106">
        <f t="shared" si="56"/>
        <v>78.965039904278427</v>
      </c>
      <c r="AG22" s="106">
        <f t="shared" si="57"/>
        <v>78.224862975286968</v>
      </c>
      <c r="AH22" s="106">
        <f t="shared" si="58"/>
        <v>79.905599789435925</v>
      </c>
      <c r="AI22" s="106">
        <f t="shared" si="59"/>
        <v>80.941680465944046</v>
      </c>
      <c r="AJ22" s="107">
        <f t="shared" si="60"/>
        <v>79.601065805650194</v>
      </c>
      <c r="AK22" s="106">
        <f t="shared" si="61"/>
        <v>345.89410792221776</v>
      </c>
      <c r="AL22" s="106">
        <f t="shared" si="62"/>
        <v>354.42504088111713</v>
      </c>
      <c r="AM22" s="106">
        <f t="shared" si="63"/>
        <v>375.99604819178279</v>
      </c>
      <c r="AN22" s="106">
        <f t="shared" si="64"/>
        <v>407.96698788480887</v>
      </c>
      <c r="AO22" s="108">
        <f t="shared" si="65"/>
        <v>372.25339013762743</v>
      </c>
    </row>
    <row r="23" spans="1:44">
      <c r="A23" s="278" t="s">
        <v>218</v>
      </c>
      <c r="B23" s="289"/>
      <c r="C23" s="289"/>
      <c r="D23" s="289"/>
      <c r="E23" s="289"/>
      <c r="F23" s="289"/>
      <c r="G23" s="351">
        <v>296353</v>
      </c>
      <c r="H23" s="351">
        <v>304008</v>
      </c>
      <c r="I23" s="351">
        <v>330850</v>
      </c>
      <c r="J23" s="351">
        <v>348614</v>
      </c>
      <c r="K23" s="112">
        <f t="shared" si="45"/>
        <v>1279825</v>
      </c>
      <c r="L23" s="105">
        <f>'Schedule 3A_Income Statement'!CO53</f>
        <v>15691866.51022671</v>
      </c>
      <c r="M23" s="105">
        <f>'Schedule 3A_Income Statement'!CP53</f>
        <v>16767058.427201221</v>
      </c>
      <c r="N23" s="105">
        <f>'Schedule 3A_Income Statement'!CQ53</f>
        <v>18546368.890483402</v>
      </c>
      <c r="O23" s="105">
        <f>'Schedule 3A_Income Statement'!CR53</f>
        <v>19726603.980999205</v>
      </c>
      <c r="P23" s="105">
        <f t="shared" si="46"/>
        <v>70731897.808910534</v>
      </c>
      <c r="Q23" s="287"/>
      <c r="R23" s="287"/>
      <c r="S23" s="287"/>
      <c r="T23" s="287"/>
      <c r="U23" s="287"/>
      <c r="V23" s="114">
        <f t="shared" si="47"/>
        <v>0</v>
      </c>
      <c r="W23" s="114">
        <f t="shared" si="48"/>
        <v>0</v>
      </c>
      <c r="X23" s="114">
        <f t="shared" si="49"/>
        <v>0</v>
      </c>
      <c r="Y23" s="114">
        <f t="shared" si="50"/>
        <v>0</v>
      </c>
      <c r="Z23" s="114">
        <f t="shared" si="51"/>
        <v>0</v>
      </c>
      <c r="AA23" s="113">
        <f t="shared" si="10"/>
        <v>99712.210850974356</v>
      </c>
      <c r="AB23" s="113">
        <f t="shared" si="52"/>
        <v>97733.436922335051</v>
      </c>
      <c r="AC23" s="113">
        <f t="shared" si="53"/>
        <v>101573.41315526901</v>
      </c>
      <c r="AD23" s="113">
        <f t="shared" si="54"/>
        <v>102380.46058588874</v>
      </c>
      <c r="AE23" s="113">
        <f t="shared" si="55"/>
        <v>100417.81090623775</v>
      </c>
      <c r="AF23" s="106">
        <f t="shared" si="56"/>
        <v>52.949916181805854</v>
      </c>
      <c r="AG23" s="106">
        <f t="shared" si="57"/>
        <v>55.153346054055227</v>
      </c>
      <c r="AH23" s="106">
        <f t="shared" si="58"/>
        <v>56.056729304770748</v>
      </c>
      <c r="AI23" s="106">
        <f t="shared" si="59"/>
        <v>56.585805449578061</v>
      </c>
      <c r="AJ23" s="107">
        <f t="shared" si="60"/>
        <v>55.26685117802085</v>
      </c>
      <c r="AK23" s="106">
        <f t="shared" si="61"/>
        <v>439.97943390513694</v>
      </c>
      <c r="AL23" s="106">
        <f t="shared" si="62"/>
        <v>449.19383896914354</v>
      </c>
      <c r="AM23" s="106">
        <f t="shared" si="63"/>
        <v>474.48944381721293</v>
      </c>
      <c r="AN23" s="106">
        <f t="shared" si="64"/>
        <v>482.77340204594122</v>
      </c>
      <c r="AO23" s="108">
        <f t="shared" si="65"/>
        <v>462.48135091480668</v>
      </c>
    </row>
    <row r="24" spans="1:44">
      <c r="A24" s="278" t="s">
        <v>219</v>
      </c>
      <c r="B24" s="289"/>
      <c r="C24" s="289"/>
      <c r="D24" s="289"/>
      <c r="E24" s="289"/>
      <c r="F24" s="289"/>
      <c r="G24" s="351">
        <v>0</v>
      </c>
      <c r="H24" s="351">
        <v>0</v>
      </c>
      <c r="I24" s="351">
        <v>0</v>
      </c>
      <c r="J24" s="351">
        <v>0</v>
      </c>
      <c r="K24" s="112">
        <f t="shared" si="45"/>
        <v>0</v>
      </c>
      <c r="L24" s="105">
        <f>'Schedule 3A_Income Statement'!CO54</f>
        <v>0</v>
      </c>
      <c r="M24" s="105">
        <f>'Schedule 3A_Income Statement'!CP54</f>
        <v>0</v>
      </c>
      <c r="N24" s="105">
        <f>'Schedule 3A_Income Statement'!CQ54</f>
        <v>0</v>
      </c>
      <c r="O24" s="105">
        <f>'Schedule 3A_Income Statement'!CR54</f>
        <v>0</v>
      </c>
      <c r="P24" s="105">
        <f t="shared" si="46"/>
        <v>0</v>
      </c>
      <c r="Q24" s="287"/>
      <c r="R24" s="287"/>
      <c r="S24" s="287"/>
      <c r="T24" s="287"/>
      <c r="U24" s="287"/>
      <c r="V24" s="114">
        <f t="shared" si="47"/>
        <v>0</v>
      </c>
      <c r="W24" s="114">
        <f t="shared" si="48"/>
        <v>0</v>
      </c>
      <c r="X24" s="114">
        <f t="shared" si="49"/>
        <v>0</v>
      </c>
      <c r="Y24" s="114">
        <f t="shared" si="50"/>
        <v>0</v>
      </c>
      <c r="Z24" s="114">
        <f t="shared" si="51"/>
        <v>0</v>
      </c>
      <c r="AA24" s="113">
        <f t="shared" si="10"/>
        <v>0</v>
      </c>
      <c r="AB24" s="113">
        <f t="shared" si="52"/>
        <v>0</v>
      </c>
      <c r="AC24" s="113">
        <f t="shared" si="53"/>
        <v>0</v>
      </c>
      <c r="AD24" s="113">
        <f t="shared" si="54"/>
        <v>0</v>
      </c>
      <c r="AE24" s="113">
        <f t="shared" si="55"/>
        <v>0</v>
      </c>
      <c r="AF24" s="106">
        <f t="shared" si="56"/>
        <v>0</v>
      </c>
      <c r="AG24" s="106">
        <f t="shared" si="57"/>
        <v>0</v>
      </c>
      <c r="AH24" s="106">
        <f t="shared" si="58"/>
        <v>0</v>
      </c>
      <c r="AI24" s="106">
        <f t="shared" si="59"/>
        <v>0</v>
      </c>
      <c r="AJ24" s="107">
        <f t="shared" si="60"/>
        <v>0</v>
      </c>
      <c r="AK24" s="106">
        <f t="shared" si="61"/>
        <v>0</v>
      </c>
      <c r="AL24" s="106">
        <f t="shared" si="62"/>
        <v>0</v>
      </c>
      <c r="AM24" s="106">
        <f t="shared" si="63"/>
        <v>0</v>
      </c>
      <c r="AN24" s="106">
        <f t="shared" si="64"/>
        <v>0</v>
      </c>
      <c r="AO24" s="108">
        <f t="shared" si="65"/>
        <v>0</v>
      </c>
    </row>
    <row r="25" spans="1:44">
      <c r="A25" s="278" t="s">
        <v>220</v>
      </c>
      <c r="B25" s="289"/>
      <c r="C25" s="289"/>
      <c r="D25" s="289"/>
      <c r="E25" s="289"/>
      <c r="F25" s="289"/>
      <c r="G25" s="351">
        <v>814675.90000000014</v>
      </c>
      <c r="H25" s="351">
        <v>858026.59999999974</v>
      </c>
      <c r="I25" s="351">
        <v>878501.20000000007</v>
      </c>
      <c r="J25" s="351">
        <v>905903.00000000012</v>
      </c>
      <c r="K25" s="112">
        <f t="shared" si="45"/>
        <v>3457106.7</v>
      </c>
      <c r="L25" s="105">
        <f>'Schedule 3A_Income Statement'!CO55</f>
        <v>9172118.385771744</v>
      </c>
      <c r="M25" s="105">
        <f>'Schedule 3A_Income Statement'!CP55</f>
        <v>9791129.4847129099</v>
      </c>
      <c r="N25" s="105">
        <f>'Schedule 3A_Income Statement'!CQ55</f>
        <v>10025049.627928084</v>
      </c>
      <c r="O25" s="105">
        <f>'Schedule 3A_Income Statement'!CR55</f>
        <v>10468919.865062369</v>
      </c>
      <c r="P25" s="105">
        <f t="shared" si="46"/>
        <v>39457217.363475107</v>
      </c>
      <c r="Q25" s="287"/>
      <c r="R25" s="287"/>
      <c r="S25" s="287"/>
      <c r="T25" s="287"/>
      <c r="U25" s="287"/>
      <c r="V25" s="114">
        <f t="shared" si="47"/>
        <v>0</v>
      </c>
      <c r="W25" s="114">
        <f t="shared" si="48"/>
        <v>0</v>
      </c>
      <c r="X25" s="114">
        <f t="shared" si="49"/>
        <v>0</v>
      </c>
      <c r="Y25" s="114">
        <f t="shared" si="50"/>
        <v>0</v>
      </c>
      <c r="Z25" s="114">
        <f t="shared" si="51"/>
        <v>0</v>
      </c>
      <c r="AA25" s="113">
        <f t="shared" si="10"/>
        <v>274109.37333520263</v>
      </c>
      <c r="AB25" s="113">
        <f t="shared" si="52"/>
        <v>275841.05875103804</v>
      </c>
      <c r="AC25" s="113">
        <f t="shared" si="53"/>
        <v>269706.40878041298</v>
      </c>
      <c r="AD25" s="113">
        <f t="shared" si="54"/>
        <v>266044.29651746165</v>
      </c>
      <c r="AE25" s="113">
        <f t="shared" si="55"/>
        <v>271251.99686151434</v>
      </c>
      <c r="AF25" s="106">
        <f t="shared" si="56"/>
        <v>11.258610185684567</v>
      </c>
      <c r="AG25" s="106">
        <f t="shared" si="57"/>
        <v>11.411219051615548</v>
      </c>
      <c r="AH25" s="106">
        <f t="shared" si="58"/>
        <v>11.411537773571718</v>
      </c>
      <c r="AI25" s="106">
        <f t="shared" si="59"/>
        <v>11.556336456621038</v>
      </c>
      <c r="AJ25" s="107">
        <f t="shared" si="60"/>
        <v>11.413364060610309</v>
      </c>
      <c r="AK25" s="106">
        <f t="shared" si="61"/>
        <v>257.17421521861053</v>
      </c>
      <c r="AL25" s="106">
        <f t="shared" si="62"/>
        <v>262.30689540313739</v>
      </c>
      <c r="AM25" s="106">
        <f t="shared" si="63"/>
        <v>256.4804059643381</v>
      </c>
      <c r="AN25" s="106">
        <f t="shared" si="64"/>
        <v>256.20811691006998</v>
      </c>
      <c r="AO25" s="108">
        <f t="shared" si="65"/>
        <v>257.99148269566564</v>
      </c>
    </row>
    <row r="26" spans="1:44">
      <c r="A26" s="607" t="s">
        <v>206</v>
      </c>
      <c r="B26" s="289"/>
      <c r="C26" s="289"/>
      <c r="D26" s="289"/>
      <c r="E26" s="289"/>
      <c r="F26" s="289"/>
      <c r="G26" s="351"/>
      <c r="H26" s="351"/>
      <c r="I26" s="351"/>
      <c r="J26" s="351"/>
      <c r="K26" s="112">
        <f t="shared" si="1"/>
        <v>0</v>
      </c>
      <c r="L26" s="105">
        <f>'Schedule 3A_Income Statement'!CO43</f>
        <v>10470642</v>
      </c>
      <c r="M26" s="105">
        <f>'Schedule 3A_Income Statement'!CP43</f>
        <v>10374115</v>
      </c>
      <c r="N26" s="105">
        <f>'Schedule 3A_Income Statement'!CQ43</f>
        <v>11050319</v>
      </c>
      <c r="O26" s="105">
        <f>'Schedule 3A_Income Statement'!CR43</f>
        <v>10961164</v>
      </c>
      <c r="P26" s="105">
        <f t="shared" ref="P26:P27" si="66">SUM(L26:O26)</f>
        <v>42856240</v>
      </c>
      <c r="Q26" s="287"/>
      <c r="R26" s="287"/>
      <c r="S26" s="287"/>
      <c r="T26" s="287"/>
      <c r="U26" s="287"/>
      <c r="V26" s="611">
        <f t="shared" ref="V26" si="67">IF(B26=0,0,G26/B26)</f>
        <v>0</v>
      </c>
      <c r="W26" s="611">
        <f t="shared" ref="W26" si="68">IF(C26=0,0,H26/C26)</f>
        <v>0</v>
      </c>
      <c r="X26" s="611">
        <f t="shared" ref="X26" si="69">IF(D26=0,0,I26/D26)</f>
        <v>0</v>
      </c>
      <c r="Y26" s="611">
        <f t="shared" ref="Y26" si="70">IF(E26=0,0,J26/E26)</f>
        <v>0</v>
      </c>
      <c r="Z26" s="611">
        <f t="shared" ref="Z26" si="71">IF(F26=0,0,K26/F26)</f>
        <v>0</v>
      </c>
      <c r="AA26" s="112">
        <f t="shared" si="10"/>
        <v>0</v>
      </c>
      <c r="AB26" s="112">
        <f t="shared" ref="AB26" si="72">IF($C$8=0,0,(H26/$C$8)*12000)</f>
        <v>0</v>
      </c>
      <c r="AC26" s="112">
        <f t="shared" ref="AC26" si="73">IF($D$8=0,0,(I26/$D$8)*12000)</f>
        <v>0</v>
      </c>
      <c r="AD26" s="112">
        <f t="shared" ref="AD26" si="74">IF($E$8=0,0,(J26/$E$8)*12000)</f>
        <v>0</v>
      </c>
      <c r="AE26" s="112">
        <f t="shared" ref="AE26" si="75">IF($F$8=0,0,(K26/$F$8)*12000)</f>
        <v>0</v>
      </c>
      <c r="AF26" s="608">
        <f t="shared" ref="AF26" si="76">IF(G26=0,0,L26/G26)</f>
        <v>0</v>
      </c>
      <c r="AG26" s="608">
        <f t="shared" ref="AG26" si="77">IF(H26=0,0,M26/H26)</f>
        <v>0</v>
      </c>
      <c r="AH26" s="608">
        <f t="shared" ref="AH26" si="78">IF(I26=0,0,N26/I26)</f>
        <v>0</v>
      </c>
      <c r="AI26" s="608">
        <f t="shared" ref="AI26" si="79">IF(J26=0,0,O26/J26)</f>
        <v>0</v>
      </c>
      <c r="AJ26" s="609">
        <f t="shared" ref="AJ26" si="80">IF(K26=0,0,P26/K26)</f>
        <v>0</v>
      </c>
      <c r="AK26" s="608">
        <f t="shared" ref="AK26" si="81">IF(B$8=0,0,L26/B$8)</f>
        <v>293.58312070657507</v>
      </c>
      <c r="AL26" s="608">
        <f t="shared" ref="AL26" si="82">IF(C$8=0,0,M26/C$8)</f>
        <v>277.92522838695851</v>
      </c>
      <c r="AM26" s="608">
        <f t="shared" ref="AM26" si="83">IF(D$8=0,0,N26/D$8)</f>
        <v>282.71085015478292</v>
      </c>
      <c r="AN26" s="608">
        <f t="shared" ref="AN26" si="84">IF(E$8=0,0,O26/E$8)</f>
        <v>268.25491299772398</v>
      </c>
      <c r="AO26" s="610">
        <f t="shared" ref="AO26" si="85">IF(F$8=0,0,P26/F$8)</f>
        <v>280.21603243101868</v>
      </c>
    </row>
    <row r="27" spans="1:44">
      <c r="A27" s="607" t="s">
        <v>1406</v>
      </c>
      <c r="B27" s="289"/>
      <c r="C27" s="289"/>
      <c r="D27" s="289"/>
      <c r="E27" s="289"/>
      <c r="F27" s="289"/>
      <c r="G27" s="351">
        <v>144272</v>
      </c>
      <c r="H27" s="351">
        <v>152559</v>
      </c>
      <c r="I27" s="351">
        <v>158964</v>
      </c>
      <c r="J27" s="351">
        <v>164781</v>
      </c>
      <c r="K27" s="112">
        <f>SUM(G27:J27)</f>
        <v>620576</v>
      </c>
      <c r="L27" s="105">
        <f>'Schedule 3A_Income Statement'!CO45</f>
        <v>4019437.3279709881</v>
      </c>
      <c r="M27" s="105">
        <f>'Schedule 3A_Income Statement'!CP45</f>
        <v>5334208.4383598594</v>
      </c>
      <c r="N27" s="105">
        <f>'Schedule 3A_Income Statement'!CQ45</f>
        <v>6380954.7545859935</v>
      </c>
      <c r="O27" s="105">
        <f>'Schedule 3A_Income Statement'!CR45</f>
        <v>7688725.1829757914</v>
      </c>
      <c r="P27" s="105">
        <f t="shared" si="66"/>
        <v>23423325.703892633</v>
      </c>
      <c r="Q27" s="287"/>
      <c r="R27" s="287"/>
      <c r="S27" s="287"/>
      <c r="T27" s="287"/>
      <c r="U27" s="287"/>
      <c r="V27" s="114">
        <f t="shared" si="3"/>
        <v>0</v>
      </c>
      <c r="W27" s="114">
        <f t="shared" si="3"/>
        <v>0</v>
      </c>
      <c r="X27" s="114">
        <f t="shared" si="3"/>
        <v>0</v>
      </c>
      <c r="Y27" s="114">
        <f t="shared" si="3"/>
        <v>0</v>
      </c>
      <c r="Z27" s="114">
        <f t="shared" si="3"/>
        <v>0</v>
      </c>
      <c r="AA27" s="113">
        <f t="shared" si="10"/>
        <v>48542.380485069392</v>
      </c>
      <c r="AB27" s="113">
        <f t="shared" si="11"/>
        <v>49045.141586519137</v>
      </c>
      <c r="AC27" s="113">
        <f t="shared" si="12"/>
        <v>48803.131475938288</v>
      </c>
      <c r="AD27" s="113">
        <f t="shared" si="13"/>
        <v>48392.648246494209</v>
      </c>
      <c r="AE27" s="113">
        <f t="shared" si="14"/>
        <v>48691.722244017255</v>
      </c>
      <c r="AF27" s="106">
        <f t="shared" si="15"/>
        <v>27.860134523476408</v>
      </c>
      <c r="AG27" s="106">
        <f t="shared" si="16"/>
        <v>34.964888589725021</v>
      </c>
      <c r="AH27" s="106">
        <f t="shared" si="17"/>
        <v>40.140879410344439</v>
      </c>
      <c r="AI27" s="106">
        <f t="shared" si="18"/>
        <v>46.660265339910495</v>
      </c>
      <c r="AJ27" s="107">
        <f t="shared" si="19"/>
        <v>37.744491736536112</v>
      </c>
      <c r="AK27" s="106">
        <f t="shared" si="20"/>
        <v>112.69977086698411</v>
      </c>
      <c r="AL27" s="106">
        <f t="shared" si="21"/>
        <v>142.90482595332759</v>
      </c>
      <c r="AM27" s="106">
        <f t="shared" si="22"/>
        <v>163.25005128523534</v>
      </c>
      <c r="AN27" s="106">
        <f t="shared" si="23"/>
        <v>188.16781730686452</v>
      </c>
      <c r="AO27" s="108">
        <f t="shared" si="24"/>
        <v>153.1536923230851</v>
      </c>
    </row>
    <row r="28" spans="1:44">
      <c r="A28" s="607" t="s">
        <v>1407</v>
      </c>
      <c r="B28" s="289"/>
      <c r="C28" s="289"/>
      <c r="D28" s="289"/>
      <c r="E28" s="289"/>
      <c r="F28" s="289"/>
      <c r="G28" s="351">
        <v>4344</v>
      </c>
      <c r="H28" s="351">
        <v>4255</v>
      </c>
      <c r="I28" s="351">
        <v>7388</v>
      </c>
      <c r="J28" s="351">
        <v>7975</v>
      </c>
      <c r="K28" s="112">
        <f t="shared" ref="K28" si="86">SUM(G28:J28)</f>
        <v>23962</v>
      </c>
      <c r="L28" s="105">
        <f>'Schedule 3A_Income Statement'!CO47</f>
        <v>397963.94415617111</v>
      </c>
      <c r="M28" s="105">
        <f>'Schedule 3A_Income Statement'!CP47</f>
        <v>393845.50855047221</v>
      </c>
      <c r="N28" s="105">
        <f>'Schedule 3A_Income Statement'!CQ47</f>
        <v>753039.69132436637</v>
      </c>
      <c r="O28" s="105">
        <f>'Schedule 3A_Income Statement'!CR47</f>
        <v>855097.73408081988</v>
      </c>
      <c r="P28" s="105">
        <f>SUM(L28:O28)</f>
        <v>2399946.8781118295</v>
      </c>
      <c r="Q28" s="287"/>
      <c r="R28" s="287"/>
      <c r="S28" s="287"/>
      <c r="T28" s="287"/>
      <c r="U28" s="287"/>
      <c r="V28" s="114">
        <f t="shared" si="3"/>
        <v>0</v>
      </c>
      <c r="W28" s="114">
        <f t="shared" si="3"/>
        <v>0</v>
      </c>
      <c r="X28" s="114">
        <f t="shared" si="3"/>
        <v>0</v>
      </c>
      <c r="Y28" s="114">
        <f t="shared" si="3"/>
        <v>0</v>
      </c>
      <c r="Z28" s="114">
        <f t="shared" si="3"/>
        <v>0</v>
      </c>
      <c r="AA28" s="113">
        <f t="shared" si="10"/>
        <v>1461.6010093929622</v>
      </c>
      <c r="AB28" s="113">
        <f t="shared" si="11"/>
        <v>1367.9106276957698</v>
      </c>
      <c r="AC28" s="113">
        <f t="shared" si="12"/>
        <v>2268.1710031468265</v>
      </c>
      <c r="AD28" s="113">
        <f t="shared" si="13"/>
        <v>2342.0865862313699</v>
      </c>
      <c r="AE28" s="113">
        <f t="shared" si="14"/>
        <v>1880.1098469988231</v>
      </c>
      <c r="AF28" s="106">
        <f t="shared" ref="AF28" si="87">IF(G28=0,0,L28/G28)</f>
        <v>91.612326002801822</v>
      </c>
      <c r="AG28" s="106">
        <f t="shared" ref="AG28" si="88">IF(H28=0,0,M28/H28)</f>
        <v>92.560636557102754</v>
      </c>
      <c r="AH28" s="106">
        <f t="shared" ref="AH28" si="89">IF(I28=0,0,N28/I28)</f>
        <v>101.92740813811132</v>
      </c>
      <c r="AI28" s="106">
        <f t="shared" ref="AI28" si="90">IF(J28=0,0,O28/J28)</f>
        <v>107.22228640511848</v>
      </c>
      <c r="AJ28" s="107">
        <f t="shared" ref="AJ28" si="91">IF(K28=0,0,P28/K28)</f>
        <v>100.15636750320631</v>
      </c>
      <c r="AK28" s="106">
        <f t="shared" si="20"/>
        <v>11.158389013211023</v>
      </c>
      <c r="AL28" s="106">
        <f t="shared" si="21"/>
        <v>10.551223204395537</v>
      </c>
      <c r="AM28" s="106">
        <f t="shared" si="22"/>
        <v>19.265732630397995</v>
      </c>
      <c r="AN28" s="106">
        <f t="shared" si="23"/>
        <v>20.926989894540512</v>
      </c>
      <c r="AO28" s="108">
        <f t="shared" si="24"/>
        <v>15.692081065200925</v>
      </c>
    </row>
    <row r="29" spans="1:44">
      <c r="A29" s="278" t="s">
        <v>222</v>
      </c>
      <c r="B29" s="289"/>
      <c r="C29" s="289"/>
      <c r="D29" s="289"/>
      <c r="E29" s="289"/>
      <c r="F29" s="289"/>
      <c r="G29" s="351">
        <v>1083274</v>
      </c>
      <c r="H29" s="351">
        <v>801535</v>
      </c>
      <c r="I29" s="351">
        <v>1191790</v>
      </c>
      <c r="J29" s="351">
        <v>1215378</v>
      </c>
      <c r="K29" s="112">
        <f t="shared" ref="K29:K30" si="92">SUM(G29:J29)</f>
        <v>4291977</v>
      </c>
      <c r="L29" s="105">
        <f>'Schedule 3A_Income Statement'!CO57</f>
        <v>1958740.3390592195</v>
      </c>
      <c r="M29" s="105">
        <f>'Schedule 3A_Income Statement'!CP57</f>
        <v>1465804.5687800029</v>
      </c>
      <c r="N29" s="105">
        <f>'Schedule 3A_Income Statement'!CQ57</f>
        <v>1826593.5037783887</v>
      </c>
      <c r="O29" s="105">
        <f>'Schedule 3A_Income Statement'!CR57</f>
        <v>1732067.5677697761</v>
      </c>
      <c r="P29" s="105">
        <f t="shared" ref="P29:P30" si="93">SUM(L29:O29)</f>
        <v>6983205.9793873867</v>
      </c>
      <c r="Q29" s="287"/>
      <c r="R29" s="287"/>
      <c r="S29" s="287"/>
      <c r="T29" s="287"/>
      <c r="U29" s="287"/>
      <c r="V29" s="114">
        <f t="shared" ref="V29:V30" si="94">IF(B29=0,0,G29/B29)</f>
        <v>0</v>
      </c>
      <c r="W29" s="114">
        <f t="shared" ref="W29:W30" si="95">IF(C29=0,0,H29/C29)</f>
        <v>0</v>
      </c>
      <c r="X29" s="114">
        <f t="shared" ref="X29:X30" si="96">IF(D29=0,0,I29/D29)</f>
        <v>0</v>
      </c>
      <c r="Y29" s="114">
        <f t="shared" ref="Y29:Y30" si="97">IF(E29=0,0,J29/E29)</f>
        <v>0</v>
      </c>
      <c r="Z29" s="114">
        <f t="shared" ref="Z29:Z30" si="98">IF(F29=0,0,K29/F29)</f>
        <v>0</v>
      </c>
      <c r="AA29" s="113">
        <f t="shared" si="10"/>
        <v>364483.05060984159</v>
      </c>
      <c r="AB29" s="113">
        <f t="shared" si="11"/>
        <v>257679.96356524769</v>
      </c>
      <c r="AC29" s="113">
        <f t="shared" si="12"/>
        <v>365888.40279376775</v>
      </c>
      <c r="AD29" s="113">
        <f t="shared" si="13"/>
        <v>356930.47159883508</v>
      </c>
      <c r="AE29" s="113">
        <f t="shared" si="14"/>
        <v>336757.7089054531</v>
      </c>
      <c r="AF29" s="106">
        <f t="shared" ref="AF29:AF30" si="99">IF(G29=0,0,L29/G29)</f>
        <v>1.8081670372031633</v>
      </c>
      <c r="AG29" s="106">
        <f t="shared" ref="AG29:AG30" si="100">IF(H29=0,0,M29/H29)</f>
        <v>1.8287468030466578</v>
      </c>
      <c r="AH29" s="106">
        <f t="shared" ref="AH29:AH30" si="101">IF(I29=0,0,N29/I29)</f>
        <v>1.5326471138190358</v>
      </c>
      <c r="AI29" s="106">
        <f t="shared" ref="AI29:AI30" si="102">IF(J29=0,0,O29/J29)</f>
        <v>1.425126641892297</v>
      </c>
      <c r="AJ29" s="107">
        <f t="shared" ref="AJ29:AJ30" si="103">IF(K29=0,0,P29/K29)</f>
        <v>1.6270371391522804</v>
      </c>
      <c r="AK29" s="106">
        <f t="shared" si="20"/>
        <v>54.92051981099732</v>
      </c>
      <c r="AL29" s="106">
        <f t="shared" si="21"/>
        <v>39.269284131593828</v>
      </c>
      <c r="AM29" s="106">
        <f t="shared" si="22"/>
        <v>46.731483710143749</v>
      </c>
      <c r="AN29" s="106">
        <f t="shared" si="23"/>
        <v>42.389260364890141</v>
      </c>
      <c r="AO29" s="108">
        <f t="shared" si="24"/>
        <v>45.659774940417073</v>
      </c>
    </row>
    <row r="30" spans="1:44">
      <c r="A30" s="278" t="s">
        <v>221</v>
      </c>
      <c r="B30" s="289"/>
      <c r="C30" s="289"/>
      <c r="D30" s="289"/>
      <c r="E30" s="289"/>
      <c r="F30" s="289"/>
      <c r="G30" s="351">
        <v>160897.9</v>
      </c>
      <c r="H30" s="351">
        <v>144948.59999999998</v>
      </c>
      <c r="I30" s="351">
        <v>134428.4</v>
      </c>
      <c r="J30" s="351">
        <v>121815.2</v>
      </c>
      <c r="K30" s="112">
        <f t="shared" si="92"/>
        <v>562090.1</v>
      </c>
      <c r="L30" s="105">
        <f>'Schedule 3A_Income Statement'!CO56</f>
        <v>2443551.4695005482</v>
      </c>
      <c r="M30" s="105">
        <f>'Schedule 3A_Income Statement'!CP56</f>
        <v>2548680.2351731872</v>
      </c>
      <c r="N30" s="105">
        <f>'Schedule 3A_Income Statement'!CQ56</f>
        <v>2659752.1292802473</v>
      </c>
      <c r="O30" s="105">
        <f>'Schedule 3A_Income Statement'!CR56</f>
        <v>2777123.9682779415</v>
      </c>
      <c r="P30" s="105">
        <f t="shared" si="93"/>
        <v>10429107.802231923</v>
      </c>
      <c r="Q30" s="287"/>
      <c r="R30" s="287"/>
      <c r="S30" s="287"/>
      <c r="T30" s="287"/>
      <c r="U30" s="287"/>
      <c r="V30" s="114">
        <f t="shared" si="94"/>
        <v>0</v>
      </c>
      <c r="W30" s="114">
        <f t="shared" si="95"/>
        <v>0</v>
      </c>
      <c r="X30" s="114">
        <f t="shared" si="96"/>
        <v>0</v>
      </c>
      <c r="Y30" s="114">
        <f t="shared" si="97"/>
        <v>0</v>
      </c>
      <c r="Z30" s="114">
        <f t="shared" si="98"/>
        <v>0</v>
      </c>
      <c r="AA30" s="113">
        <f t="shared" si="10"/>
        <v>54136.402635637176</v>
      </c>
      <c r="AB30" s="113">
        <f t="shared" si="11"/>
        <v>46598.526535751596</v>
      </c>
      <c r="AC30" s="113">
        <f t="shared" si="12"/>
        <v>41270.519610100542</v>
      </c>
      <c r="AD30" s="113">
        <f t="shared" si="13"/>
        <v>35774.513594870412</v>
      </c>
      <c r="AE30" s="113">
        <f t="shared" si="14"/>
        <v>44102.793252255789</v>
      </c>
      <c r="AF30" s="106">
        <f t="shared" si="99"/>
        <v>15.186969310976391</v>
      </c>
      <c r="AG30" s="106">
        <f t="shared" si="100"/>
        <v>17.583338060341305</v>
      </c>
      <c r="AH30" s="106">
        <f t="shared" si="101"/>
        <v>19.785641495995247</v>
      </c>
      <c r="AI30" s="106">
        <f t="shared" si="102"/>
        <v>22.797844343546139</v>
      </c>
      <c r="AJ30" s="107">
        <f t="shared" si="103"/>
        <v>18.554156713010819</v>
      </c>
      <c r="AK30" s="106">
        <f t="shared" si="20"/>
        <v>68.513990452840275</v>
      </c>
      <c r="AL30" s="106">
        <f t="shared" si="21"/>
        <v>68.279803765992099</v>
      </c>
      <c r="AM30" s="106">
        <f t="shared" si="22"/>
        <v>68.046975446574237</v>
      </c>
      <c r="AN30" s="106">
        <f t="shared" si="23"/>
        <v>67.965149366827575</v>
      </c>
      <c r="AO30" s="108">
        <f t="shared" si="24"/>
        <v>68.190844790322501</v>
      </c>
    </row>
    <row r="31" spans="1:44" ht="13.9" thickBot="1">
      <c r="A31" s="279" t="s">
        <v>1408</v>
      </c>
      <c r="B31" s="290"/>
      <c r="C31" s="290"/>
      <c r="D31" s="290"/>
      <c r="E31" s="290"/>
      <c r="F31" s="290"/>
      <c r="G31" s="352">
        <v>43997</v>
      </c>
      <c r="H31" s="352">
        <v>49215</v>
      </c>
      <c r="I31" s="352">
        <v>50114</v>
      </c>
      <c r="J31" s="352">
        <v>50626</v>
      </c>
      <c r="K31" s="280">
        <f t="shared" ref="K31" si="104">SUM(G31:J31)</f>
        <v>193952</v>
      </c>
      <c r="L31" s="281">
        <f>+'Schedule 3A_Income Statement'!CO40+'Schedule 3A_Income Statement'!CO42+'Schedule 3A_Income Statement'!CO48+'Schedule 3A_Income Statement'!CO55+SUM('Schedule 3A_Income Statement'!CO58:CO61)</f>
        <v>18654036.029398274</v>
      </c>
      <c r="M31" s="281">
        <f>+'Schedule 3A_Income Statement'!CP40+'Schedule 3A_Income Statement'!CP42+'Schedule 3A_Income Statement'!CP48+'Schedule 3A_Income Statement'!CP55+SUM('Schedule 3A_Income Statement'!CP58:CP61)</f>
        <v>19991966.406399574</v>
      </c>
      <c r="N31" s="281">
        <f>+'Schedule 3A_Income Statement'!CQ40+'Schedule 3A_Income Statement'!CQ42+'Schedule 3A_Income Statement'!CQ48+'Schedule 3A_Income Statement'!CQ55+SUM('Schedule 3A_Income Statement'!CQ58:CQ61)</f>
        <v>20722480.846737891</v>
      </c>
      <c r="O31" s="281">
        <f>+'Schedule 3A_Income Statement'!CR40+'Schedule 3A_Income Statement'!CR42+'Schedule 3A_Income Statement'!CR48+'Schedule 3A_Income Statement'!CR55+SUM('Schedule 3A_Income Statement'!CR58:CR61)</f>
        <v>21481401.404127121</v>
      </c>
      <c r="P31" s="281">
        <f t="shared" ref="P31" si="105">SUM(L31:O31)</f>
        <v>80849884.686662853</v>
      </c>
      <c r="Q31" s="288"/>
      <c r="R31" s="288"/>
      <c r="S31" s="288"/>
      <c r="T31" s="288"/>
      <c r="U31" s="288"/>
      <c r="V31" s="283">
        <f t="shared" ref="V31" si="106">IF(B31=0,0,G31/B31)</f>
        <v>0</v>
      </c>
      <c r="W31" s="283">
        <f t="shared" ref="W31" si="107">IF(C31=0,0,H31/C31)</f>
        <v>0</v>
      </c>
      <c r="X31" s="283">
        <f t="shared" ref="X31" si="108">IF(D31=0,0,I31/D31)</f>
        <v>0</v>
      </c>
      <c r="Y31" s="283">
        <f t="shared" ref="Y31" si="109">IF(E31=0,0,J31/E31)</f>
        <v>0</v>
      </c>
      <c r="Z31" s="283">
        <f t="shared" ref="Z31" si="110">IF(F31=0,0,K31/F31)</f>
        <v>0</v>
      </c>
      <c r="AA31" s="282">
        <f t="shared" si="10"/>
        <v>14803.42072059442</v>
      </c>
      <c r="AB31" s="282">
        <f>IF($C$8=0,0,(H31/$C$8)*12000)</f>
        <v>15821.791196720871</v>
      </c>
      <c r="AC31" s="282">
        <f>IF($D$8=0,0,(I31/$D$8)*12000)</f>
        <v>15385.37109524906</v>
      </c>
      <c r="AD31" s="282">
        <f>IF($E$8=0,0,(J31/$E$8)*12000)</f>
        <v>14867.771224394899</v>
      </c>
      <c r="AE31" s="282">
        <f>IF($F$8=0,0,(K31/$F$8)*12000)</f>
        <v>15217.889368379756</v>
      </c>
      <c r="AF31" s="284">
        <f t="shared" si="15"/>
        <v>423.9842723230737</v>
      </c>
      <c r="AG31" s="284">
        <f t="shared" si="16"/>
        <v>406.21693399166054</v>
      </c>
      <c r="AH31" s="284">
        <f t="shared" si="17"/>
        <v>413.50682138200688</v>
      </c>
      <c r="AI31" s="284">
        <f t="shared" si="18"/>
        <v>424.31559681047526</v>
      </c>
      <c r="AJ31" s="285">
        <f t="shared" si="19"/>
        <v>416.85512233265371</v>
      </c>
      <c r="AK31" s="284">
        <f>IF(B$8=0,0,L31/B$8)</f>
        <v>523.03479684279478</v>
      </c>
      <c r="AL31" s="284">
        <f>IF(C$8=0,0,M31/C$8)</f>
        <v>535.58995918234984</v>
      </c>
      <c r="AM31" s="284">
        <f>IF(D$8=0,0,N31/D$8)</f>
        <v>530.16299144825371</v>
      </c>
      <c r="AN31" s="284">
        <f>IF(E$8=0,0,O31/E$8)</f>
        <v>525.71893502672776</v>
      </c>
      <c r="AO31" s="286">
        <f>IF(F$8=0,0,P31/F$8)</f>
        <v>528.63792785839451</v>
      </c>
      <c r="AR31" s="345"/>
    </row>
  </sheetData>
  <sheetProtection algorithmName="SHA-512" hashValue="stwkxwI2kwsG0+L57uSjyavH+ZptfMKYAhj2VJuAYiSTj4Uu90Oai9+pdZtg1KkpevXRYguQIUJlWnaLv9NVvg==" saltValue="jXWoTQXbTbR3vxuTwNwmOA==" spinCount="100000" sheet="1" formatColumns="0"/>
  <mergeCells count="1">
    <mergeCell ref="D1:E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O45"/>
  <sheetViews>
    <sheetView topLeftCell="A2" zoomScale="70" zoomScaleNormal="70" workbookViewId="0">
      <selection activeCell="E45" sqref="E45"/>
    </sheetView>
  </sheetViews>
  <sheetFormatPr defaultColWidth="9.42578125" defaultRowHeight="13.15"/>
  <cols>
    <col min="1" max="1" width="67" style="136" customWidth="1"/>
    <col min="2" max="5" width="16.5703125" style="136" customWidth="1"/>
    <col min="6" max="6" width="10.5703125" style="136" customWidth="1"/>
    <col min="7" max="16384" width="9.42578125" style="136"/>
  </cols>
  <sheetData>
    <row r="1" spans="1:15" ht="20.25" customHeight="1">
      <c r="A1" s="17" t="s">
        <v>1409</v>
      </c>
      <c r="E1" s="715"/>
    </row>
    <row r="2" spans="1:15" s="179" customFormat="1" ht="20.25" customHeight="1">
      <c r="A2" s="15" t="s">
        <v>1303</v>
      </c>
      <c r="B2" s="397" t="str">
        <f>'Schedule 2_Balance Sheet'!C2</f>
        <v>Tufts Associated Health Plans, Inc. (TAHMO)</v>
      </c>
      <c r="C2" s="398"/>
      <c r="D2" s="398"/>
      <c r="E2" s="399"/>
      <c r="I2" s="180"/>
      <c r="M2" s="180"/>
      <c r="O2" s="180"/>
    </row>
    <row r="3" spans="1:15" s="179" customFormat="1" ht="20.25" customHeight="1">
      <c r="A3" s="15" t="s">
        <v>1285</v>
      </c>
      <c r="B3" s="520" t="str">
        <f>'Schedule 2_Balance Sheet'!C3</f>
        <v>01/01/2024 - 12/31/2024</v>
      </c>
      <c r="C3" s="521"/>
      <c r="D3" s="521"/>
      <c r="E3" s="522"/>
      <c r="I3" s="180"/>
      <c r="K3" s="180"/>
    </row>
    <row r="4" spans="1:15" s="179" customFormat="1" ht="20.25" customHeight="1">
      <c r="A4" s="15" t="s">
        <v>1306</v>
      </c>
      <c r="B4" s="401">
        <f>'Schedule 2_Balance Sheet'!C4</f>
        <v>45657</v>
      </c>
      <c r="C4" s="398"/>
      <c r="D4" s="398"/>
      <c r="E4" s="399"/>
      <c r="I4" s="180"/>
      <c r="M4" s="180"/>
      <c r="O4" s="180"/>
    </row>
    <row r="5" spans="1:15" s="179" customFormat="1" ht="20.25" customHeight="1">
      <c r="A5" s="15" t="s">
        <v>1307</v>
      </c>
      <c r="B5" s="397" t="str">
        <f>'Schedule 2_Balance Sheet'!C5</f>
        <v>Roshni Parikh</v>
      </c>
      <c r="C5" s="398"/>
      <c r="D5" s="398"/>
      <c r="E5" s="399"/>
      <c r="I5" s="180"/>
      <c r="M5" s="180"/>
      <c r="O5" s="180"/>
    </row>
    <row r="6" spans="1:15" s="179" customFormat="1" ht="20.25" customHeight="1">
      <c r="A6" s="15" t="s">
        <v>1288</v>
      </c>
      <c r="B6" s="401">
        <f>'Schedule 2_Balance Sheet'!C6</f>
        <v>45657</v>
      </c>
      <c r="C6" s="398"/>
      <c r="D6" s="398"/>
      <c r="E6" s="399"/>
      <c r="G6" s="181"/>
      <c r="I6" s="180"/>
      <c r="L6" s="181"/>
      <c r="M6" s="180"/>
      <c r="N6" s="181"/>
      <c r="O6" s="180"/>
    </row>
    <row r="7" spans="1:15">
      <c r="A7" s="14" t="s">
        <v>1309</v>
      </c>
    </row>
    <row r="8" spans="1:15" ht="13.9" thickBot="1">
      <c r="A8" s="26"/>
    </row>
    <row r="9" spans="1:15">
      <c r="A9" s="195" t="s">
        <v>1410</v>
      </c>
      <c r="B9" s="787"/>
      <c r="C9" s="948"/>
      <c r="D9" s="948"/>
      <c r="E9" s="788"/>
    </row>
    <row r="10" spans="1:15">
      <c r="B10" s="76" t="s">
        <v>1411</v>
      </c>
      <c r="C10" s="74" t="s">
        <v>1412</v>
      </c>
      <c r="D10" s="74" t="s">
        <v>1413</v>
      </c>
      <c r="E10" s="77" t="s">
        <v>1414</v>
      </c>
    </row>
    <row r="11" spans="1:15">
      <c r="B11" s="78" t="s">
        <v>1415</v>
      </c>
      <c r="C11" s="75" t="s">
        <v>1415</v>
      </c>
      <c r="D11" s="75" t="s">
        <v>1415</v>
      </c>
      <c r="E11" s="79" t="s">
        <v>1415</v>
      </c>
    </row>
    <row r="12" spans="1:15">
      <c r="A12" s="7" t="s">
        <v>1416</v>
      </c>
      <c r="B12" s="189"/>
      <c r="C12" s="190"/>
      <c r="D12" s="190"/>
      <c r="E12" s="191"/>
    </row>
    <row r="13" spans="1:15" ht="15.75" customHeight="1">
      <c r="A13" s="136" t="s">
        <v>58</v>
      </c>
      <c r="B13" s="56">
        <f>IF('Schedule 2_Balance Sheet'!C48=0,"",'Schedule 3A_Income Statement'!CO92/'Schedule 2_Balance Sheet'!C48)</f>
        <v>7.3666405021615769E-2</v>
      </c>
      <c r="C13" s="45">
        <f>IF('Schedule 2_Balance Sheet'!D48=0,"",'Schedule 3A_Income Statement'!CP92/'Schedule 2_Balance Sheet'!D48)</f>
        <v>-3.7001705581255429E-2</v>
      </c>
      <c r="D13" s="45">
        <f>IF('Schedule 2_Balance Sheet'!E48=0,"",'Schedule 3A_Income Statement'!CQ92/'Schedule 2_Balance Sheet'!E48)</f>
        <v>-2.8747710441503465E-2</v>
      </c>
      <c r="E13" s="55">
        <f>IF('Schedule 2_Balance Sheet'!F48=0,"",'Schedule 3A_Income Statement'!CR92/'Schedule 2_Balance Sheet'!F48)</f>
        <v>-6.6700463870801668E-2</v>
      </c>
    </row>
    <row r="14" spans="1:15" ht="15.75" customHeight="1">
      <c r="A14" s="136" t="s">
        <v>169</v>
      </c>
      <c r="B14" s="56">
        <f>IF('Schedule 3A_Income Statement'!CO32=0,"",'Schedule 3A_Income Statement'!CO92/'Schedule 3A_Income Statement'!CO32)</f>
        <v>6.0751564860999398E-2</v>
      </c>
      <c r="C14" s="45">
        <f>IF('Schedule 3A_Income Statement'!CP32=0,"",'Schedule 3A_Income Statement'!CP92/'Schedule 3A_Income Statement'!CP32)</f>
        <v>-3.4682203695719276E-2</v>
      </c>
      <c r="D14" s="45">
        <f>IF('Schedule 3A_Income Statement'!CQ32=0,"",'Schedule 3A_Income Statement'!CQ92/'Schedule 3A_Income Statement'!CQ32)</f>
        <v>-2.3826799226391124E-2</v>
      </c>
      <c r="E14" s="55">
        <f>IF('Schedule 3A_Income Statement'!CR32=0,"",'Schedule 3A_Income Statement'!CR92/'Schedule 3A_Income Statement'!CR32)</f>
        <v>-3.3789825630617783E-2</v>
      </c>
    </row>
    <row r="15" spans="1:15" ht="15.75" customHeight="1">
      <c r="A15" s="136" t="s">
        <v>1417</v>
      </c>
      <c r="B15" s="56">
        <f>IF('Schedule 2_Balance Sheet'!C93=0,"",'Schedule 3A_Income Statement'!CO92/'Schedule 2_Balance Sheet'!C93)</f>
        <v>0.13435056743444454</v>
      </c>
      <c r="C15" s="45">
        <f>IF('Schedule 2_Balance Sheet'!D93=0,"",'Schedule 3A_Income Statement'!CP92/'Schedule 2_Balance Sheet'!D93)</f>
        <v>-7.3279137824998924E-2</v>
      </c>
      <c r="D15" s="45">
        <f>IF('Schedule 2_Balance Sheet'!E93=0,"",'Schedule 3A_Income Statement'!CQ92/'Schedule 2_Balance Sheet'!E93)</f>
        <v>-5.4365388687801573E-2</v>
      </c>
      <c r="E15" s="55">
        <f>IF('Schedule 2_Balance Sheet'!F93=0,"",'Schedule 3A_Income Statement'!CR92/'Schedule 2_Balance Sheet'!F93)</f>
        <v>-7.3184837018243465E-2</v>
      </c>
    </row>
    <row r="16" spans="1:15" ht="15.75" customHeight="1">
      <c r="B16" s="192"/>
      <c r="C16" s="193"/>
      <c r="D16" s="193"/>
      <c r="E16" s="194"/>
    </row>
    <row r="17" spans="1:9" ht="15.75" customHeight="1">
      <c r="A17" s="7" t="s">
        <v>1418</v>
      </c>
      <c r="B17" s="192"/>
      <c r="C17" s="193"/>
      <c r="D17" s="193"/>
      <c r="E17" s="194"/>
    </row>
    <row r="18" spans="1:9" ht="15.75" customHeight="1">
      <c r="A18" s="136" t="s">
        <v>1419</v>
      </c>
      <c r="B18" s="57">
        <f>IF('Schedule 2_Balance Sheet'!C67=0,"",'Schedule 2_Balance Sheet'!C22/'Schedule 2_Balance Sheet'!C67)</f>
        <v>2.2187310149078137</v>
      </c>
      <c r="C18" s="46">
        <f>IF('Schedule 2_Balance Sheet'!D67=0,"",'Schedule 2_Balance Sheet'!D22/'Schedule 2_Balance Sheet'!D67)</f>
        <v>2.0237757453282308</v>
      </c>
      <c r="D18" s="46">
        <f>IF('Schedule 2_Balance Sheet'!E67=0,"",'Schedule 2_Balance Sheet'!E22/'Schedule 2_Balance Sheet'!E67)</f>
        <v>2.1276339981660977</v>
      </c>
      <c r="E18" s="58">
        <f>IF('Schedule 2_Balance Sheet'!F67=0,"",'Schedule 2_Balance Sheet'!F22/'Schedule 2_Balance Sheet'!F67)</f>
        <v>11.513365529211912</v>
      </c>
    </row>
    <row r="19" spans="1:9" ht="15.75" customHeight="1">
      <c r="A19" s="136" t="s">
        <v>1420</v>
      </c>
      <c r="B19" s="57">
        <f>IF('Schedule 2_Balance Sheet'!C67=0,"",'Schedule 2_Balance Sheet'!C11/'Schedule 2_Balance Sheet'!C67)</f>
        <v>1.4782139504313145</v>
      </c>
      <c r="C19" s="46">
        <f>IF('Schedule 2_Balance Sheet'!D67=0,"",'Schedule 2_Balance Sheet'!D11/'Schedule 2_Balance Sheet'!D67)</f>
        <v>1.7237487001535083</v>
      </c>
      <c r="D19" s="46">
        <f>IF('Schedule 2_Balance Sheet'!E67=0,"",'Schedule 2_Balance Sheet'!E11/'Schedule 2_Balance Sheet'!E67)</f>
        <v>1.7228392074610637</v>
      </c>
      <c r="E19" s="58">
        <f>IF('Schedule 2_Balance Sheet'!F67=0,"",'Schedule 2_Balance Sheet'!F11/'Schedule 2_Balance Sheet'!F67)</f>
        <v>8.4289720692434251</v>
      </c>
    </row>
    <row r="20" spans="1:9" ht="15.75" customHeight="1">
      <c r="A20" s="136" t="s">
        <v>1421</v>
      </c>
      <c r="B20" s="225">
        <f>IF(('Schedule 2_Balance Sheet'!C67-'Schedule 2_Balance Sheet'!C58-SUM('Schedule 2_Balance Sheet'!C62:C65))=0,"",'Schedule 2_Balance Sheet'!C11/('Schedule 2_Balance Sheet'!C67-'Schedule 2_Balance Sheet'!C58-SUM('Schedule 2_Balance Sheet'!C62:C65)))</f>
        <v>1.6051660429565089</v>
      </c>
      <c r="C20" s="46">
        <f>IF(('Schedule 2_Balance Sheet'!D67-'Schedule 2_Balance Sheet'!D58-SUM('Schedule 2_Balance Sheet'!D62:D65))=0,"",'Schedule 2_Balance Sheet'!D11/('Schedule 2_Balance Sheet'!D67-'Schedule 2_Balance Sheet'!D58-SUM('Schedule 2_Balance Sheet'!D62:D65)))</f>
        <v>1.9624515236716553</v>
      </c>
      <c r="D20" s="46">
        <f>IF(('Schedule 2_Balance Sheet'!E67-'Schedule 2_Balance Sheet'!E58-SUM('Schedule 2_Balance Sheet'!E62:E65))=0,"",'Schedule 2_Balance Sheet'!E11/('Schedule 2_Balance Sheet'!E67-'Schedule 2_Balance Sheet'!E58-SUM('Schedule 2_Balance Sheet'!E62:E65)))</f>
        <v>1.7556220905344337</v>
      </c>
      <c r="E20" s="58">
        <f>IF(('Schedule 2_Balance Sheet'!F67-'Schedule 2_Balance Sheet'!F58-SUM('Schedule 2_Balance Sheet'!F62:F65))=0,"",'Schedule 2_Balance Sheet'!F11/('Schedule 2_Balance Sheet'!F67-'Schedule 2_Balance Sheet'!F58-SUM('Schedule 2_Balance Sheet'!F62:F65)))</f>
        <v>14.124960799579974</v>
      </c>
    </row>
    <row r="21" spans="1:9" ht="15.75" customHeight="1">
      <c r="A21" s="136" t="s">
        <v>1422</v>
      </c>
      <c r="B21" s="57">
        <f>IF('Schedule 3A_Income Statement'!CO66=0,"",'Schedule 2_Balance Sheet'!C58/('Schedule 3A_Income Statement'!CO66/90))</f>
        <v>1.3149009277173707</v>
      </c>
      <c r="C21" s="46">
        <f>IF('Schedule 3A_Income Statement'!CP66=0,"",'Schedule 2_Balance Sheet'!D58/('Schedule 3A_Income Statement'!CP66/90))</f>
        <v>4.0622284120381771</v>
      </c>
      <c r="D21" s="46">
        <f>IF('Schedule 3A_Income Statement'!CQ66=0,"",'Schedule 2_Balance Sheet'!E58/('Schedule 3A_Income Statement'!CQ66/90))</f>
        <v>0.61125798974270917</v>
      </c>
      <c r="E21" s="58">
        <f>IF('Schedule 3A_Income Statement'!CR66=0,"",'Schedule 2_Balance Sheet'!F58/('Schedule 3A_Income Statement'!CR66/90))</f>
        <v>3.5410175148147239E-3</v>
      </c>
      <c r="F21" s="20"/>
      <c r="G21" s="20"/>
      <c r="H21" s="20"/>
      <c r="I21" s="20"/>
    </row>
    <row r="22" spans="1:9" ht="15.75" customHeight="1">
      <c r="A22" s="136" t="s">
        <v>1423</v>
      </c>
      <c r="B22" s="47">
        <f>IF('Schedule 3A_Income Statement'!CO32=0,"",('Schedule 2_Balance Sheet'!C56+'Schedule 2_Balance Sheet'!C57)/'Schedule 3A_Income Statement'!CO32)</f>
        <v>0</v>
      </c>
      <c r="C22" s="48">
        <f>IF('Schedule 3A_Income Statement'!CP32=0,"",('Schedule 2_Balance Sheet'!D56+'Schedule 2_Balance Sheet'!D57)/'Schedule 3A_Income Statement'!CP32)</f>
        <v>0</v>
      </c>
      <c r="D22" s="48">
        <f>IF('Schedule 3A_Income Statement'!CQ32=0,"",('Schedule 2_Balance Sheet'!E56+'Schedule 2_Balance Sheet'!E57)/'Schedule 3A_Income Statement'!CQ32)</f>
        <v>0</v>
      </c>
      <c r="E22" s="49">
        <f>IF('Schedule 3A_Income Statement'!CR32=0,"",('Schedule 2_Balance Sheet'!F56+'Schedule 2_Balance Sheet'!F57)/'Schedule 3A_Income Statement'!CR32)</f>
        <v>0</v>
      </c>
    </row>
    <row r="23" spans="1:9" ht="15.75" customHeight="1">
      <c r="B23" s="192"/>
      <c r="C23" s="193"/>
      <c r="D23" s="193"/>
      <c r="E23" s="194"/>
    </row>
    <row r="24" spans="1:9" ht="15.75" customHeight="1">
      <c r="A24" s="7" t="s">
        <v>1424</v>
      </c>
      <c r="B24" s="192"/>
      <c r="C24" s="193"/>
      <c r="D24" s="193"/>
      <c r="E24" s="194"/>
    </row>
    <row r="25" spans="1:9" ht="15.75" customHeight="1">
      <c r="A25" s="136" t="s">
        <v>1425</v>
      </c>
      <c r="B25" s="21">
        <v>0</v>
      </c>
      <c r="C25" s="22">
        <v>0</v>
      </c>
      <c r="D25" s="22">
        <v>0</v>
      </c>
      <c r="E25" s="23">
        <v>0</v>
      </c>
    </row>
    <row r="26" spans="1:9" ht="15.75" customHeight="1">
      <c r="A26" s="136" t="s">
        <v>1426</v>
      </c>
      <c r="B26" s="50" t="s">
        <v>597</v>
      </c>
      <c r="C26" s="51" t="s">
        <v>597</v>
      </c>
      <c r="D26" s="51" t="s">
        <v>597</v>
      </c>
      <c r="E26" s="52" t="s">
        <v>597</v>
      </c>
    </row>
    <row r="27" spans="1:9" ht="15.75" customHeight="1">
      <c r="A27" s="136" t="s">
        <v>1427</v>
      </c>
      <c r="B27" s="59">
        <f>IF('Schedule 2_Balance Sheet'!C22=0,"",SUM('Schedule 2_Balance Sheet'!C13:C15)/'Schedule 2_Balance Sheet'!C22)</f>
        <v>0.13056384406609561</v>
      </c>
      <c r="C27" s="53">
        <f>IF('Schedule 2_Balance Sheet'!D22=0,"",SUM('Schedule 2_Balance Sheet'!D13:D15)/'Schedule 2_Balance Sheet'!D22)</f>
        <v>4.4821918520564774E-2</v>
      </c>
      <c r="D27" s="53">
        <f>IF('Schedule 2_Balance Sheet'!E22=0,"",SUM('Schedule 2_Balance Sheet'!E13:E15)/'Schedule 2_Balance Sheet'!E22)</f>
        <v>4.8001235375439447E-2</v>
      </c>
      <c r="E27" s="60">
        <f>IF('Schedule 2_Balance Sheet'!F22=0,"",SUM('Schedule 2_Balance Sheet'!F13:F15)/'Schedule 2_Balance Sheet'!F22)</f>
        <v>5.1060189167449491E-2</v>
      </c>
    </row>
    <row r="28" spans="1:9" ht="15.75" customHeight="1">
      <c r="A28" s="136" t="s">
        <v>1428</v>
      </c>
      <c r="B28" s="59">
        <f>IF('Schedule 2_Balance Sheet'!C22=0,"",SUM('Schedule 2_Balance Sheet'!C11)/'Schedule 2_Balance Sheet'!C22)</f>
        <v>0.66624297424928403</v>
      </c>
      <c r="C28" s="53">
        <f>IF('Schedule 2_Balance Sheet'!D22=0,"",SUM('Schedule 2_Balance Sheet'!D11)/'Schedule 2_Balance Sheet'!D22)</f>
        <v>0.85174886799225769</v>
      </c>
      <c r="D28" s="53">
        <f>IF('Schedule 2_Balance Sheet'!E22=0,"",SUM('Schedule 2_Balance Sheet'!E11)/'Schedule 2_Balance Sheet'!E22)</f>
        <v>0.80974416132946536</v>
      </c>
      <c r="E28" s="60">
        <f>IF('Schedule 2_Balance Sheet'!F22=0,"",SUM('Schedule 2_Balance Sheet'!F11)/'Schedule 2_Balance Sheet'!F22)</f>
        <v>0.73210322801419703</v>
      </c>
    </row>
    <row r="29" spans="1:9" ht="15.75" customHeight="1">
      <c r="A29" s="136" t="s">
        <v>1429</v>
      </c>
      <c r="B29" s="275">
        <f>IF('Schedule 1_Enrollment'!L15=0,"",'Schedule 2_Balance Sheet'!C93/('Schedule 1_Enrollment'!L15/3))</f>
        <v>6288.1654622178594</v>
      </c>
      <c r="C29" s="182">
        <f>IF('Schedule 1_Enrollment'!L22=0,"",'Schedule 2_Balance Sheet'!D93/('Schedule 1_Enrollment'!L22/3))</f>
        <v>6006.0786436091867</v>
      </c>
      <c r="D29" s="182">
        <f>IF('Schedule 1_Enrollment'!L29=0,"",'Schedule 2_Balance Sheet'!E93/('Schedule 1_Enrollment'!L29/3))</f>
        <v>5712.7955270560578</v>
      </c>
      <c r="E29" s="60">
        <f>IF('Schedule 1_Enrollment'!L36=0,"",'Schedule 2_Balance Sheet'!F93/('Schedule 1_Enrollment'!L36/3))</f>
        <v>6008.5576400479677</v>
      </c>
    </row>
    <row r="30" spans="1:9" ht="15.75" customHeight="1">
      <c r="B30" s="192"/>
      <c r="C30" s="193"/>
      <c r="D30" s="193"/>
      <c r="E30" s="194"/>
    </row>
    <row r="31" spans="1:9" ht="15.75" customHeight="1">
      <c r="A31" s="7" t="s">
        <v>1430</v>
      </c>
      <c r="B31" s="192"/>
      <c r="C31" s="193"/>
      <c r="D31" s="193"/>
      <c r="E31" s="194"/>
    </row>
    <row r="32" spans="1:9" ht="15.75" customHeight="1">
      <c r="A32" s="136" t="s">
        <v>1431</v>
      </c>
      <c r="B32" s="225">
        <f>IF('Schedule 3A_Income Statement'!CO23=0,"",'Schedule 2_Balance Sheet'!C13/('Schedule 3A_Income Statement'!CO23/90))</f>
        <v>9.7187823460983509</v>
      </c>
      <c r="C32" s="273">
        <f>IF('Schedule 3A_Income Statement'!CP23=0,"",'Schedule 2_Balance Sheet'!D13/('Schedule 3A_Income Statement'!CP23/90))</f>
        <v>3.7924516276065563</v>
      </c>
      <c r="D32" s="273">
        <f>IF('Schedule 3A_Income Statement'!CQ23=0,"",'Schedule 2_Balance Sheet'!E13/('Schedule 3A_Income Statement'!CQ23/90))</f>
        <v>3.590607019477416</v>
      </c>
      <c r="E32" s="274">
        <f>IF('Schedule 3A_Income Statement'!CR23=0,"",'Schedule 2_Balance Sheet'!F13/('Schedule 3A_Income Statement'!CR23/90))</f>
        <v>2.3543963897936027</v>
      </c>
    </row>
    <row r="33" spans="1:5" ht="15.75" customHeight="1">
      <c r="B33" s="192"/>
      <c r="C33" s="193"/>
      <c r="D33" s="193"/>
      <c r="E33" s="194"/>
    </row>
    <row r="34" spans="1:5" ht="15.75" customHeight="1">
      <c r="A34" s="7" t="s">
        <v>1432</v>
      </c>
      <c r="B34" s="192"/>
      <c r="C34" s="193"/>
      <c r="D34" s="193"/>
      <c r="E34" s="194"/>
    </row>
    <row r="35" spans="1:5" ht="15.75" customHeight="1">
      <c r="A35" s="136" t="s">
        <v>1433</v>
      </c>
      <c r="B35" s="59">
        <f>IF('Schedule 3A_Income Statement'!CO32=0,"",'Schedule 3A_Income Statement'!CO92/'Schedule 3A_Income Statement'!CO32)</f>
        <v>6.0751564860999398E-2</v>
      </c>
      <c r="C35" s="53">
        <f>IF('Schedule 3A_Income Statement'!CP32=0,"",'Schedule 3A_Income Statement'!CP92/'Schedule 3A_Income Statement'!CP32)</f>
        <v>-3.4682203695719276E-2</v>
      </c>
      <c r="D35" s="53">
        <f>IF('Schedule 3A_Income Statement'!CQ32=0,"",'Schedule 3A_Income Statement'!CQ92/'Schedule 3A_Income Statement'!CQ32)</f>
        <v>-2.3826799226391124E-2</v>
      </c>
      <c r="E35" s="60">
        <f>IF('Schedule 3A_Income Statement'!CR32=0,"",'Schedule 3A_Income Statement'!CR92/'Schedule 3A_Income Statement'!CR32)</f>
        <v>-3.3789825630617783E-2</v>
      </c>
    </row>
    <row r="36" spans="1:5" ht="15.75" customHeight="1">
      <c r="A36" s="136" t="s">
        <v>1434</v>
      </c>
      <c r="B36" s="59">
        <f>IF('Schedule 3A_Income Statement'!CO32= 0,"",('Schedule 3A_Income Statement'!CO32-'Schedule 3A_Income Statement'!CO66) /'Schedule 3A_Income Statement'!CO32)</f>
        <v>0.17139180872628945</v>
      </c>
      <c r="C36" s="53">
        <f>IF('Schedule 3A_Income Statement'!CP32= 0,"",('Schedule 3A_Income Statement'!CP32-'Schedule 3A_Income Statement'!CP66) /'Schedule 3A_Income Statement'!CP32)</f>
        <v>8.8808275536167172E-2</v>
      </c>
      <c r="D36" s="53">
        <f>IF('Schedule 3A_Income Statement'!CQ32= 0,"",('Schedule 3A_Income Statement'!CQ32-'Schedule 3A_Income Statement'!CQ66) /'Schedule 3A_Income Statement'!CQ32)</f>
        <v>9.9824001839309451E-2</v>
      </c>
      <c r="E36" s="60">
        <f>IF('Schedule 3A_Income Statement'!CR32= 0,"",('Schedule 3A_Income Statement'!CR32-'Schedule 3A_Income Statement'!CR66) /'Schedule 3A_Income Statement'!CR32)</f>
        <v>8.9898551682879801E-2</v>
      </c>
    </row>
    <row r="37" spans="1:5" ht="15.75" customHeight="1">
      <c r="A37" s="136" t="s">
        <v>145</v>
      </c>
      <c r="B37" s="61">
        <f>'Schedule 2_Balance Sheet'!C93</f>
        <v>74755807.069999993</v>
      </c>
      <c r="C37" s="54">
        <f>'Schedule 2_Balance Sheet'!D93</f>
        <v>74729632.510000035</v>
      </c>
      <c r="D37" s="54">
        <f>'Schedule 2_Balance Sheet'!E93</f>
        <v>74432012.922013372</v>
      </c>
      <c r="E37" s="62">
        <f>'Schedule 2_Balance Sheet'!F93</f>
        <v>81838557.910000011</v>
      </c>
    </row>
    <row r="38" spans="1:5" ht="15.75" customHeight="1">
      <c r="A38" s="136" t="s">
        <v>274</v>
      </c>
      <c r="B38" s="59">
        <f>IF('Schedule 3A_Income Statement'!CO32-'Schedule 3A_Income Statement'!CO28-'Schedule 3A_Income Statement'!CO25=0,"",('Schedule 3A_Income Statement'!CO66+'Schedule 3A_Income Statement'!CO73-'Schedule 3A_Income Statement'!CO64)/('Schedule 3A_Income Statement'!CO32-'Schedule 3A_Income Statement'!CO28-'Schedule 3A_Income Statement'!CO25))</f>
        <v>0.85929714961234571</v>
      </c>
      <c r="C38" s="53">
        <f>IF('Schedule 3A_Income Statement'!CP32-'Schedule 3A_Income Statement'!CP28-'Schedule 3A_Income Statement'!CP25=0,"",('Schedule 3A_Income Statement'!CP66+'Schedule 3A_Income Statement'!CP73-'Schedule 3A_Income Statement'!CP64)/('Schedule 3A_Income Statement'!CP32-'Schedule 3A_Income Statement'!CP28-'Schedule 3A_Income Statement'!CP25))</f>
        <v>0.9446464449084313</v>
      </c>
      <c r="D38" s="53">
        <f>IF('Schedule 3A_Income Statement'!CQ32-'Schedule 3A_Income Statement'!CQ28-'Schedule 3A_Income Statement'!CQ25=0,"",('Schedule 3A_Income Statement'!CQ66+'Schedule 3A_Income Statement'!CQ73-'Schedule 3A_Income Statement'!CQ64)/('Schedule 3A_Income Statement'!CQ32-'Schedule 3A_Income Statement'!CQ28-'Schedule 3A_Income Statement'!CQ25))</f>
        <v>0.93478341750713223</v>
      </c>
      <c r="E38" s="60">
        <f>IF('Schedule 3A_Income Statement'!CR32-'Schedule 3A_Income Statement'!CR28-'Schedule 3A_Income Statement'!CR25=0,"",('Schedule 3A_Income Statement'!CR66+'Schedule 3A_Income Statement'!CR73-'Schedule 3A_Income Statement'!CR64)/('Schedule 3A_Income Statement'!CR32-'Schedule 3A_Income Statement'!CR28-'Schedule 3A_Income Statement'!CR25))</f>
        <v>0.95135873748569288</v>
      </c>
    </row>
    <row r="39" spans="1:5" ht="15.75" customHeight="1">
      <c r="A39" s="136" t="s">
        <v>1435</v>
      </c>
      <c r="B39" s="591">
        <f>IF('Schedule 1_Enrollment'!L15=0,"",'Schedule 3A_Income Statement'!CO66/'Schedule 1_Enrollment'!L15)</f>
        <v>3840.9085265019626</v>
      </c>
      <c r="C39" s="592">
        <f>IF('Schedule 1_Enrollment'!L22=0,"",'Schedule 3A_Income Statement'!CP66/'Schedule 1_Enrollment'!L22)</f>
        <v>3854.3681412094711</v>
      </c>
      <c r="D39" s="592">
        <f>IF('Schedule 1_Enrollment'!L29=0,"",'Schedule 3A_Income Statement'!CQ66/'Schedule 1_Enrollment'!L29)</f>
        <v>3911.2146082784257</v>
      </c>
      <c r="E39" s="593">
        <f>IF('Schedule 1_Enrollment'!L36=0,"",'Schedule 3A_Income Statement'!CR66/'Schedule 1_Enrollment'!L36)</f>
        <v>3947.9708906043325</v>
      </c>
    </row>
    <row r="40" spans="1:5" ht="15.75" customHeight="1" thickBot="1">
      <c r="A40" s="136" t="s">
        <v>278</v>
      </c>
      <c r="B40" s="63">
        <f>IF('Schedule 3A_Income Statement'!CO32-'Schedule 3A_Income Statement'!CO28=0,"",'Schedule 3A_Income Statement'!CO88/('Schedule 3A_Income Statement'!CO32-'Schedule 3A_Income Statement'!CO28))</f>
        <v>8.2437609105632192E-2</v>
      </c>
      <c r="C40" s="64">
        <f>IF('Schedule 3A_Income Statement'!CP32-'Schedule 3A_Income Statement'!CP28=0,"",'Schedule 3A_Income Statement'!CP88/('Schedule 3A_Income Statement'!CP32-'Schedule 3A_Income Statement'!CP28))</f>
        <v>9.2863877082664442E-2</v>
      </c>
      <c r="D40" s="64">
        <f>IF('Schedule 3A_Income Statement'!CQ32-'Schedule 3A_Income Statement'!CQ28=0,"",'Schedule 3A_Income Statement'!CQ88/('Schedule 3A_Income Statement'!CQ32-'Schedule 3A_Income Statement'!CQ28))</f>
        <v>9.1645273524055409E-2</v>
      </c>
      <c r="E40" s="65">
        <f>IF('Schedule 3A_Income Statement'!CR32-'Schedule 3A_Income Statement'!CR28=0,"",'Schedule 3A_Income Statement'!CR88/('Schedule 3A_Income Statement'!CR32-'Schedule 3A_Income Statement'!CR28))</f>
        <v>9.3099336029511634E-2</v>
      </c>
    </row>
    <row r="41" spans="1:5">
      <c r="B41" s="24" t="s">
        <v>1436</v>
      </c>
      <c r="C41" s="24" t="s">
        <v>1436</v>
      </c>
      <c r="D41" s="24" t="s">
        <v>1436</v>
      </c>
      <c r="E41" s="24" t="s">
        <v>1436</v>
      </c>
    </row>
    <row r="42" spans="1:5">
      <c r="A42" s="7" t="s">
        <v>397</v>
      </c>
    </row>
    <row r="43" spans="1:5">
      <c r="A43" s="136" t="s">
        <v>1437</v>
      </c>
    </row>
    <row r="44" spans="1:5">
      <c r="A44" s="136" t="s">
        <v>1438</v>
      </c>
    </row>
    <row r="45" spans="1:5">
      <c r="A45" s="136" t="s">
        <v>1439</v>
      </c>
    </row>
  </sheetData>
  <sheetProtection algorithmName="SHA-512" hashValue="jPeWcZ4myaUoOO7O9Z1VSG+IGVHZXz3N0ksHTbzFfMGEfos6YufDbfpYHInPIb1saJs6FZGq+/qaNwQwj4hpMg==" saltValue="SCexjINLVoA+bljEb4q5Mw==" spinCount="100000" sheet="1" objects="1" scenarios="1" formatColumns="0"/>
  <mergeCells count="1">
    <mergeCell ref="B9:E9"/>
  </mergeCells>
  <phoneticPr fontId="0" type="noConversion"/>
  <pageMargins left="0.7" right="0.7" top="0.75" bottom="0.75" header="0.3" footer="0.3"/>
  <pageSetup scale="6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K64"/>
  <sheetViews>
    <sheetView topLeftCell="A28" zoomScale="90" zoomScaleNormal="90" workbookViewId="0">
      <selection activeCell="B6" sqref="B6"/>
    </sheetView>
  </sheetViews>
  <sheetFormatPr defaultColWidth="9.42578125" defaultRowHeight="13.15"/>
  <cols>
    <col min="1" max="1" width="50.42578125" style="136" customWidth="1"/>
    <col min="2" max="2" width="17.42578125" style="136" customWidth="1"/>
    <col min="3" max="3" width="20.42578125" style="136" customWidth="1"/>
    <col min="4" max="5" width="17.42578125" style="136" customWidth="1"/>
    <col min="6" max="9" width="14.5703125" style="136" customWidth="1"/>
    <col min="10" max="10" width="15" style="136" customWidth="1"/>
    <col min="11" max="11" width="11.42578125" style="136" bestFit="1" customWidth="1"/>
    <col min="12" max="16384" width="9.42578125" style="136"/>
  </cols>
  <sheetData>
    <row r="1" spans="1:10" ht="20.25" customHeight="1">
      <c r="A1" s="17" t="s">
        <v>1440</v>
      </c>
      <c r="B1" s="196"/>
      <c r="C1" s="196"/>
      <c r="E1" s="715"/>
      <c r="G1" s="197"/>
    </row>
    <row r="2" spans="1:10" ht="20.25" customHeight="1">
      <c r="A2" s="15" t="s">
        <v>1303</v>
      </c>
      <c r="B2" s="397" t="str">
        <f>'Schedule 2_Balance Sheet'!C2</f>
        <v>Tufts Associated Health Plans, Inc. (TAHMO)</v>
      </c>
      <c r="C2" s="398"/>
      <c r="D2" s="398"/>
      <c r="E2" s="398"/>
      <c r="F2" s="399"/>
      <c r="H2" s="18"/>
      <c r="I2" s="19"/>
    </row>
    <row r="3" spans="1:10" ht="20.25" customHeight="1">
      <c r="A3" s="15" t="s">
        <v>1285</v>
      </c>
      <c r="B3" s="520" t="str">
        <f>'Schedule 2_Balance Sheet'!C3</f>
        <v>01/01/2024 - 12/31/2024</v>
      </c>
      <c r="C3" s="521"/>
      <c r="D3" s="521"/>
      <c r="E3" s="521"/>
      <c r="F3" s="522"/>
      <c r="H3" s="18"/>
      <c r="I3" s="19"/>
    </row>
    <row r="4" spans="1:10" ht="20.25" customHeight="1">
      <c r="A4" s="15" t="s">
        <v>1306</v>
      </c>
      <c r="B4" s="401">
        <f>'Schedule 2_Balance Sheet'!C4</f>
        <v>45657</v>
      </c>
      <c r="C4" s="398"/>
      <c r="D4" s="398"/>
      <c r="E4" s="398"/>
      <c r="F4" s="399"/>
      <c r="H4" s="18"/>
      <c r="I4" s="19"/>
    </row>
    <row r="5" spans="1:10" ht="20.25" customHeight="1">
      <c r="A5" s="15" t="s">
        <v>1307</v>
      </c>
      <c r="B5" s="397" t="str">
        <f>'Schedule 2_Balance Sheet'!C5</f>
        <v>Roshni Parikh</v>
      </c>
      <c r="C5" s="398"/>
      <c r="D5" s="398"/>
      <c r="E5" s="398"/>
      <c r="F5" s="399"/>
    </row>
    <row r="6" spans="1:10" ht="20.25" customHeight="1">
      <c r="A6" s="15" t="s">
        <v>1288</v>
      </c>
      <c r="B6" s="401">
        <f>'Schedule 2_Balance Sheet'!C6</f>
        <v>45657</v>
      </c>
      <c r="C6" s="398"/>
      <c r="D6" s="398"/>
      <c r="E6" s="398"/>
      <c r="F6" s="399"/>
      <c r="H6" s="198"/>
    </row>
    <row r="7" spans="1:10">
      <c r="A7" s="230" t="s">
        <v>1309</v>
      </c>
      <c r="B7" s="196"/>
      <c r="C7" s="196"/>
      <c r="H7" s="198"/>
    </row>
    <row r="8" spans="1:10">
      <c r="A8" s="7" t="s">
        <v>1441</v>
      </c>
      <c r="B8" s="196"/>
      <c r="C8" s="196"/>
      <c r="H8" s="198"/>
    </row>
    <row r="9" spans="1:10">
      <c r="B9" s="792" t="s">
        <v>1442</v>
      </c>
      <c r="C9" s="793"/>
      <c r="D9" s="793"/>
      <c r="E9" s="794"/>
      <c r="F9" s="793" t="s">
        <v>1443</v>
      </c>
      <c r="G9" s="793"/>
      <c r="H9" s="793"/>
      <c r="I9" s="795"/>
    </row>
    <row r="10" spans="1:10">
      <c r="A10" s="26"/>
      <c r="B10" s="80" t="s">
        <v>1291</v>
      </c>
      <c r="C10" s="80" t="s">
        <v>1298</v>
      </c>
      <c r="D10" s="80" t="s">
        <v>1299</v>
      </c>
      <c r="E10" s="712" t="s">
        <v>1300</v>
      </c>
      <c r="F10" s="80" t="s">
        <v>1291</v>
      </c>
      <c r="G10" s="80" t="s">
        <v>1298</v>
      </c>
      <c r="H10" s="80" t="s">
        <v>1299</v>
      </c>
      <c r="I10" s="713" t="s">
        <v>1300</v>
      </c>
      <c r="J10" s="199"/>
    </row>
    <row r="11" spans="1:10" ht="16.5" customHeight="1">
      <c r="A11" s="136" t="s">
        <v>1444</v>
      </c>
      <c r="B11" s="54">
        <f>'Schedule 2_Balance Sheet'!C11</f>
        <v>90833825.569999993</v>
      </c>
      <c r="C11" s="54">
        <f>'Schedule 2_Balance Sheet'!D11</f>
        <v>126055854.11000001</v>
      </c>
      <c r="D11" s="54">
        <f>'Schedule 2_Balance Sheet'!E11</f>
        <v>113979520.31</v>
      </c>
      <c r="E11" s="54">
        <f>'Schedule 2_Balance Sheet'!F11</f>
        <v>65738917.060000002</v>
      </c>
      <c r="F11" s="367"/>
      <c r="G11" s="367"/>
      <c r="H11" s="367"/>
      <c r="I11" s="367"/>
    </row>
    <row r="12" spans="1:10" ht="16.5" customHeight="1">
      <c r="A12" s="135" t="s">
        <v>1445</v>
      </c>
      <c r="B12" s="54">
        <f>'Schedule 2_Balance Sheet'!C48-'Schedule 2_Balance Sheet'!C29+(IF(B11&lt;500000,IF('Schedule 2_Balance Sheet'!C29&gt;(0.1*800000),(0.1*800000),'Schedule 2_Balance Sheet'!C29),IF('Schedule 2_Balance Sheet'!C29&gt;(0.2*800000),(0.2*800000),'Schedule 2_Balance Sheet'!C29)))</f>
        <v>136337386.03</v>
      </c>
      <c r="C12" s="54">
        <f>'Schedule 2_Balance Sheet'!D48-'Schedule 2_Balance Sheet'!D29+(IF(C11&lt;500000,IF('Schedule 2_Balance Sheet'!D29&gt;(0.1*800000),(0.1*800000),'Schedule 2_Balance Sheet'!D29),IF('Schedule 2_Balance Sheet'!D29&gt;(0.2*800000),(0.2*800000),'Schedule 2_Balance Sheet'!D29)))</f>
        <v>147996503.25000003</v>
      </c>
      <c r="D12" s="54">
        <f>'Schedule 2_Balance Sheet'!E48-'Schedule 2_Balance Sheet'!E29+(IF(D11&lt;500000,IF('Schedule 2_Balance Sheet'!E29&gt;(0.1*800000),(0.1*800000),'Schedule 2_Balance Sheet'!E29),IF('Schedule 2_Balance Sheet'!E29&gt;(0.2*800000),(0.2*800000),'Schedule 2_Balance Sheet'!E29)))</f>
        <v>140759916.22201335</v>
      </c>
      <c r="E12" s="54">
        <f>'Schedule 2_Balance Sheet'!F48-'Schedule 2_Balance Sheet'!F29+(IF(E11&lt;500000,IF('Schedule 2_Balance Sheet'!F29&gt;(0.1*800000),(0.1*800000),'Schedule 2_Balance Sheet'!F29),IF('Schedule 2_Balance Sheet'!F29&gt;(0.2*800000),(0.2*800000),'Schedule 2_Balance Sheet'!F29)))</f>
        <v>89794600.739999995</v>
      </c>
      <c r="F12" s="367"/>
      <c r="G12" s="367"/>
      <c r="H12" s="367"/>
      <c r="I12" s="367"/>
    </row>
    <row r="13" spans="1:10" ht="16.5" customHeight="1">
      <c r="A13" s="135" t="s">
        <v>143</v>
      </c>
      <c r="B13" s="54">
        <f>'Schedule 2_Balance Sheet'!C78</f>
        <v>61581578.960000016</v>
      </c>
      <c r="C13" s="54">
        <f>'Schedule 2_Balance Sheet'!D78</f>
        <v>73266870.739999995</v>
      </c>
      <c r="D13" s="54">
        <f>'Schedule 2_Balance Sheet'!E78</f>
        <v>66327903.299999975</v>
      </c>
      <c r="E13" s="54">
        <f>'Schedule 2_Balance Sheet'!F78</f>
        <v>7956042.8299999814</v>
      </c>
      <c r="F13" s="367"/>
      <c r="G13" s="367"/>
      <c r="H13" s="367"/>
      <c r="I13" s="367"/>
    </row>
    <row r="14" spans="1:10" ht="16.5" customHeight="1">
      <c r="A14" s="16" t="s">
        <v>145</v>
      </c>
      <c r="B14" s="66">
        <f>B12-B13</f>
        <v>74755807.069999993</v>
      </c>
      <c r="C14" s="66">
        <f>C12-C13</f>
        <v>74729632.510000035</v>
      </c>
      <c r="D14" s="66">
        <f>D12-D13</f>
        <v>74432012.922013372</v>
      </c>
      <c r="E14" s="66">
        <f>E12-E13</f>
        <v>81838557.910000011</v>
      </c>
      <c r="F14" s="367"/>
      <c r="G14" s="367"/>
      <c r="H14" s="367"/>
      <c r="I14" s="367"/>
    </row>
    <row r="15" spans="1:10" ht="16.5" customHeight="1" thickBot="1">
      <c r="A15" s="16" t="s">
        <v>1446</v>
      </c>
      <c r="B15" s="67">
        <v>800000</v>
      </c>
      <c r="C15" s="67">
        <f t="shared" ref="C15:I15" si="0">+B15</f>
        <v>800000</v>
      </c>
      <c r="D15" s="67">
        <f t="shared" si="0"/>
        <v>800000</v>
      </c>
      <c r="E15" s="67">
        <f t="shared" si="0"/>
        <v>800000</v>
      </c>
      <c r="F15" s="67">
        <f t="shared" si="0"/>
        <v>800000</v>
      </c>
      <c r="G15" s="67">
        <f t="shared" si="0"/>
        <v>800000</v>
      </c>
      <c r="H15" s="67">
        <f t="shared" si="0"/>
        <v>800000</v>
      </c>
      <c r="I15" s="67">
        <f t="shared" si="0"/>
        <v>800000</v>
      </c>
      <c r="J15" s="200"/>
    </row>
    <row r="16" spans="1:10" ht="16.5" customHeight="1" thickTop="1">
      <c r="A16" s="16" t="s">
        <v>1447</v>
      </c>
      <c r="B16" s="68">
        <f t="shared" ref="B16:I16" si="1">SUM(B14-B15)</f>
        <v>73955807.069999993</v>
      </c>
      <c r="C16" s="68">
        <f t="shared" si="1"/>
        <v>73929632.510000035</v>
      </c>
      <c r="D16" s="68">
        <f t="shared" si="1"/>
        <v>73632012.922013372</v>
      </c>
      <c r="E16" s="69">
        <f t="shared" si="1"/>
        <v>81038557.910000011</v>
      </c>
      <c r="F16" s="68">
        <f t="shared" si="1"/>
        <v>-800000</v>
      </c>
      <c r="G16" s="68">
        <f t="shared" si="1"/>
        <v>-800000</v>
      </c>
      <c r="H16" s="68">
        <f t="shared" si="1"/>
        <v>-800000</v>
      </c>
      <c r="I16" s="68">
        <f t="shared" si="1"/>
        <v>-800000</v>
      </c>
      <c r="J16" s="200"/>
    </row>
    <row r="17" spans="1:10">
      <c r="A17" s="16"/>
      <c r="B17" s="30"/>
      <c r="C17" s="30"/>
      <c r="D17" s="30"/>
      <c r="E17" s="30"/>
      <c r="F17" s="30"/>
      <c r="G17" s="30"/>
      <c r="H17" s="30"/>
      <c r="I17" s="30"/>
      <c r="J17" s="200"/>
    </row>
    <row r="18" spans="1:10" ht="15.75" customHeight="1">
      <c r="A18" s="16" t="s">
        <v>1448</v>
      </c>
      <c r="B18" s="73" t="str">
        <f>IF(B16&lt;0,"N","Y")</f>
        <v>Y</v>
      </c>
      <c r="C18" s="73" t="str">
        <f t="shared" ref="C18:I18" si="2">IF(C16&lt;0,"N","Y")</f>
        <v>Y</v>
      </c>
      <c r="D18" s="73" t="str">
        <f t="shared" si="2"/>
        <v>Y</v>
      </c>
      <c r="E18" s="73" t="str">
        <f t="shared" si="2"/>
        <v>Y</v>
      </c>
      <c r="F18" s="33" t="str">
        <f t="shared" si="2"/>
        <v>N</v>
      </c>
      <c r="G18" s="33" t="str">
        <f t="shared" si="2"/>
        <v>N</v>
      </c>
      <c r="H18" s="33" t="str">
        <f t="shared" si="2"/>
        <v>N</v>
      </c>
      <c r="I18" s="33" t="str">
        <f t="shared" si="2"/>
        <v>N</v>
      </c>
      <c r="J18" s="200"/>
    </row>
    <row r="19" spans="1:10" ht="15.75" customHeight="1">
      <c r="A19" s="16" t="s">
        <v>1449</v>
      </c>
      <c r="B19" s="73" t="str">
        <f t="shared" ref="B19:I19" si="3">IF(B11&lt;800000,"N","Y")</f>
        <v>Y</v>
      </c>
      <c r="C19" s="73" t="str">
        <f t="shared" si="3"/>
        <v>Y</v>
      </c>
      <c r="D19" s="73" t="str">
        <f t="shared" si="3"/>
        <v>Y</v>
      </c>
      <c r="E19" s="73" t="str">
        <f t="shared" si="3"/>
        <v>Y</v>
      </c>
      <c r="F19" s="33" t="str">
        <f t="shared" si="3"/>
        <v>N</v>
      </c>
      <c r="G19" s="33" t="str">
        <f t="shared" si="3"/>
        <v>N</v>
      </c>
      <c r="H19" s="33" t="str">
        <f t="shared" si="3"/>
        <v>N</v>
      </c>
      <c r="I19" s="33" t="str">
        <f t="shared" si="3"/>
        <v>N</v>
      </c>
      <c r="J19" s="200"/>
    </row>
    <row r="20" spans="1:10">
      <c r="A20" s="16"/>
      <c r="B20" s="196"/>
      <c r="C20" s="196"/>
      <c r="F20" s="201"/>
      <c r="G20" s="178"/>
      <c r="H20" s="200"/>
      <c r="I20" s="200"/>
      <c r="J20" s="200"/>
    </row>
    <row r="21" spans="1:10" ht="25.5" customHeight="1">
      <c r="A21" s="796" t="s">
        <v>1450</v>
      </c>
      <c r="B21" s="797"/>
      <c r="C21" s="797"/>
      <c r="D21" s="797"/>
      <c r="E21" s="797"/>
      <c r="F21" s="797"/>
      <c r="G21" s="797"/>
      <c r="H21" s="797"/>
      <c r="I21" s="798"/>
      <c r="J21" s="200"/>
    </row>
    <row r="22" spans="1:10">
      <c r="B22" s="196"/>
      <c r="C22" s="196"/>
      <c r="F22" s="201"/>
      <c r="G22" s="178"/>
      <c r="H22" s="200"/>
      <c r="I22" s="200"/>
      <c r="J22" s="200"/>
    </row>
    <row r="23" spans="1:10">
      <c r="A23" s="7" t="s">
        <v>1451</v>
      </c>
      <c r="B23" s="196"/>
      <c r="C23" s="196"/>
      <c r="F23" s="201"/>
      <c r="G23" s="178"/>
      <c r="H23" s="200"/>
      <c r="I23" s="200"/>
      <c r="J23" s="200"/>
    </row>
    <row r="24" spans="1:10">
      <c r="B24" s="792" t="s">
        <v>1452</v>
      </c>
      <c r="C24" s="793"/>
      <c r="D24" s="793"/>
      <c r="E24" s="794"/>
      <c r="F24" s="793" t="s">
        <v>1453</v>
      </c>
      <c r="G24" s="793"/>
      <c r="H24" s="793"/>
      <c r="I24" s="795"/>
      <c r="J24" s="200"/>
    </row>
    <row r="25" spans="1:10">
      <c r="B25" s="80" t="str">
        <f t="shared" ref="B25:I25" si="4">B10</f>
        <v>Q1</v>
      </c>
      <c r="C25" s="80" t="str">
        <f t="shared" si="4"/>
        <v>Q2</v>
      </c>
      <c r="D25" s="80" t="str">
        <f t="shared" si="4"/>
        <v>Q3</v>
      </c>
      <c r="E25" s="81" t="str">
        <f t="shared" si="4"/>
        <v>Q4</v>
      </c>
      <c r="F25" s="82" t="str">
        <f t="shared" si="4"/>
        <v>Q1</v>
      </c>
      <c r="G25" s="80" t="str">
        <f t="shared" si="4"/>
        <v>Q2</v>
      </c>
      <c r="H25" s="80" t="str">
        <f t="shared" si="4"/>
        <v>Q3</v>
      </c>
      <c r="I25" s="80" t="str">
        <f t="shared" si="4"/>
        <v>Q4</v>
      </c>
      <c r="J25" s="200"/>
    </row>
    <row r="26" spans="1:10" ht="16.5" customHeight="1">
      <c r="A26" s="136" t="s">
        <v>1310</v>
      </c>
      <c r="B26" s="182">
        <f>'Schedule 2_Balance Sheet'!C22</f>
        <v>136337386.03</v>
      </c>
      <c r="C26" s="182">
        <f>'Schedule 2_Balance Sheet'!D22</f>
        <v>147996503.25000003</v>
      </c>
      <c r="D26" s="182">
        <f>'Schedule 2_Balance Sheet'!E22</f>
        <v>140759916.22201335</v>
      </c>
      <c r="E26" s="182">
        <f>'Schedule 2_Balance Sheet'!F22</f>
        <v>89794600.739999995</v>
      </c>
      <c r="F26" s="367"/>
      <c r="G26" s="367"/>
      <c r="H26" s="367"/>
      <c r="I26" s="367"/>
    </row>
    <row r="27" spans="1:10" ht="16.5" customHeight="1">
      <c r="A27" s="136" t="s">
        <v>1321</v>
      </c>
      <c r="B27" s="182">
        <f>'Schedule 2_Balance Sheet'!C67</f>
        <v>61448361.750000007</v>
      </c>
      <c r="C27" s="182">
        <f>'Schedule 2_Balance Sheet'!D67</f>
        <v>73128904.519999996</v>
      </c>
      <c r="D27" s="182">
        <f>'Schedule 2_Balance Sheet'!E67</f>
        <v>66157955.899999999</v>
      </c>
      <c r="E27" s="182">
        <f>'Schedule 2_Balance Sheet'!F67</f>
        <v>7799161.8100000005</v>
      </c>
      <c r="F27" s="367"/>
      <c r="G27" s="367"/>
      <c r="H27" s="367"/>
      <c r="I27" s="367"/>
    </row>
    <row r="28" spans="1:10" ht="16.5" customHeight="1">
      <c r="A28" s="136" t="s">
        <v>1419</v>
      </c>
      <c r="B28" s="46">
        <f>IF(B27=0,0,B26/B27)</f>
        <v>2.2187310149078137</v>
      </c>
      <c r="C28" s="46">
        <f>IF(C27=0,0,C26/C27)</f>
        <v>2.0237757453282308</v>
      </c>
      <c r="D28" s="46">
        <f>IF(D27=0,0,D26/D27)</f>
        <v>2.1276339981660977</v>
      </c>
      <c r="E28" s="46">
        <f>IF(E27=0,0,E26/E27)</f>
        <v>11.513365529211912</v>
      </c>
      <c r="F28" s="625"/>
      <c r="G28" s="625"/>
      <c r="H28" s="625"/>
      <c r="I28" s="625"/>
    </row>
    <row r="29" spans="1:10" ht="16.5" customHeight="1">
      <c r="A29" s="136" t="s">
        <v>1454</v>
      </c>
      <c r="B29" s="46">
        <f>IF('Schedule 2_Balance Sheet'!C67=0,0,'Schedule 2_Balance Sheet'!C11/'Schedule 2_Balance Sheet'!C67)</f>
        <v>1.4782139504313145</v>
      </c>
      <c r="C29" s="46">
        <f>IF('Schedule 2_Balance Sheet'!D67=0,0,'Schedule 2_Balance Sheet'!D11/'Schedule 2_Balance Sheet'!D67)</f>
        <v>1.7237487001535083</v>
      </c>
      <c r="D29" s="46">
        <f>IF('Schedule 2_Balance Sheet'!E67=0,0,'Schedule 2_Balance Sheet'!E11/'Schedule 2_Balance Sheet'!E67)</f>
        <v>1.7228392074610637</v>
      </c>
      <c r="E29" s="46">
        <f>IF('Schedule 2_Balance Sheet'!F67=0,0,'Schedule 2_Balance Sheet'!F11/'Schedule 2_Balance Sheet'!F67)</f>
        <v>8.4289720692434251</v>
      </c>
      <c r="F29" s="625"/>
      <c r="G29" s="625"/>
      <c r="H29" s="625"/>
      <c r="I29" s="625"/>
    </row>
    <row r="30" spans="1:10" ht="16.5" customHeight="1">
      <c r="A30" s="14" t="s">
        <v>1455</v>
      </c>
      <c r="B30" s="70">
        <f>B26-B27</f>
        <v>74889024.280000001</v>
      </c>
      <c r="C30" s="70">
        <f>C26-C27</f>
        <v>74867598.730000034</v>
      </c>
      <c r="D30" s="70">
        <f>D26-D27</f>
        <v>74601960.322013348</v>
      </c>
      <c r="E30" s="71">
        <f>E26-E27</f>
        <v>81995438.929999992</v>
      </c>
      <c r="F30" s="625"/>
      <c r="G30" s="625"/>
      <c r="H30" s="625"/>
      <c r="I30" s="625"/>
    </row>
    <row r="31" spans="1:10" ht="16.5" customHeight="1" thickBot="1">
      <c r="A31" s="14" t="s">
        <v>1446</v>
      </c>
      <c r="B31" s="206" t="s">
        <v>1456</v>
      </c>
      <c r="C31" s="206" t="s">
        <v>1456</v>
      </c>
      <c r="D31" s="206" t="s">
        <v>1456</v>
      </c>
      <c r="E31" s="207" t="s">
        <v>1456</v>
      </c>
      <c r="F31" s="208" t="s">
        <v>1456</v>
      </c>
      <c r="G31" s="208" t="s">
        <v>1456</v>
      </c>
      <c r="H31" s="209" t="s">
        <v>1456</v>
      </c>
      <c r="I31" s="210" t="s">
        <v>1456</v>
      </c>
      <c r="J31" s="199"/>
    </row>
    <row r="32" spans="1:10" ht="16.5" customHeight="1" thickTop="1">
      <c r="A32" s="14" t="s">
        <v>1447</v>
      </c>
      <c r="B32" s="68">
        <f t="shared" ref="B32:I32" si="5">B30</f>
        <v>74889024.280000001</v>
      </c>
      <c r="C32" s="68">
        <f t="shared" si="5"/>
        <v>74867598.730000034</v>
      </c>
      <c r="D32" s="68">
        <f t="shared" si="5"/>
        <v>74601960.322013348</v>
      </c>
      <c r="E32" s="72">
        <f t="shared" si="5"/>
        <v>81995438.929999992</v>
      </c>
      <c r="F32" s="68">
        <f t="shared" si="5"/>
        <v>0</v>
      </c>
      <c r="G32" s="68">
        <f t="shared" si="5"/>
        <v>0</v>
      </c>
      <c r="H32" s="68">
        <f t="shared" si="5"/>
        <v>0</v>
      </c>
      <c r="I32" s="72">
        <f t="shared" si="5"/>
        <v>0</v>
      </c>
      <c r="J32" s="199"/>
    </row>
    <row r="33" spans="1:11">
      <c r="A33" s="14"/>
      <c r="B33" s="31"/>
      <c r="C33" s="31"/>
      <c r="D33" s="31"/>
      <c r="E33" s="32"/>
      <c r="F33" s="32"/>
      <c r="G33" s="32"/>
      <c r="H33" s="32"/>
      <c r="I33" s="32"/>
    </row>
    <row r="34" spans="1:11" ht="15.75" customHeight="1">
      <c r="A34" s="14" t="s">
        <v>1448</v>
      </c>
      <c r="B34" s="73" t="str">
        <f>IF(B32&lt;0,"N","Y")</f>
        <v>Y</v>
      </c>
      <c r="C34" s="73" t="str">
        <f t="shared" ref="C34:I34" si="6">IF(C32&lt;0,"N","Y")</f>
        <v>Y</v>
      </c>
      <c r="D34" s="73" t="str">
        <f t="shared" si="6"/>
        <v>Y</v>
      </c>
      <c r="E34" s="73" t="str">
        <f t="shared" si="6"/>
        <v>Y</v>
      </c>
      <c r="F34" s="33" t="str">
        <f t="shared" si="6"/>
        <v>Y</v>
      </c>
      <c r="G34" s="33" t="str">
        <f t="shared" si="6"/>
        <v>Y</v>
      </c>
      <c r="H34" s="33" t="str">
        <f t="shared" si="6"/>
        <v>Y</v>
      </c>
      <c r="I34" s="33" t="str">
        <f t="shared" si="6"/>
        <v>Y</v>
      </c>
    </row>
    <row r="35" spans="1:11">
      <c r="B35" s="196"/>
      <c r="C35" s="196"/>
      <c r="F35" s="178"/>
      <c r="G35" s="178"/>
      <c r="H35" s="178"/>
    </row>
    <row r="36" spans="1:11">
      <c r="A36" s="7" t="s">
        <v>1457</v>
      </c>
      <c r="B36" s="196"/>
      <c r="C36" s="196"/>
      <c r="F36" s="178"/>
      <c r="G36" s="178"/>
      <c r="H36" s="178"/>
    </row>
    <row r="37" spans="1:11">
      <c r="B37" s="789" t="s">
        <v>1458</v>
      </c>
      <c r="C37" s="790"/>
      <c r="D37" s="791" t="s">
        <v>1459</v>
      </c>
      <c r="E37" s="789"/>
      <c r="F37" s="789"/>
      <c r="G37" s="789"/>
      <c r="H37" s="789"/>
      <c r="I37" s="789"/>
      <c r="J37" s="789"/>
    </row>
    <row r="38" spans="1:11" ht="16.5" customHeight="1">
      <c r="B38" s="809" t="s">
        <v>1460</v>
      </c>
      <c r="C38" s="812" t="s">
        <v>1461</v>
      </c>
      <c r="D38" s="800" t="s">
        <v>1462</v>
      </c>
      <c r="E38" s="815" t="s">
        <v>1463</v>
      </c>
      <c r="F38" s="800" t="s">
        <v>145</v>
      </c>
      <c r="G38" s="802" t="s">
        <v>1464</v>
      </c>
      <c r="H38" s="800" t="s">
        <v>1465</v>
      </c>
      <c r="I38" s="802" t="s">
        <v>1466</v>
      </c>
      <c r="J38" s="804" t="s">
        <v>1467</v>
      </c>
    </row>
    <row r="39" spans="1:11" ht="29.25" customHeight="1">
      <c r="B39" s="810"/>
      <c r="C39" s="813"/>
      <c r="D39" s="800"/>
      <c r="E39" s="815"/>
      <c r="F39" s="800"/>
      <c r="G39" s="802"/>
      <c r="H39" s="800"/>
      <c r="I39" s="802"/>
      <c r="J39" s="804"/>
    </row>
    <row r="40" spans="1:11" ht="18.75" customHeight="1">
      <c r="B40" s="810"/>
      <c r="C40" s="813"/>
      <c r="D40" s="800"/>
      <c r="E40" s="815"/>
      <c r="F40" s="800"/>
      <c r="G40" s="802"/>
      <c r="H40" s="800"/>
      <c r="I40" s="802"/>
      <c r="J40" s="804"/>
    </row>
    <row r="41" spans="1:11" ht="15" customHeight="1">
      <c r="B41" s="811"/>
      <c r="C41" s="814"/>
      <c r="D41" s="801"/>
      <c r="E41" s="816"/>
      <c r="F41" s="801"/>
      <c r="G41" s="803"/>
      <c r="H41" s="801"/>
      <c r="I41" s="803"/>
      <c r="J41" s="805"/>
    </row>
    <row r="42" spans="1:11" ht="15.75" customHeight="1">
      <c r="A42" s="135" t="s">
        <v>1468</v>
      </c>
      <c r="B42" s="202">
        <f>+'Schedule 3A_Income Statement'!CO66</f>
        <v>136986002.59769249</v>
      </c>
      <c r="C42" s="202">
        <f>IF(B42/2&gt;'Schedule 3A_Income Statement'!CO23/2*0.88,'Schedule 3A_Income Statement'!CO23/2*0.88,B42/2)</f>
        <v>68493001.298846245</v>
      </c>
      <c r="D42" s="367"/>
      <c r="E42" s="368"/>
      <c r="F42" s="137">
        <f>'Schedule 2_Balance Sheet'!C93</f>
        <v>74755807.069999993</v>
      </c>
      <c r="G42" s="368"/>
      <c r="H42" s="203">
        <f>'Schedule 2_Balance Sheet'!C30</f>
        <v>0</v>
      </c>
      <c r="I42" s="368"/>
      <c r="J42" s="369" t="s">
        <v>1469</v>
      </c>
      <c r="K42" s="178"/>
    </row>
    <row r="43" spans="1:11" ht="15.75" customHeight="1">
      <c r="A43" s="135" t="s">
        <v>1470</v>
      </c>
      <c r="B43" s="202">
        <f>+'Schedule 3A_Income Statement'!CP66</f>
        <v>143871999.60692593</v>
      </c>
      <c r="C43" s="202">
        <f>IF(B43/2&gt;'Schedule 3A_Income Statement'!CP23/2*0.88,'Schedule 3A_Income Statement'!CP23/2*0.88,B43/2)</f>
        <v>69265509.309022665</v>
      </c>
      <c r="D43" s="367"/>
      <c r="E43" s="368"/>
      <c r="F43" s="137">
        <f>'Schedule 2_Balance Sheet'!D93</f>
        <v>74729632.510000035</v>
      </c>
      <c r="G43" s="368"/>
      <c r="H43" s="203">
        <f>'Schedule 2_Balance Sheet'!D30</f>
        <v>0</v>
      </c>
      <c r="I43" s="368"/>
      <c r="J43" s="369" t="s">
        <v>1469</v>
      </c>
      <c r="K43" s="178"/>
    </row>
    <row r="44" spans="1:11" ht="15.75" customHeight="1">
      <c r="A44" s="135" t="s">
        <v>1471</v>
      </c>
      <c r="B44" s="202">
        <f>+'Schedule 3A_Income Statement'!CQ66</f>
        <v>152877645.39377883</v>
      </c>
      <c r="C44" s="202">
        <f>IF(B44/2&gt;'Schedule 3A_Income Statement'!CQ23/2*0.88,'Schedule 3A_Income Statement'!CQ23/2*0.88,B44/2)</f>
        <v>74517576.944675416</v>
      </c>
      <c r="D44" s="367"/>
      <c r="E44" s="368"/>
      <c r="F44" s="137">
        <f>'Schedule 2_Balance Sheet'!E93</f>
        <v>74432012.922013372</v>
      </c>
      <c r="G44" s="368"/>
      <c r="H44" s="203">
        <f>'Schedule 2_Balance Sheet'!E30</f>
        <v>0</v>
      </c>
      <c r="I44" s="368"/>
      <c r="J44" s="369" t="s">
        <v>1469</v>
      </c>
      <c r="K44" s="178"/>
    </row>
    <row r="45" spans="1:11" ht="15.75" customHeight="1">
      <c r="A45" s="135" t="s">
        <v>1472</v>
      </c>
      <c r="B45" s="202">
        <f>'Schedule 3A_Income Statement'!CR66</f>
        <v>161318038.56098363</v>
      </c>
      <c r="C45" s="202">
        <f>IF(B45/2&gt;'Schedule 3A_Income Statement'!CR23/2*0.88,'Schedule 3A_Income Statement'!CR23/2*0.88,B45/2)</f>
        <v>77116666.109021962</v>
      </c>
      <c r="D45" s="367"/>
      <c r="E45" s="368"/>
      <c r="F45" s="137">
        <f>'Schedule 2_Balance Sheet'!F93</f>
        <v>81838557.910000011</v>
      </c>
      <c r="G45" s="368"/>
      <c r="H45" s="203">
        <f>'Schedule 2_Balance Sheet'!F30</f>
        <v>0</v>
      </c>
      <c r="I45" s="368"/>
      <c r="J45" s="369" t="s">
        <v>1469</v>
      </c>
      <c r="K45" s="178"/>
    </row>
    <row r="46" spans="1:11">
      <c r="B46" s="196"/>
      <c r="C46" s="25"/>
      <c r="D46" s="26"/>
      <c r="E46" s="27"/>
    </row>
    <row r="47" spans="1:11">
      <c r="A47" s="806" t="s">
        <v>1473</v>
      </c>
      <c r="B47" s="806"/>
      <c r="C47" s="806"/>
    </row>
    <row r="48" spans="1:11">
      <c r="A48" s="135"/>
      <c r="B48" s="196"/>
      <c r="C48" s="196"/>
    </row>
    <row r="49" spans="1:10" ht="15.75" customHeight="1">
      <c r="B49" s="80" t="s">
        <v>1474</v>
      </c>
      <c r="C49" s="80" t="s">
        <v>1475</v>
      </c>
      <c r="F49" s="807" t="s">
        <v>1476</v>
      </c>
      <c r="G49" s="808"/>
      <c r="H49" s="949"/>
    </row>
    <row r="50" spans="1:10" ht="15.75" customHeight="1">
      <c r="A50" s="135" t="s">
        <v>145</v>
      </c>
      <c r="B50" s="370" t="s">
        <v>1469</v>
      </c>
      <c r="C50" s="371">
        <f>F45</f>
        <v>81838557.910000011</v>
      </c>
      <c r="F50" s="144" t="s">
        <v>17</v>
      </c>
      <c r="G50" s="950" t="s">
        <v>1477</v>
      </c>
      <c r="H50" s="949"/>
    </row>
    <row r="51" spans="1:10" ht="15.75" customHeight="1">
      <c r="A51" s="135" t="s">
        <v>1478</v>
      </c>
      <c r="B51" s="370"/>
      <c r="C51" s="371"/>
      <c r="F51" s="140" t="s">
        <v>18</v>
      </c>
      <c r="G51" s="951" t="s">
        <v>1479</v>
      </c>
      <c r="H51" s="952"/>
    </row>
    <row r="52" spans="1:10" ht="15.75" customHeight="1">
      <c r="A52" s="135" t="s">
        <v>1480</v>
      </c>
      <c r="B52" s="370"/>
      <c r="C52" s="371"/>
      <c r="F52" s="140" t="s">
        <v>19</v>
      </c>
      <c r="G52" s="951" t="s">
        <v>1481</v>
      </c>
      <c r="H52" s="952"/>
    </row>
    <row r="53" spans="1:10" ht="15.75" customHeight="1">
      <c r="A53" s="16" t="s">
        <v>1482</v>
      </c>
      <c r="B53" s="372"/>
      <c r="C53" s="617">
        <f>SUM(C50:C52)</f>
        <v>81838557.910000011</v>
      </c>
      <c r="F53" s="140" t="s">
        <v>20</v>
      </c>
      <c r="G53" s="950" t="s">
        <v>1483</v>
      </c>
      <c r="H53" s="949"/>
    </row>
    <row r="54" spans="1:10">
      <c r="A54" s="16"/>
      <c r="B54" s="28"/>
      <c r="C54" s="29"/>
    </row>
    <row r="55" spans="1:10">
      <c r="B55" s="196"/>
      <c r="C55" s="196"/>
    </row>
    <row r="56" spans="1:10">
      <c r="A56" s="204"/>
      <c r="B56" s="7" t="s">
        <v>1484</v>
      </c>
      <c r="C56" s="205"/>
    </row>
    <row r="57" spans="1:10" ht="13.35" customHeight="1">
      <c r="B57" s="135" t="s">
        <v>1485</v>
      </c>
      <c r="C57" s="205"/>
      <c r="G57" s="626"/>
      <c r="H57" s="626"/>
      <c r="I57" s="626"/>
      <c r="J57" s="626"/>
    </row>
    <row r="58" spans="1:10">
      <c r="A58" s="204"/>
      <c r="B58" s="204"/>
      <c r="C58" s="205"/>
      <c r="F58" s="626"/>
      <c r="G58" s="626"/>
      <c r="H58" s="626"/>
      <c r="I58" s="626"/>
      <c r="J58" s="626"/>
    </row>
    <row r="59" spans="1:10">
      <c r="A59" s="799"/>
      <c r="B59" s="799"/>
      <c r="C59" s="799"/>
    </row>
    <row r="60" spans="1:10">
      <c r="A60" s="204"/>
      <c r="B60" s="204"/>
      <c r="C60" s="205"/>
    </row>
    <row r="61" spans="1:10">
      <c r="A61" s="204"/>
      <c r="B61" s="204"/>
      <c r="C61" s="205"/>
    </row>
    <row r="62" spans="1:10">
      <c r="A62" s="44"/>
      <c r="B62" s="205"/>
      <c r="C62" s="205"/>
    </row>
    <row r="63" spans="1:10">
      <c r="A63" s="205"/>
      <c r="B63" s="205"/>
      <c r="C63" s="205"/>
    </row>
    <row r="64" spans="1:10">
      <c r="B64" s="196"/>
      <c r="C64" s="196"/>
    </row>
  </sheetData>
  <sheetProtection algorithmName="SHA-512" hashValue="WTtPw2ulrdx5UETv3/9THSS6qfL6S+L8FzMZOQ1wsF7NitCJHiFUVcu1UcOkbXUtA2gM4Xhr0uF1qeR3xgZC0Q==" saltValue="H753CidpNgCi4iw/thme4g==" spinCount="100000" sheet="1"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1" priority="1" stopIfTrue="1" operator="equal">
      <formula>"N"</formula>
    </cfRule>
  </conditionalFormatting>
  <pageMargins left="0.7" right="0.7" top="0.75" bottom="0.75" header="0.3" footer="0.3"/>
  <pageSetup scale="5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I9" sqref="I9"/>
    </sheetView>
  </sheetViews>
  <sheetFormatPr defaultRowHeight="13.15"/>
  <cols>
    <col min="1" max="1" width="4.42578125" customWidth="1"/>
    <col min="2" max="2" width="17.7109375" customWidth="1"/>
    <col min="3" max="9" width="15.5703125" customWidth="1"/>
  </cols>
  <sheetData>
    <row r="3" spans="2:9" ht="13.9" thickBot="1"/>
    <row r="4" spans="2:9" s="89" customFormat="1" ht="13.9">
      <c r="B4" s="862" t="s">
        <v>14</v>
      </c>
      <c r="C4" s="863"/>
      <c r="D4" s="863"/>
      <c r="E4" s="863"/>
      <c r="F4" s="863"/>
      <c r="G4" s="863"/>
      <c r="H4" s="863"/>
      <c r="I4" s="864"/>
    </row>
    <row r="5" spans="2:9" s="89" customFormat="1" ht="14.45" thickBot="1">
      <c r="B5" s="172" t="s">
        <v>15</v>
      </c>
      <c r="C5" s="865"/>
      <c r="D5" s="865"/>
      <c r="E5" s="865"/>
      <c r="F5" s="865"/>
      <c r="G5" s="865"/>
      <c r="H5" s="865"/>
      <c r="I5" s="866"/>
    </row>
    <row r="6" spans="2:9" s="90" customFormat="1" ht="10.5" customHeight="1">
      <c r="B6" s="92"/>
      <c r="C6" s="93"/>
      <c r="D6" s="93"/>
      <c r="E6" s="93"/>
      <c r="F6" s="636"/>
      <c r="G6" s="636"/>
      <c r="H6" s="636"/>
      <c r="I6" s="94"/>
    </row>
    <row r="7" spans="2:9" s="89" customFormat="1" ht="13.9">
      <c r="B7" s="132" t="s">
        <v>16</v>
      </c>
      <c r="C7" s="867" t="s">
        <v>17</v>
      </c>
      <c r="D7" s="867" t="s">
        <v>18</v>
      </c>
      <c r="E7" s="867" t="s">
        <v>19</v>
      </c>
      <c r="F7" s="867" t="s">
        <v>20</v>
      </c>
      <c r="G7" s="868" t="s">
        <v>21</v>
      </c>
      <c r="H7" s="869" t="s">
        <v>22</v>
      </c>
      <c r="I7" s="870" t="s">
        <v>23</v>
      </c>
    </row>
    <row r="8" spans="2:9" s="91" customFormat="1" ht="13.9">
      <c r="B8" s="133" t="s">
        <v>24</v>
      </c>
      <c r="C8" s="675" t="s">
        <v>25</v>
      </c>
      <c r="D8" s="675" t="s">
        <v>26</v>
      </c>
      <c r="E8" s="675" t="s">
        <v>27</v>
      </c>
      <c r="F8" s="675" t="s">
        <v>28</v>
      </c>
      <c r="G8" s="676" t="s">
        <v>29</v>
      </c>
      <c r="H8" s="677" t="s">
        <v>29</v>
      </c>
      <c r="I8" s="678" t="s">
        <v>29</v>
      </c>
    </row>
    <row r="9" spans="2:9" s="90" customFormat="1" ht="59.65" customHeight="1" thickBot="1">
      <c r="B9" s="134" t="s">
        <v>30</v>
      </c>
      <c r="C9" s="871" t="s">
        <v>31</v>
      </c>
      <c r="D9" s="871" t="s">
        <v>31</v>
      </c>
      <c r="E9" s="871" t="s">
        <v>31</v>
      </c>
      <c r="F9" s="871" t="s">
        <v>31</v>
      </c>
      <c r="G9" s="872" t="s">
        <v>32</v>
      </c>
      <c r="H9" s="873" t="s">
        <v>33</v>
      </c>
      <c r="I9" s="874" t="s">
        <v>34</v>
      </c>
    </row>
    <row r="11" spans="2:9">
      <c r="B11" s="716" t="s">
        <v>35</v>
      </c>
      <c r="C11" s="716"/>
      <c r="D11" s="716"/>
      <c r="E11" s="716"/>
      <c r="F11" s="716"/>
      <c r="G11" s="716"/>
      <c r="H11" s="716"/>
      <c r="I11" s="716"/>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sheetPr>
  <dimension ref="A1:J100"/>
  <sheetViews>
    <sheetView zoomScale="60" zoomScaleNormal="60" workbookViewId="0">
      <selection activeCell="P36" sqref="P36"/>
    </sheetView>
  </sheetViews>
  <sheetFormatPr defaultColWidth="9.42578125" defaultRowHeight="13.15"/>
  <cols>
    <col min="1" max="2" width="6.5703125" style="432" customWidth="1"/>
    <col min="3" max="3" width="33.42578125" style="432" customWidth="1"/>
    <col min="4" max="4" width="24.5703125" style="432" customWidth="1"/>
    <col min="5" max="5" width="37" style="432" customWidth="1"/>
    <col min="6" max="7" width="16.42578125" style="432" customWidth="1"/>
    <col min="8" max="9" width="17.42578125" style="432" customWidth="1"/>
    <col min="10" max="10" width="19.42578125" style="432" customWidth="1"/>
    <col min="11" max="16384" width="9.42578125" style="432"/>
  </cols>
  <sheetData>
    <row r="1" spans="1:10" ht="15.6">
      <c r="A1" s="427" t="s">
        <v>1486</v>
      </c>
      <c r="B1" s="428"/>
      <c r="C1" s="429"/>
      <c r="D1" s="430"/>
      <c r="E1" s="429"/>
      <c r="F1" s="431"/>
      <c r="G1" s="431"/>
      <c r="H1" s="431"/>
      <c r="I1" s="431"/>
      <c r="J1" s="431"/>
    </row>
    <row r="2" spans="1:10" ht="15.6">
      <c r="A2" s="181"/>
      <c r="B2" s="438" t="s">
        <v>1303</v>
      </c>
      <c r="C2" s="431"/>
      <c r="D2" s="397" t="str">
        <f>'Schedule 2_Balance Sheet'!C2</f>
        <v>Tufts Associated Health Plans, Inc. (TAHMO)</v>
      </c>
      <c r="E2" s="398"/>
      <c r="F2" s="398"/>
      <c r="G2" s="399"/>
      <c r="H2" s="431"/>
      <c r="I2" s="431"/>
      <c r="J2" s="431"/>
    </row>
    <row r="3" spans="1:10" ht="15.6">
      <c r="A3" s="181"/>
      <c r="B3" s="438" t="s">
        <v>1285</v>
      </c>
      <c r="C3" s="431"/>
      <c r="D3" s="520" t="str">
        <f>'Schedule 2_Balance Sheet'!C3</f>
        <v>01/01/2024 - 12/31/2024</v>
      </c>
      <c r="E3" s="521"/>
      <c r="F3" s="521"/>
      <c r="G3" s="522"/>
      <c r="H3" s="431"/>
      <c r="I3" s="431"/>
      <c r="J3" s="431"/>
    </row>
    <row r="4" spans="1:10" ht="15.6">
      <c r="A4" s="181"/>
      <c r="B4" s="438" t="s">
        <v>1306</v>
      </c>
      <c r="C4" s="431"/>
      <c r="D4" s="401">
        <f>'Schedule 2_Balance Sheet'!C4</f>
        <v>45657</v>
      </c>
      <c r="E4" s="398"/>
      <c r="F4" s="398"/>
      <c r="G4" s="399"/>
      <c r="H4" s="431"/>
      <c r="I4" s="431"/>
      <c r="J4" s="431"/>
    </row>
    <row r="5" spans="1:10" ht="15.6">
      <c r="A5" s="181"/>
      <c r="B5" s="438" t="s">
        <v>1307</v>
      </c>
      <c r="C5" s="431"/>
      <c r="D5" s="397" t="str">
        <f>'Schedule 2_Balance Sheet'!C5</f>
        <v>Roshni Parikh</v>
      </c>
      <c r="E5" s="398"/>
      <c r="F5" s="398"/>
      <c r="G5" s="399"/>
      <c r="H5" s="431"/>
      <c r="I5" s="431"/>
      <c r="J5" s="431"/>
    </row>
    <row r="6" spans="1:10" ht="15.6">
      <c r="A6" s="181"/>
      <c r="B6" s="438" t="s">
        <v>1288</v>
      </c>
      <c r="C6" s="431"/>
      <c r="D6" s="401">
        <f>'Schedule 2_Balance Sheet'!C6</f>
        <v>45657</v>
      </c>
      <c r="E6" s="398"/>
      <c r="F6" s="398"/>
      <c r="G6" s="399"/>
      <c r="H6" s="431"/>
      <c r="I6" s="431"/>
      <c r="J6" s="431"/>
    </row>
    <row r="7" spans="1:10" ht="15.6">
      <c r="A7" s="433"/>
      <c r="B7" s="179" t="s">
        <v>1289</v>
      </c>
      <c r="C7" s="431"/>
      <c r="D7" s="431"/>
      <c r="E7" s="431"/>
      <c r="F7" s="431"/>
      <c r="G7" s="431"/>
      <c r="H7" s="431"/>
      <c r="I7" s="431"/>
      <c r="J7" s="431"/>
    </row>
    <row r="8" spans="1:10" ht="27" thickBot="1">
      <c r="A8" s="620" t="s">
        <v>1326</v>
      </c>
      <c r="B8" s="620" t="s">
        <v>1487</v>
      </c>
      <c r="C8" s="620" t="s">
        <v>1488</v>
      </c>
      <c r="D8" s="620" t="s">
        <v>1489</v>
      </c>
      <c r="E8" s="620" t="s">
        <v>1490</v>
      </c>
      <c r="F8" s="620" t="s">
        <v>404</v>
      </c>
      <c r="G8" s="620" t="s">
        <v>1491</v>
      </c>
      <c r="H8" s="620" t="s">
        <v>411</v>
      </c>
      <c r="I8" s="620" t="s">
        <v>1292</v>
      </c>
      <c r="J8" s="620" t="s">
        <v>1492</v>
      </c>
    </row>
    <row r="9" spans="1:10">
      <c r="A9" s="434">
        <v>1</v>
      </c>
      <c r="B9" s="953"/>
      <c r="C9" s="954"/>
      <c r="D9" s="954"/>
      <c r="E9" s="441"/>
      <c r="F9" s="448"/>
      <c r="G9" s="448"/>
      <c r="H9" s="448"/>
      <c r="I9" s="448"/>
      <c r="J9" s="955">
        <f t="shared" ref="J9:J72" si="0">SUM(F9:I9)</f>
        <v>0</v>
      </c>
    </row>
    <row r="10" spans="1:10">
      <c r="A10" s="435">
        <v>2</v>
      </c>
      <c r="B10" s="442"/>
      <c r="C10" s="443"/>
      <c r="D10" s="443"/>
      <c r="E10" s="444"/>
      <c r="F10" s="449"/>
      <c r="G10" s="449"/>
      <c r="H10" s="449"/>
      <c r="I10" s="449"/>
      <c r="J10" s="439">
        <f t="shared" si="0"/>
        <v>0</v>
      </c>
    </row>
    <row r="11" spans="1:10">
      <c r="A11" s="435">
        <v>3</v>
      </c>
      <c r="B11" s="442"/>
      <c r="C11" s="443"/>
      <c r="D11" s="443"/>
      <c r="E11" s="444"/>
      <c r="F11" s="449"/>
      <c r="G11" s="449"/>
      <c r="H11" s="449"/>
      <c r="I11" s="449"/>
      <c r="J11" s="439">
        <f t="shared" si="0"/>
        <v>0</v>
      </c>
    </row>
    <row r="12" spans="1:10">
      <c r="A12" s="435">
        <v>4</v>
      </c>
      <c r="B12" s="442"/>
      <c r="C12" s="443"/>
      <c r="D12" s="443"/>
      <c r="E12" s="444"/>
      <c r="F12" s="449"/>
      <c r="G12" s="449"/>
      <c r="H12" s="449"/>
      <c r="I12" s="449"/>
      <c r="J12" s="439">
        <f t="shared" si="0"/>
        <v>0</v>
      </c>
    </row>
    <row r="13" spans="1:10">
      <c r="A13" s="435">
        <v>5</v>
      </c>
      <c r="B13" s="442"/>
      <c r="C13" s="443"/>
      <c r="D13" s="443"/>
      <c r="E13" s="444"/>
      <c r="F13" s="449"/>
      <c r="G13" s="449"/>
      <c r="H13" s="449"/>
      <c r="I13" s="449"/>
      <c r="J13" s="439">
        <f t="shared" si="0"/>
        <v>0</v>
      </c>
    </row>
    <row r="14" spans="1:10">
      <c r="A14" s="435">
        <v>6</v>
      </c>
      <c r="B14" s="442"/>
      <c r="C14" s="443"/>
      <c r="D14" s="443"/>
      <c r="E14" s="444"/>
      <c r="F14" s="449"/>
      <c r="G14" s="449"/>
      <c r="H14" s="449"/>
      <c r="I14" s="449"/>
      <c r="J14" s="439">
        <f t="shared" si="0"/>
        <v>0</v>
      </c>
    </row>
    <row r="15" spans="1:10">
      <c r="A15" s="435">
        <v>7</v>
      </c>
      <c r="B15" s="442"/>
      <c r="C15" s="443"/>
      <c r="D15" s="443"/>
      <c r="E15" s="444"/>
      <c r="F15" s="449"/>
      <c r="G15" s="449"/>
      <c r="H15" s="449"/>
      <c r="I15" s="449"/>
      <c r="J15" s="439">
        <f t="shared" si="0"/>
        <v>0</v>
      </c>
    </row>
    <row r="16" spans="1:10">
      <c r="A16" s="435">
        <v>8</v>
      </c>
      <c r="B16" s="442"/>
      <c r="C16" s="443"/>
      <c r="D16" s="443"/>
      <c r="E16" s="444"/>
      <c r="F16" s="449"/>
      <c r="G16" s="449"/>
      <c r="H16" s="449"/>
      <c r="I16" s="449"/>
      <c r="J16" s="439">
        <f t="shared" si="0"/>
        <v>0</v>
      </c>
    </row>
    <row r="17" spans="1:10">
      <c r="A17" s="435">
        <v>9</v>
      </c>
      <c r="B17" s="442"/>
      <c r="C17" s="443"/>
      <c r="D17" s="443"/>
      <c r="E17" s="444"/>
      <c r="F17" s="449"/>
      <c r="G17" s="449"/>
      <c r="H17" s="449"/>
      <c r="I17" s="449"/>
      <c r="J17" s="439">
        <f t="shared" si="0"/>
        <v>0</v>
      </c>
    </row>
    <row r="18" spans="1:10">
      <c r="A18" s="435">
        <v>10</v>
      </c>
      <c r="B18" s="442"/>
      <c r="C18" s="443"/>
      <c r="D18" s="443"/>
      <c r="E18" s="444"/>
      <c r="F18" s="449"/>
      <c r="G18" s="449"/>
      <c r="H18" s="449"/>
      <c r="I18" s="449"/>
      <c r="J18" s="439">
        <f t="shared" si="0"/>
        <v>0</v>
      </c>
    </row>
    <row r="19" spans="1:10">
      <c r="A19" s="435">
        <v>11</v>
      </c>
      <c r="B19" s="442"/>
      <c r="C19" s="443"/>
      <c r="D19" s="443"/>
      <c r="E19" s="444"/>
      <c r="F19" s="449"/>
      <c r="G19" s="449"/>
      <c r="H19" s="449"/>
      <c r="I19" s="449"/>
      <c r="J19" s="439">
        <f t="shared" si="0"/>
        <v>0</v>
      </c>
    </row>
    <row r="20" spans="1:10">
      <c r="A20" s="435">
        <v>12</v>
      </c>
      <c r="B20" s="442"/>
      <c r="C20" s="443"/>
      <c r="D20" s="443"/>
      <c r="E20" s="444"/>
      <c r="F20" s="449"/>
      <c r="G20" s="449"/>
      <c r="H20" s="449"/>
      <c r="I20" s="449"/>
      <c r="J20" s="439">
        <f t="shared" si="0"/>
        <v>0</v>
      </c>
    </row>
    <row r="21" spans="1:10">
      <c r="A21" s="435">
        <v>13</v>
      </c>
      <c r="B21" s="442"/>
      <c r="C21" s="443"/>
      <c r="D21" s="443"/>
      <c r="E21" s="444"/>
      <c r="F21" s="449"/>
      <c r="G21" s="449"/>
      <c r="H21" s="449"/>
      <c r="I21" s="449"/>
      <c r="J21" s="439">
        <f t="shared" si="0"/>
        <v>0</v>
      </c>
    </row>
    <row r="22" spans="1:10">
      <c r="A22" s="435">
        <v>14</v>
      </c>
      <c r="B22" s="442"/>
      <c r="C22" s="443"/>
      <c r="D22" s="443"/>
      <c r="E22" s="444"/>
      <c r="F22" s="449"/>
      <c r="G22" s="449"/>
      <c r="H22" s="449"/>
      <c r="I22" s="449"/>
      <c r="J22" s="439">
        <f t="shared" si="0"/>
        <v>0</v>
      </c>
    </row>
    <row r="23" spans="1:10">
      <c r="A23" s="435">
        <v>15</v>
      </c>
      <c r="B23" s="442"/>
      <c r="C23" s="443"/>
      <c r="D23" s="443"/>
      <c r="E23" s="444"/>
      <c r="F23" s="449"/>
      <c r="G23" s="449"/>
      <c r="H23" s="449"/>
      <c r="I23" s="449"/>
      <c r="J23" s="439">
        <f t="shared" si="0"/>
        <v>0</v>
      </c>
    </row>
    <row r="24" spans="1:10">
      <c r="A24" s="435">
        <v>16</v>
      </c>
      <c r="B24" s="442"/>
      <c r="C24" s="443"/>
      <c r="D24" s="443"/>
      <c r="E24" s="444"/>
      <c r="F24" s="449"/>
      <c r="G24" s="449"/>
      <c r="H24" s="449"/>
      <c r="I24" s="449"/>
      <c r="J24" s="439">
        <f t="shared" si="0"/>
        <v>0</v>
      </c>
    </row>
    <row r="25" spans="1:10">
      <c r="A25" s="435">
        <v>17</v>
      </c>
      <c r="B25" s="442"/>
      <c r="C25" s="443"/>
      <c r="D25" s="443"/>
      <c r="E25" s="444"/>
      <c r="F25" s="449"/>
      <c r="G25" s="449"/>
      <c r="H25" s="449"/>
      <c r="I25" s="449"/>
      <c r="J25" s="439">
        <f t="shared" si="0"/>
        <v>0</v>
      </c>
    </row>
    <row r="26" spans="1:10">
      <c r="A26" s="435">
        <v>18</v>
      </c>
      <c r="B26" s="442"/>
      <c r="C26" s="443"/>
      <c r="D26" s="443"/>
      <c r="E26" s="444"/>
      <c r="F26" s="449"/>
      <c r="G26" s="449"/>
      <c r="H26" s="449"/>
      <c r="I26" s="449"/>
      <c r="J26" s="439">
        <f t="shared" si="0"/>
        <v>0</v>
      </c>
    </row>
    <row r="27" spans="1:10">
      <c r="A27" s="435">
        <v>19</v>
      </c>
      <c r="B27" s="442"/>
      <c r="C27" s="443"/>
      <c r="D27" s="443"/>
      <c r="E27" s="444"/>
      <c r="F27" s="449"/>
      <c r="G27" s="449"/>
      <c r="H27" s="449"/>
      <c r="I27" s="449"/>
      <c r="J27" s="439">
        <f t="shared" si="0"/>
        <v>0</v>
      </c>
    </row>
    <row r="28" spans="1:10">
      <c r="A28" s="435">
        <v>20</v>
      </c>
      <c r="B28" s="442"/>
      <c r="C28" s="443"/>
      <c r="D28" s="443"/>
      <c r="E28" s="444"/>
      <c r="F28" s="449"/>
      <c r="G28" s="449"/>
      <c r="H28" s="449"/>
      <c r="I28" s="449"/>
      <c r="J28" s="439">
        <f t="shared" si="0"/>
        <v>0</v>
      </c>
    </row>
    <row r="29" spans="1:10">
      <c r="A29" s="435">
        <v>21</v>
      </c>
      <c r="B29" s="442"/>
      <c r="C29" s="443"/>
      <c r="D29" s="443"/>
      <c r="E29" s="444"/>
      <c r="F29" s="449"/>
      <c r="G29" s="449"/>
      <c r="H29" s="449"/>
      <c r="I29" s="449"/>
      <c r="J29" s="439">
        <f t="shared" si="0"/>
        <v>0</v>
      </c>
    </row>
    <row r="30" spans="1:10">
      <c r="A30" s="435">
        <v>22</v>
      </c>
      <c r="B30" s="442"/>
      <c r="C30" s="443"/>
      <c r="D30" s="443"/>
      <c r="E30" s="444"/>
      <c r="F30" s="449"/>
      <c r="G30" s="449"/>
      <c r="H30" s="449"/>
      <c r="I30" s="449"/>
      <c r="J30" s="439">
        <f t="shared" si="0"/>
        <v>0</v>
      </c>
    </row>
    <row r="31" spans="1:10">
      <c r="A31" s="435">
        <v>23</v>
      </c>
      <c r="B31" s="442"/>
      <c r="C31" s="443"/>
      <c r="D31" s="443"/>
      <c r="E31" s="444"/>
      <c r="F31" s="449"/>
      <c r="G31" s="449"/>
      <c r="H31" s="449"/>
      <c r="I31" s="449"/>
      <c r="J31" s="439">
        <f t="shared" si="0"/>
        <v>0</v>
      </c>
    </row>
    <row r="32" spans="1:10">
      <c r="A32" s="435">
        <v>24</v>
      </c>
      <c r="B32" s="442"/>
      <c r="C32" s="443"/>
      <c r="D32" s="443"/>
      <c r="E32" s="444"/>
      <c r="F32" s="449"/>
      <c r="G32" s="449"/>
      <c r="H32" s="449"/>
      <c r="I32" s="449"/>
      <c r="J32" s="439">
        <f t="shared" si="0"/>
        <v>0</v>
      </c>
    </row>
    <row r="33" spans="1:10">
      <c r="A33" s="435">
        <v>25</v>
      </c>
      <c r="B33" s="442"/>
      <c r="C33" s="443"/>
      <c r="D33" s="443"/>
      <c r="E33" s="444"/>
      <c r="F33" s="449"/>
      <c r="G33" s="449"/>
      <c r="H33" s="449"/>
      <c r="I33" s="449"/>
      <c r="J33" s="439">
        <f t="shared" si="0"/>
        <v>0</v>
      </c>
    </row>
    <row r="34" spans="1:10">
      <c r="A34" s="435">
        <v>26</v>
      </c>
      <c r="B34" s="442"/>
      <c r="C34" s="443"/>
      <c r="D34" s="443"/>
      <c r="E34" s="444"/>
      <c r="F34" s="449"/>
      <c r="G34" s="449"/>
      <c r="H34" s="449"/>
      <c r="I34" s="449"/>
      <c r="J34" s="439">
        <f t="shared" si="0"/>
        <v>0</v>
      </c>
    </row>
    <row r="35" spans="1:10">
      <c r="A35" s="435">
        <v>27</v>
      </c>
      <c r="B35" s="442"/>
      <c r="C35" s="443"/>
      <c r="D35" s="443"/>
      <c r="E35" s="444"/>
      <c r="F35" s="449"/>
      <c r="G35" s="449"/>
      <c r="H35" s="449"/>
      <c r="I35" s="449"/>
      <c r="J35" s="439">
        <f t="shared" si="0"/>
        <v>0</v>
      </c>
    </row>
    <row r="36" spans="1:10">
      <c r="A36" s="435">
        <v>28</v>
      </c>
      <c r="B36" s="442"/>
      <c r="C36" s="443"/>
      <c r="D36" s="443"/>
      <c r="E36" s="444"/>
      <c r="F36" s="449"/>
      <c r="G36" s="449"/>
      <c r="H36" s="449"/>
      <c r="I36" s="449"/>
      <c r="J36" s="439">
        <f t="shared" si="0"/>
        <v>0</v>
      </c>
    </row>
    <row r="37" spans="1:10">
      <c r="A37" s="435">
        <v>29</v>
      </c>
      <c r="B37" s="442"/>
      <c r="C37" s="443"/>
      <c r="D37" s="443"/>
      <c r="E37" s="444"/>
      <c r="F37" s="449"/>
      <c r="G37" s="449"/>
      <c r="H37" s="449"/>
      <c r="I37" s="449"/>
      <c r="J37" s="439">
        <f t="shared" si="0"/>
        <v>0</v>
      </c>
    </row>
    <row r="38" spans="1:10">
      <c r="A38" s="435">
        <v>30</v>
      </c>
      <c r="B38" s="442"/>
      <c r="C38" s="443"/>
      <c r="D38" s="443"/>
      <c r="E38" s="444"/>
      <c r="F38" s="449"/>
      <c r="G38" s="449"/>
      <c r="H38" s="449"/>
      <c r="I38" s="449"/>
      <c r="J38" s="439">
        <f t="shared" si="0"/>
        <v>0</v>
      </c>
    </row>
    <row r="39" spans="1:10">
      <c r="A39" s="435">
        <v>31</v>
      </c>
      <c r="B39" s="442"/>
      <c r="C39" s="443"/>
      <c r="D39" s="443"/>
      <c r="E39" s="444"/>
      <c r="F39" s="449"/>
      <c r="G39" s="449"/>
      <c r="H39" s="449"/>
      <c r="I39" s="449"/>
      <c r="J39" s="439">
        <f t="shared" si="0"/>
        <v>0</v>
      </c>
    </row>
    <row r="40" spans="1:10">
      <c r="A40" s="435">
        <v>32</v>
      </c>
      <c r="B40" s="442"/>
      <c r="C40" s="443"/>
      <c r="D40" s="443"/>
      <c r="E40" s="444"/>
      <c r="F40" s="449"/>
      <c r="G40" s="449"/>
      <c r="H40" s="449"/>
      <c r="I40" s="449"/>
      <c r="J40" s="439">
        <f t="shared" si="0"/>
        <v>0</v>
      </c>
    </row>
    <row r="41" spans="1:10">
      <c r="A41" s="435">
        <v>33</v>
      </c>
      <c r="B41" s="442"/>
      <c r="C41" s="443"/>
      <c r="D41" s="443"/>
      <c r="E41" s="444"/>
      <c r="F41" s="449"/>
      <c r="G41" s="449"/>
      <c r="H41" s="449"/>
      <c r="I41" s="449"/>
      <c r="J41" s="439">
        <f t="shared" si="0"/>
        <v>0</v>
      </c>
    </row>
    <row r="42" spans="1:10">
      <c r="A42" s="435">
        <v>34</v>
      </c>
      <c r="B42" s="442"/>
      <c r="C42" s="443"/>
      <c r="D42" s="443"/>
      <c r="E42" s="444"/>
      <c r="F42" s="449"/>
      <c r="G42" s="449"/>
      <c r="H42" s="449"/>
      <c r="I42" s="449"/>
      <c r="J42" s="439">
        <f t="shared" si="0"/>
        <v>0</v>
      </c>
    </row>
    <row r="43" spans="1:10">
      <c r="A43" s="435">
        <v>35</v>
      </c>
      <c r="B43" s="442"/>
      <c r="C43" s="443"/>
      <c r="D43" s="443"/>
      <c r="E43" s="444"/>
      <c r="F43" s="449"/>
      <c r="G43" s="449"/>
      <c r="H43" s="449"/>
      <c r="I43" s="449"/>
      <c r="J43" s="439">
        <f t="shared" si="0"/>
        <v>0</v>
      </c>
    </row>
    <row r="44" spans="1:10">
      <c r="A44" s="435">
        <v>36</v>
      </c>
      <c r="B44" s="442"/>
      <c r="C44" s="443"/>
      <c r="D44" s="443"/>
      <c r="E44" s="444"/>
      <c r="F44" s="449"/>
      <c r="G44" s="449"/>
      <c r="H44" s="449"/>
      <c r="I44" s="449"/>
      <c r="J44" s="439">
        <f t="shared" si="0"/>
        <v>0</v>
      </c>
    </row>
    <row r="45" spans="1:10">
      <c r="A45" s="435">
        <v>37</v>
      </c>
      <c r="B45" s="442"/>
      <c r="C45" s="443"/>
      <c r="D45" s="443"/>
      <c r="E45" s="444"/>
      <c r="F45" s="449"/>
      <c r="G45" s="449"/>
      <c r="H45" s="449"/>
      <c r="I45" s="449"/>
      <c r="J45" s="439">
        <f t="shared" si="0"/>
        <v>0</v>
      </c>
    </row>
    <row r="46" spans="1:10">
      <c r="A46" s="435">
        <v>38</v>
      </c>
      <c r="B46" s="442"/>
      <c r="C46" s="443"/>
      <c r="D46" s="443"/>
      <c r="E46" s="444"/>
      <c r="F46" s="449"/>
      <c r="G46" s="449"/>
      <c r="H46" s="449"/>
      <c r="I46" s="449"/>
      <c r="J46" s="439">
        <f t="shared" si="0"/>
        <v>0</v>
      </c>
    </row>
    <row r="47" spans="1:10">
      <c r="A47" s="435">
        <v>39</v>
      </c>
      <c r="B47" s="442"/>
      <c r="C47" s="443"/>
      <c r="D47" s="443"/>
      <c r="E47" s="444"/>
      <c r="F47" s="449"/>
      <c r="G47" s="449"/>
      <c r="H47" s="449"/>
      <c r="I47" s="449"/>
      <c r="J47" s="439">
        <f t="shared" si="0"/>
        <v>0</v>
      </c>
    </row>
    <row r="48" spans="1:10">
      <c r="A48" s="435">
        <v>40</v>
      </c>
      <c r="B48" s="442"/>
      <c r="C48" s="443"/>
      <c r="D48" s="443"/>
      <c r="E48" s="444"/>
      <c r="F48" s="449"/>
      <c r="G48" s="449"/>
      <c r="H48" s="449"/>
      <c r="I48" s="449"/>
      <c r="J48" s="439">
        <f t="shared" si="0"/>
        <v>0</v>
      </c>
    </row>
    <row r="49" spans="1:10">
      <c r="A49" s="435">
        <v>41</v>
      </c>
      <c r="B49" s="442"/>
      <c r="C49" s="443"/>
      <c r="D49" s="443"/>
      <c r="E49" s="444"/>
      <c r="F49" s="449"/>
      <c r="G49" s="449"/>
      <c r="H49" s="449"/>
      <c r="I49" s="449"/>
      <c r="J49" s="439">
        <f t="shared" si="0"/>
        <v>0</v>
      </c>
    </row>
    <row r="50" spans="1:10">
      <c r="A50" s="435">
        <v>42</v>
      </c>
      <c r="B50" s="442"/>
      <c r="C50" s="443"/>
      <c r="D50" s="443"/>
      <c r="E50" s="444"/>
      <c r="F50" s="449"/>
      <c r="G50" s="449"/>
      <c r="H50" s="449"/>
      <c r="I50" s="449"/>
      <c r="J50" s="439">
        <f t="shared" si="0"/>
        <v>0</v>
      </c>
    </row>
    <row r="51" spans="1:10">
      <c r="A51" s="435">
        <v>43</v>
      </c>
      <c r="B51" s="442"/>
      <c r="C51" s="443"/>
      <c r="D51" s="443"/>
      <c r="E51" s="444"/>
      <c r="F51" s="449"/>
      <c r="G51" s="449"/>
      <c r="H51" s="449"/>
      <c r="I51" s="449"/>
      <c r="J51" s="439">
        <f t="shared" si="0"/>
        <v>0</v>
      </c>
    </row>
    <row r="52" spans="1:10">
      <c r="A52" s="435">
        <v>44</v>
      </c>
      <c r="B52" s="442"/>
      <c r="C52" s="443"/>
      <c r="D52" s="443"/>
      <c r="E52" s="444"/>
      <c r="F52" s="449"/>
      <c r="G52" s="449"/>
      <c r="H52" s="449"/>
      <c r="I52" s="449"/>
      <c r="J52" s="439">
        <f t="shared" si="0"/>
        <v>0</v>
      </c>
    </row>
    <row r="53" spans="1:10">
      <c r="A53" s="435">
        <v>45</v>
      </c>
      <c r="B53" s="442"/>
      <c r="C53" s="443"/>
      <c r="D53" s="443"/>
      <c r="E53" s="444"/>
      <c r="F53" s="449"/>
      <c r="G53" s="449"/>
      <c r="H53" s="449"/>
      <c r="I53" s="449"/>
      <c r="J53" s="439">
        <f t="shared" si="0"/>
        <v>0</v>
      </c>
    </row>
    <row r="54" spans="1:10">
      <c r="A54" s="435">
        <v>46</v>
      </c>
      <c r="B54" s="442"/>
      <c r="C54" s="443"/>
      <c r="D54" s="443"/>
      <c r="E54" s="444"/>
      <c r="F54" s="449"/>
      <c r="G54" s="449"/>
      <c r="H54" s="449"/>
      <c r="I54" s="449"/>
      <c r="J54" s="439">
        <f t="shared" si="0"/>
        <v>0</v>
      </c>
    </row>
    <row r="55" spans="1:10">
      <c r="A55" s="435">
        <v>47</v>
      </c>
      <c r="B55" s="442"/>
      <c r="C55" s="443"/>
      <c r="D55" s="443"/>
      <c r="E55" s="444"/>
      <c r="F55" s="449"/>
      <c r="G55" s="449"/>
      <c r="H55" s="449"/>
      <c r="I55" s="449"/>
      <c r="J55" s="439">
        <f t="shared" si="0"/>
        <v>0</v>
      </c>
    </row>
    <row r="56" spans="1:10">
      <c r="A56" s="435">
        <v>48</v>
      </c>
      <c r="B56" s="442"/>
      <c r="C56" s="443"/>
      <c r="D56" s="443"/>
      <c r="E56" s="444"/>
      <c r="F56" s="449"/>
      <c r="G56" s="449"/>
      <c r="H56" s="449"/>
      <c r="I56" s="449"/>
      <c r="J56" s="439">
        <f t="shared" si="0"/>
        <v>0</v>
      </c>
    </row>
    <row r="57" spans="1:10">
      <c r="A57" s="435">
        <v>49</v>
      </c>
      <c r="B57" s="442"/>
      <c r="C57" s="443"/>
      <c r="D57" s="443"/>
      <c r="E57" s="444"/>
      <c r="F57" s="449"/>
      <c r="G57" s="449"/>
      <c r="H57" s="449"/>
      <c r="I57" s="449"/>
      <c r="J57" s="439">
        <f t="shared" si="0"/>
        <v>0</v>
      </c>
    </row>
    <row r="58" spans="1:10">
      <c r="A58" s="435">
        <v>50</v>
      </c>
      <c r="B58" s="442"/>
      <c r="C58" s="443"/>
      <c r="D58" s="443"/>
      <c r="E58" s="444"/>
      <c r="F58" s="449"/>
      <c r="G58" s="449"/>
      <c r="H58" s="449"/>
      <c r="I58" s="449"/>
      <c r="J58" s="439">
        <f t="shared" si="0"/>
        <v>0</v>
      </c>
    </row>
    <row r="59" spans="1:10">
      <c r="A59" s="435">
        <v>51</v>
      </c>
      <c r="B59" s="442"/>
      <c r="C59" s="443"/>
      <c r="D59" s="443"/>
      <c r="E59" s="444"/>
      <c r="F59" s="449"/>
      <c r="G59" s="449"/>
      <c r="H59" s="449"/>
      <c r="I59" s="449"/>
      <c r="J59" s="439">
        <f t="shared" si="0"/>
        <v>0</v>
      </c>
    </row>
    <row r="60" spans="1:10">
      <c r="A60" s="435">
        <v>52</v>
      </c>
      <c r="B60" s="442"/>
      <c r="C60" s="443"/>
      <c r="D60" s="443"/>
      <c r="E60" s="444"/>
      <c r="F60" s="449"/>
      <c r="G60" s="449"/>
      <c r="H60" s="449"/>
      <c r="I60" s="449"/>
      <c r="J60" s="439">
        <f t="shared" si="0"/>
        <v>0</v>
      </c>
    </row>
    <row r="61" spans="1:10">
      <c r="A61" s="435">
        <v>53</v>
      </c>
      <c r="B61" s="442"/>
      <c r="C61" s="443"/>
      <c r="D61" s="443"/>
      <c r="E61" s="444"/>
      <c r="F61" s="449"/>
      <c r="G61" s="449"/>
      <c r="H61" s="449"/>
      <c r="I61" s="449"/>
      <c r="J61" s="439">
        <f t="shared" si="0"/>
        <v>0</v>
      </c>
    </row>
    <row r="62" spans="1:10">
      <c r="A62" s="435">
        <v>54</v>
      </c>
      <c r="B62" s="442"/>
      <c r="C62" s="443"/>
      <c r="D62" s="443"/>
      <c r="E62" s="444"/>
      <c r="F62" s="449"/>
      <c r="G62" s="449"/>
      <c r="H62" s="449"/>
      <c r="I62" s="449"/>
      <c r="J62" s="439">
        <f t="shared" si="0"/>
        <v>0</v>
      </c>
    </row>
    <row r="63" spans="1:10">
      <c r="A63" s="435">
        <v>55</v>
      </c>
      <c r="B63" s="442"/>
      <c r="C63" s="443"/>
      <c r="D63" s="443"/>
      <c r="E63" s="444"/>
      <c r="F63" s="449"/>
      <c r="G63" s="449"/>
      <c r="H63" s="449"/>
      <c r="I63" s="449"/>
      <c r="J63" s="439">
        <f t="shared" si="0"/>
        <v>0</v>
      </c>
    </row>
    <row r="64" spans="1:10">
      <c r="A64" s="435">
        <v>56</v>
      </c>
      <c r="B64" s="442"/>
      <c r="C64" s="443"/>
      <c r="D64" s="443"/>
      <c r="E64" s="444"/>
      <c r="F64" s="449"/>
      <c r="G64" s="449"/>
      <c r="H64" s="449"/>
      <c r="I64" s="449"/>
      <c r="J64" s="439">
        <f t="shared" si="0"/>
        <v>0</v>
      </c>
    </row>
    <row r="65" spans="1:10">
      <c r="A65" s="435">
        <v>57</v>
      </c>
      <c r="B65" s="442"/>
      <c r="C65" s="443"/>
      <c r="D65" s="443"/>
      <c r="E65" s="444"/>
      <c r="F65" s="449"/>
      <c r="G65" s="449"/>
      <c r="H65" s="449"/>
      <c r="I65" s="449"/>
      <c r="J65" s="439">
        <f t="shared" si="0"/>
        <v>0</v>
      </c>
    </row>
    <row r="66" spans="1:10">
      <c r="A66" s="435">
        <v>58</v>
      </c>
      <c r="B66" s="442"/>
      <c r="C66" s="443"/>
      <c r="D66" s="443"/>
      <c r="E66" s="444"/>
      <c r="F66" s="449"/>
      <c r="G66" s="449"/>
      <c r="H66" s="449"/>
      <c r="I66" s="449"/>
      <c r="J66" s="439">
        <f t="shared" si="0"/>
        <v>0</v>
      </c>
    </row>
    <row r="67" spans="1:10">
      <c r="A67" s="435">
        <v>59</v>
      </c>
      <c r="B67" s="442"/>
      <c r="C67" s="443"/>
      <c r="D67" s="443"/>
      <c r="E67" s="444"/>
      <c r="F67" s="449"/>
      <c r="G67" s="449"/>
      <c r="H67" s="449"/>
      <c r="I67" s="449"/>
      <c r="J67" s="439">
        <f t="shared" si="0"/>
        <v>0</v>
      </c>
    </row>
    <row r="68" spans="1:10">
      <c r="A68" s="435">
        <v>60</v>
      </c>
      <c r="B68" s="442"/>
      <c r="C68" s="443"/>
      <c r="D68" s="443"/>
      <c r="E68" s="444"/>
      <c r="F68" s="449"/>
      <c r="G68" s="449"/>
      <c r="H68" s="449"/>
      <c r="I68" s="449"/>
      <c r="J68" s="439">
        <f t="shared" si="0"/>
        <v>0</v>
      </c>
    </row>
    <row r="69" spans="1:10">
      <c r="A69" s="435">
        <v>61</v>
      </c>
      <c r="B69" s="442"/>
      <c r="C69" s="443"/>
      <c r="D69" s="443"/>
      <c r="E69" s="444"/>
      <c r="F69" s="449"/>
      <c r="G69" s="449"/>
      <c r="H69" s="449"/>
      <c r="I69" s="449"/>
      <c r="J69" s="439">
        <f t="shared" si="0"/>
        <v>0</v>
      </c>
    </row>
    <row r="70" spans="1:10">
      <c r="A70" s="435">
        <v>62</v>
      </c>
      <c r="B70" s="442"/>
      <c r="C70" s="443"/>
      <c r="D70" s="443"/>
      <c r="E70" s="444"/>
      <c r="F70" s="449"/>
      <c r="G70" s="449"/>
      <c r="H70" s="449"/>
      <c r="I70" s="449"/>
      <c r="J70" s="439">
        <f t="shared" si="0"/>
        <v>0</v>
      </c>
    </row>
    <row r="71" spans="1:10">
      <c r="A71" s="435">
        <v>63</v>
      </c>
      <c r="B71" s="442"/>
      <c r="C71" s="443"/>
      <c r="D71" s="443"/>
      <c r="E71" s="444"/>
      <c r="F71" s="449"/>
      <c r="G71" s="449"/>
      <c r="H71" s="449"/>
      <c r="I71" s="449"/>
      <c r="J71" s="439">
        <f t="shared" si="0"/>
        <v>0</v>
      </c>
    </row>
    <row r="72" spans="1:10">
      <c r="A72" s="435">
        <v>64</v>
      </c>
      <c r="B72" s="442"/>
      <c r="C72" s="443"/>
      <c r="D72" s="443"/>
      <c r="E72" s="444"/>
      <c r="F72" s="449"/>
      <c r="G72" s="449"/>
      <c r="H72" s="449"/>
      <c r="I72" s="449"/>
      <c r="J72" s="439">
        <f t="shared" si="0"/>
        <v>0</v>
      </c>
    </row>
    <row r="73" spans="1:10">
      <c r="A73" s="435">
        <v>65</v>
      </c>
      <c r="B73" s="442"/>
      <c r="C73" s="443"/>
      <c r="D73" s="443"/>
      <c r="E73" s="444"/>
      <c r="F73" s="449"/>
      <c r="G73" s="449"/>
      <c r="H73" s="449"/>
      <c r="I73" s="449"/>
      <c r="J73" s="439">
        <f t="shared" ref="J73:J98" si="1">SUM(F73:I73)</f>
        <v>0</v>
      </c>
    </row>
    <row r="74" spans="1:10">
      <c r="A74" s="435">
        <v>66</v>
      </c>
      <c r="B74" s="442"/>
      <c r="C74" s="443"/>
      <c r="D74" s="443"/>
      <c r="E74" s="444"/>
      <c r="F74" s="449"/>
      <c r="G74" s="449"/>
      <c r="H74" s="449"/>
      <c r="I74" s="449"/>
      <c r="J74" s="439">
        <f t="shared" si="1"/>
        <v>0</v>
      </c>
    </row>
    <row r="75" spans="1:10">
      <c r="A75" s="435">
        <v>67</v>
      </c>
      <c r="B75" s="442"/>
      <c r="C75" s="443"/>
      <c r="D75" s="443"/>
      <c r="E75" s="444"/>
      <c r="F75" s="449"/>
      <c r="G75" s="449"/>
      <c r="H75" s="449"/>
      <c r="I75" s="449"/>
      <c r="J75" s="439">
        <f t="shared" si="1"/>
        <v>0</v>
      </c>
    </row>
    <row r="76" spans="1:10">
      <c r="A76" s="435">
        <v>68</v>
      </c>
      <c r="B76" s="442"/>
      <c r="C76" s="443"/>
      <c r="D76" s="443"/>
      <c r="E76" s="444"/>
      <c r="F76" s="449"/>
      <c r="G76" s="449"/>
      <c r="H76" s="449"/>
      <c r="I76" s="449"/>
      <c r="J76" s="439">
        <f t="shared" si="1"/>
        <v>0</v>
      </c>
    </row>
    <row r="77" spans="1:10">
      <c r="A77" s="435">
        <v>69</v>
      </c>
      <c r="B77" s="442"/>
      <c r="C77" s="443"/>
      <c r="D77" s="443"/>
      <c r="E77" s="444"/>
      <c r="F77" s="449"/>
      <c r="G77" s="449"/>
      <c r="H77" s="449"/>
      <c r="I77" s="449"/>
      <c r="J77" s="439">
        <f t="shared" si="1"/>
        <v>0</v>
      </c>
    </row>
    <row r="78" spans="1:10">
      <c r="A78" s="435">
        <v>70</v>
      </c>
      <c r="B78" s="442"/>
      <c r="C78" s="443"/>
      <c r="D78" s="443"/>
      <c r="E78" s="444"/>
      <c r="F78" s="449"/>
      <c r="G78" s="449"/>
      <c r="H78" s="449"/>
      <c r="I78" s="449"/>
      <c r="J78" s="439">
        <f t="shared" si="1"/>
        <v>0</v>
      </c>
    </row>
    <row r="79" spans="1:10">
      <c r="A79" s="435">
        <v>71</v>
      </c>
      <c r="B79" s="442"/>
      <c r="C79" s="443"/>
      <c r="D79" s="443"/>
      <c r="E79" s="444"/>
      <c r="F79" s="449"/>
      <c r="G79" s="449"/>
      <c r="H79" s="449"/>
      <c r="I79" s="449"/>
      <c r="J79" s="439">
        <f t="shared" si="1"/>
        <v>0</v>
      </c>
    </row>
    <row r="80" spans="1:10">
      <c r="A80" s="435">
        <v>72</v>
      </c>
      <c r="B80" s="442"/>
      <c r="C80" s="443"/>
      <c r="D80" s="443"/>
      <c r="E80" s="444"/>
      <c r="F80" s="449"/>
      <c r="G80" s="449"/>
      <c r="H80" s="449"/>
      <c r="I80" s="449"/>
      <c r="J80" s="439">
        <f t="shared" si="1"/>
        <v>0</v>
      </c>
    </row>
    <row r="81" spans="1:10">
      <c r="A81" s="435">
        <v>73</v>
      </c>
      <c r="B81" s="442"/>
      <c r="C81" s="443"/>
      <c r="D81" s="443"/>
      <c r="E81" s="444"/>
      <c r="F81" s="449"/>
      <c r="G81" s="449"/>
      <c r="H81" s="449"/>
      <c r="I81" s="449"/>
      <c r="J81" s="439">
        <f t="shared" si="1"/>
        <v>0</v>
      </c>
    </row>
    <row r="82" spans="1:10">
      <c r="A82" s="435">
        <v>74</v>
      </c>
      <c r="B82" s="442"/>
      <c r="C82" s="443"/>
      <c r="D82" s="443"/>
      <c r="E82" s="444"/>
      <c r="F82" s="449"/>
      <c r="G82" s="449"/>
      <c r="H82" s="449"/>
      <c r="I82" s="449"/>
      <c r="J82" s="439">
        <f t="shared" si="1"/>
        <v>0</v>
      </c>
    </row>
    <row r="83" spans="1:10">
      <c r="A83" s="435">
        <v>75</v>
      </c>
      <c r="B83" s="442"/>
      <c r="C83" s="443"/>
      <c r="D83" s="443"/>
      <c r="E83" s="444"/>
      <c r="F83" s="449"/>
      <c r="G83" s="449"/>
      <c r="H83" s="449"/>
      <c r="I83" s="449"/>
      <c r="J83" s="439">
        <f t="shared" si="1"/>
        <v>0</v>
      </c>
    </row>
    <row r="84" spans="1:10">
      <c r="A84" s="435">
        <v>76</v>
      </c>
      <c r="B84" s="442"/>
      <c r="C84" s="443"/>
      <c r="D84" s="443"/>
      <c r="E84" s="444"/>
      <c r="F84" s="449"/>
      <c r="G84" s="449"/>
      <c r="H84" s="449"/>
      <c r="I84" s="449"/>
      <c r="J84" s="439">
        <f t="shared" si="1"/>
        <v>0</v>
      </c>
    </row>
    <row r="85" spans="1:10">
      <c r="A85" s="435">
        <v>77</v>
      </c>
      <c r="B85" s="442"/>
      <c r="C85" s="443"/>
      <c r="D85" s="443"/>
      <c r="E85" s="444"/>
      <c r="F85" s="449"/>
      <c r="G85" s="449"/>
      <c r="H85" s="449"/>
      <c r="I85" s="449"/>
      <c r="J85" s="439">
        <f t="shared" si="1"/>
        <v>0</v>
      </c>
    </row>
    <row r="86" spans="1:10">
      <c r="A86" s="435">
        <v>78</v>
      </c>
      <c r="B86" s="442"/>
      <c r="C86" s="443"/>
      <c r="D86" s="443"/>
      <c r="E86" s="444"/>
      <c r="F86" s="449"/>
      <c r="G86" s="449"/>
      <c r="H86" s="449"/>
      <c r="I86" s="449"/>
      <c r="J86" s="439">
        <f t="shared" si="1"/>
        <v>0</v>
      </c>
    </row>
    <row r="87" spans="1:10">
      <c r="A87" s="435">
        <v>79</v>
      </c>
      <c r="B87" s="442"/>
      <c r="C87" s="443"/>
      <c r="D87" s="443"/>
      <c r="E87" s="444"/>
      <c r="F87" s="449"/>
      <c r="G87" s="449"/>
      <c r="H87" s="449"/>
      <c r="I87" s="449"/>
      <c r="J87" s="439">
        <f t="shared" si="1"/>
        <v>0</v>
      </c>
    </row>
    <row r="88" spans="1:10">
      <c r="A88" s="435">
        <v>80</v>
      </c>
      <c r="B88" s="442"/>
      <c r="C88" s="443"/>
      <c r="D88" s="443"/>
      <c r="E88" s="444"/>
      <c r="F88" s="449"/>
      <c r="G88" s="449"/>
      <c r="H88" s="449"/>
      <c r="I88" s="449"/>
      <c r="J88" s="439">
        <f t="shared" si="1"/>
        <v>0</v>
      </c>
    </row>
    <row r="89" spans="1:10">
      <c r="A89" s="435">
        <v>81</v>
      </c>
      <c r="B89" s="442"/>
      <c r="C89" s="443"/>
      <c r="D89" s="443"/>
      <c r="E89" s="444"/>
      <c r="F89" s="449"/>
      <c r="G89" s="449"/>
      <c r="H89" s="449"/>
      <c r="I89" s="449"/>
      <c r="J89" s="439">
        <f t="shared" si="1"/>
        <v>0</v>
      </c>
    </row>
    <row r="90" spans="1:10">
      <c r="A90" s="435">
        <v>82</v>
      </c>
      <c r="B90" s="442"/>
      <c r="C90" s="443"/>
      <c r="D90" s="443"/>
      <c r="E90" s="444"/>
      <c r="F90" s="449"/>
      <c r="G90" s="449"/>
      <c r="H90" s="449"/>
      <c r="I90" s="449"/>
      <c r="J90" s="439">
        <f t="shared" si="1"/>
        <v>0</v>
      </c>
    </row>
    <row r="91" spans="1:10">
      <c r="A91" s="435">
        <v>83</v>
      </c>
      <c r="B91" s="442"/>
      <c r="C91" s="443"/>
      <c r="D91" s="443"/>
      <c r="E91" s="444"/>
      <c r="F91" s="449"/>
      <c r="G91" s="449"/>
      <c r="H91" s="449"/>
      <c r="I91" s="449"/>
      <c r="J91" s="439">
        <f t="shared" si="1"/>
        <v>0</v>
      </c>
    </row>
    <row r="92" spans="1:10">
      <c r="A92" s="435">
        <v>84</v>
      </c>
      <c r="B92" s="442"/>
      <c r="C92" s="443"/>
      <c r="D92" s="443"/>
      <c r="E92" s="444"/>
      <c r="F92" s="449"/>
      <c r="G92" s="449"/>
      <c r="H92" s="449"/>
      <c r="I92" s="449"/>
      <c r="J92" s="439">
        <f t="shared" si="1"/>
        <v>0</v>
      </c>
    </row>
    <row r="93" spans="1:10">
      <c r="A93" s="435">
        <v>85</v>
      </c>
      <c r="B93" s="442"/>
      <c r="C93" s="443"/>
      <c r="D93" s="443"/>
      <c r="E93" s="444"/>
      <c r="F93" s="449"/>
      <c r="G93" s="449"/>
      <c r="H93" s="449"/>
      <c r="I93" s="449"/>
      <c r="J93" s="439">
        <f t="shared" si="1"/>
        <v>0</v>
      </c>
    </row>
    <row r="94" spans="1:10">
      <c r="A94" s="435">
        <v>86</v>
      </c>
      <c r="B94" s="442"/>
      <c r="C94" s="443"/>
      <c r="D94" s="443"/>
      <c r="E94" s="444"/>
      <c r="F94" s="449"/>
      <c r="G94" s="449"/>
      <c r="H94" s="449"/>
      <c r="I94" s="449"/>
      <c r="J94" s="439">
        <f t="shared" si="1"/>
        <v>0</v>
      </c>
    </row>
    <row r="95" spans="1:10">
      <c r="A95" s="435">
        <v>87</v>
      </c>
      <c r="B95" s="442"/>
      <c r="C95" s="443"/>
      <c r="D95" s="443"/>
      <c r="E95" s="444"/>
      <c r="F95" s="449"/>
      <c r="G95" s="449"/>
      <c r="H95" s="449"/>
      <c r="I95" s="449"/>
      <c r="J95" s="439">
        <f t="shared" si="1"/>
        <v>0</v>
      </c>
    </row>
    <row r="96" spans="1:10">
      <c r="A96" s="435">
        <v>88</v>
      </c>
      <c r="B96" s="442"/>
      <c r="C96" s="443"/>
      <c r="D96" s="443"/>
      <c r="E96" s="444"/>
      <c r="F96" s="449"/>
      <c r="G96" s="449"/>
      <c r="H96" s="449"/>
      <c r="I96" s="449"/>
      <c r="J96" s="439">
        <f t="shared" si="1"/>
        <v>0</v>
      </c>
    </row>
    <row r="97" spans="1:10">
      <c r="A97" s="435">
        <v>89</v>
      </c>
      <c r="B97" s="442"/>
      <c r="C97" s="443"/>
      <c r="D97" s="443"/>
      <c r="E97" s="444"/>
      <c r="F97" s="449"/>
      <c r="G97" s="449"/>
      <c r="H97" s="449"/>
      <c r="I97" s="449"/>
      <c r="J97" s="439">
        <f t="shared" si="1"/>
        <v>0</v>
      </c>
    </row>
    <row r="98" spans="1:10" ht="13.9" thickBot="1">
      <c r="A98" s="436">
        <v>90</v>
      </c>
      <c r="B98" s="445"/>
      <c r="C98" s="446"/>
      <c r="D98" s="446"/>
      <c r="E98" s="447"/>
      <c r="F98" s="450"/>
      <c r="G98" s="450"/>
      <c r="H98" s="450"/>
      <c r="I98" s="450"/>
      <c r="J98" s="440">
        <f t="shared" si="1"/>
        <v>0</v>
      </c>
    </row>
    <row r="99" spans="1:10" ht="7.5" customHeight="1" thickBot="1">
      <c r="A99" s="431"/>
      <c r="B99" s="431"/>
      <c r="C99" s="431"/>
      <c r="D99" s="431"/>
      <c r="E99" s="431"/>
      <c r="F99" s="437"/>
      <c r="G99" s="437"/>
      <c r="H99" s="437"/>
      <c r="I99" s="437"/>
      <c r="J99" s="431"/>
    </row>
    <row r="100" spans="1:10" ht="13.9" thickBot="1">
      <c r="A100" s="431"/>
      <c r="B100" s="431"/>
      <c r="C100" s="431"/>
      <c r="D100" s="431"/>
      <c r="E100" s="452" t="s">
        <v>1493</v>
      </c>
      <c r="F100" s="451">
        <f>SUM(F9:F98)</f>
        <v>0</v>
      </c>
      <c r="G100" s="451">
        <f>SUM(G9:G98)</f>
        <v>0</v>
      </c>
      <c r="H100" s="451">
        <f>SUM(H9:H98)</f>
        <v>0</v>
      </c>
      <c r="I100" s="451">
        <f>SUM(I9:I98)</f>
        <v>0</v>
      </c>
      <c r="J100" s="451">
        <f>SUM(J9:J98)</f>
        <v>0</v>
      </c>
    </row>
  </sheetData>
  <sheetProtection algorithmName="SHA-512" hashValue="jIw+mfH5GRsCnvw2bMdhkLEs1jCNTCsFjbZGxS3H4k4wHwpdvk3V8Sqt0mXEGq+mg3H9hl4jeDay8sRVG8fQ8w==" saltValue="TTiSblxyOcYI3oSPOBJyYw==" spinCount="100000" sheet="1" formatColumns="0" formatRows="0" insertRows="0"/>
  <protectedRanges>
    <protectedRange sqref="C9:C99" name="Range4"/>
    <protectedRange sqref="F9:I99" name="Range1"/>
  </protectedRanges>
  <dataValidations count="1">
    <dataValidation type="list" allowBlank="1" showInputMessage="1" showErrorMessage="1" sqref="D99:E99" xr:uid="{00000000-0002-0000-13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1000000}">
          <x14:formula1>
            <xm:f>'Schedule 1_Enrollment'!$C$12:$C$14</xm:f>
          </x14:formula1>
          <xm:sqref>D9:D98</xm:sqref>
        </x14:dataValidation>
        <x14:dataValidation type="list" allowBlank="1" showInputMessage="1" showErrorMessage="1" xr:uid="{00000000-0002-0000-1300-000002000000}">
          <x14:formula1>
            <xm:f>'Schedule 3A_Income Statement'!$A$35:$A$61</xm:f>
          </x14:formula1>
          <xm:sqref>E9:E98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DJ47"/>
  <sheetViews>
    <sheetView topLeftCell="L1" zoomScale="60" zoomScaleNormal="60" workbookViewId="0">
      <selection activeCell="AE46" sqref="AE46"/>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42578125" style="456" bestFit="1" customWidth="1"/>
    <col min="34" max="34" width="16.5703125" style="456" customWidth="1"/>
    <col min="35" max="16384" width="8" style="456"/>
  </cols>
  <sheetData>
    <row r="1" spans="1:114" s="458" customFormat="1" ht="15.6">
      <c r="A1" s="427" t="s">
        <v>1494</v>
      </c>
      <c r="B1" s="453"/>
      <c r="C1" s="454"/>
      <c r="D1" s="430"/>
      <c r="E1" s="454"/>
      <c r="F1" s="454"/>
      <c r="G1" s="455"/>
      <c r="H1" s="455"/>
      <c r="I1" s="455"/>
      <c r="J1" s="455"/>
      <c r="K1" s="455"/>
      <c r="L1" s="455"/>
      <c r="M1" s="455"/>
      <c r="N1" s="455"/>
      <c r="O1" s="455"/>
      <c r="P1" s="455"/>
      <c r="Q1" s="455"/>
      <c r="R1" s="455"/>
      <c r="S1" s="455"/>
      <c r="T1" s="455"/>
      <c r="U1" s="455"/>
      <c r="V1" s="455"/>
      <c r="W1" s="455"/>
      <c r="X1" s="455"/>
      <c r="Y1" s="455"/>
      <c r="Z1" s="455"/>
      <c r="AA1" s="455"/>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s="458" customFormat="1">
      <c r="A2" s="181" t="s">
        <v>1303</v>
      </c>
      <c r="B2" s="181"/>
      <c r="C2" s="397" t="str">
        <f>'Schedule 2_Balance Sheet'!C2</f>
        <v>Tufts Associated Health Plans, Inc. (TAHMO)</v>
      </c>
      <c r="D2" s="398"/>
      <c r="E2" s="398"/>
      <c r="F2" s="399"/>
      <c r="G2" s="455"/>
      <c r="H2" s="455"/>
      <c r="I2" s="455"/>
      <c r="J2" s="455"/>
      <c r="K2" s="455"/>
      <c r="L2" s="455"/>
      <c r="M2" s="455"/>
      <c r="N2" s="455"/>
      <c r="O2" s="455"/>
      <c r="P2" s="455"/>
      <c r="Q2" s="455"/>
      <c r="R2" s="455"/>
      <c r="S2" s="455"/>
      <c r="T2" s="455"/>
      <c r="U2" s="455"/>
      <c r="V2" s="455"/>
      <c r="W2" s="455"/>
      <c r="X2" s="455"/>
      <c r="Y2" s="455"/>
      <c r="Z2" s="455"/>
      <c r="AA2" s="455"/>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s="458" customFormat="1">
      <c r="A3" s="181" t="s">
        <v>1285</v>
      </c>
      <c r="B3" s="181"/>
      <c r="C3" s="520" t="str">
        <f>'Schedule 2_Balance Sheet'!C3</f>
        <v>01/01/2024 - 12/31/2024</v>
      </c>
      <c r="D3" s="521"/>
      <c r="E3" s="521"/>
      <c r="F3" s="522"/>
      <c r="G3" s="455"/>
      <c r="H3" s="455"/>
      <c r="I3" s="455"/>
      <c r="J3" s="455"/>
      <c r="K3" s="455"/>
      <c r="L3" s="455"/>
      <c r="M3" s="455"/>
      <c r="N3" s="455"/>
      <c r="O3" s="455"/>
      <c r="P3" s="455"/>
      <c r="Q3" s="455"/>
      <c r="R3" s="455"/>
      <c r="S3" s="455"/>
      <c r="T3" s="455"/>
      <c r="U3" s="455"/>
      <c r="V3" s="455"/>
      <c r="W3" s="455"/>
      <c r="X3" s="455"/>
      <c r="Y3" s="455"/>
      <c r="Z3" s="455"/>
      <c r="AA3" s="455"/>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s="458" customFormat="1">
      <c r="A4" s="181" t="s">
        <v>1306</v>
      </c>
      <c r="B4" s="181"/>
      <c r="C4" s="401">
        <f>'Schedule 2_Balance Sheet'!C4</f>
        <v>45657</v>
      </c>
      <c r="D4" s="398"/>
      <c r="E4" s="398"/>
      <c r="F4" s="399"/>
      <c r="G4" s="455"/>
      <c r="H4" s="455"/>
      <c r="I4" s="455"/>
      <c r="J4" s="455"/>
      <c r="K4" s="455"/>
      <c r="L4" s="455"/>
      <c r="M4" s="455"/>
      <c r="N4" s="455"/>
      <c r="O4" s="455"/>
      <c r="P4" s="455"/>
      <c r="Q4" s="455"/>
      <c r="R4" s="455"/>
      <c r="S4" s="455"/>
      <c r="T4" s="455"/>
      <c r="U4" s="455"/>
      <c r="V4" s="455"/>
      <c r="W4" s="455"/>
      <c r="X4" s="455"/>
      <c r="Y4" s="455"/>
      <c r="Z4" s="455"/>
      <c r="AA4" s="455"/>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s="458" customFormat="1">
      <c r="A5" s="181" t="s">
        <v>1307</v>
      </c>
      <c r="B5" s="181"/>
      <c r="C5" s="397" t="str">
        <f>'Schedule 2_Balance Sheet'!C5</f>
        <v>Roshni Parikh</v>
      </c>
      <c r="D5" s="398"/>
      <c r="E5" s="398"/>
      <c r="F5" s="399"/>
      <c r="G5" s="455"/>
      <c r="H5" s="455"/>
      <c r="I5" s="455"/>
      <c r="J5" s="455"/>
      <c r="K5" s="455"/>
      <c r="L5" s="455"/>
      <c r="M5" s="455"/>
      <c r="N5" s="455"/>
      <c r="O5" s="455"/>
      <c r="P5" s="455"/>
      <c r="Q5" s="455"/>
      <c r="R5" s="455"/>
      <c r="S5" s="455"/>
      <c r="T5" s="455"/>
      <c r="U5" s="455"/>
      <c r="V5" s="455"/>
      <c r="W5" s="455"/>
      <c r="X5" s="455"/>
      <c r="Y5" s="455"/>
      <c r="Z5" s="455"/>
      <c r="AA5" s="455"/>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s="458" customFormat="1">
      <c r="A6" s="181" t="s">
        <v>1288</v>
      </c>
      <c r="B6" s="181"/>
      <c r="C6" s="401">
        <f>'Schedule 2_Balance Sheet'!C6</f>
        <v>45657</v>
      </c>
      <c r="D6" s="398"/>
      <c r="E6" s="398"/>
      <c r="F6" s="399"/>
      <c r="G6" s="455"/>
      <c r="H6" s="455"/>
      <c r="I6" s="455"/>
      <c r="J6" s="455"/>
      <c r="K6" s="455"/>
      <c r="L6" s="455"/>
      <c r="M6" s="455"/>
      <c r="N6" s="455"/>
      <c r="O6" s="455"/>
      <c r="P6" s="455"/>
      <c r="Q6" s="455"/>
      <c r="R6" s="455"/>
      <c r="S6" s="455"/>
      <c r="T6" s="455"/>
      <c r="U6" s="455"/>
      <c r="V6" s="455"/>
      <c r="W6" s="455"/>
      <c r="X6" s="455"/>
      <c r="Y6" s="455"/>
      <c r="Z6" s="455"/>
      <c r="AA6" s="455"/>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s="458" customFormat="1" ht="13.9" thickBot="1">
      <c r="A7" s="179" t="s">
        <v>1495</v>
      </c>
      <c r="B7" s="343"/>
      <c r="C7" s="343"/>
      <c r="D7" s="343"/>
      <c r="E7" s="343"/>
      <c r="F7" s="343"/>
      <c r="G7" s="343"/>
      <c r="H7" s="343"/>
      <c r="I7" s="455"/>
      <c r="J7" s="455"/>
      <c r="K7" s="455"/>
      <c r="L7" s="455"/>
      <c r="M7" s="455"/>
      <c r="N7" s="455"/>
      <c r="O7" s="455"/>
      <c r="P7" s="455"/>
      <c r="Q7" s="455"/>
      <c r="R7" s="455"/>
      <c r="S7" s="455"/>
      <c r="T7" s="455"/>
      <c r="U7" s="455"/>
      <c r="V7" s="455"/>
      <c r="W7" s="455"/>
      <c r="X7" s="455"/>
      <c r="Y7" s="455"/>
      <c r="Z7" s="455"/>
      <c r="AA7" s="455"/>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0</v>
      </c>
      <c r="E10" s="959">
        <v>0</v>
      </c>
      <c r="F10" s="959">
        <v>0</v>
      </c>
      <c r="G10" s="959">
        <v>12706.85</v>
      </c>
      <c r="H10" s="959">
        <v>6462.51</v>
      </c>
      <c r="I10" s="959">
        <v>6406.87</v>
      </c>
      <c r="J10" s="959">
        <v>9079.9699999999993</v>
      </c>
      <c r="K10" s="959">
        <v>1096.1500000000001</v>
      </c>
      <c r="L10" s="959">
        <v>4172.1099999999997</v>
      </c>
      <c r="M10" s="959">
        <v>121.08</v>
      </c>
      <c r="N10" s="959">
        <v>1143.5999999999999</v>
      </c>
      <c r="O10" s="959">
        <v>1364.09</v>
      </c>
      <c r="P10" s="959">
        <v>21807.970000000099</v>
      </c>
      <c r="Q10" s="959">
        <v>13729.18</v>
      </c>
      <c r="R10" s="959">
        <v>19033.189999999999</v>
      </c>
      <c r="S10" s="959">
        <v>18395.87</v>
      </c>
      <c r="T10" s="959">
        <v>17914.34</v>
      </c>
      <c r="U10" s="959">
        <v>16170.79</v>
      </c>
      <c r="V10" s="959">
        <v>16649</v>
      </c>
      <c r="W10" s="959">
        <v>13955.91</v>
      </c>
      <c r="X10" s="959">
        <v>14924.69</v>
      </c>
      <c r="Y10" s="959">
        <v>12753.39</v>
      </c>
      <c r="Z10" s="959">
        <v>13143.15</v>
      </c>
      <c r="AA10" s="959">
        <v>13204.51</v>
      </c>
      <c r="AB10" s="959">
        <v>13302.04</v>
      </c>
      <c r="AC10" s="959">
        <v>10560.48</v>
      </c>
      <c r="AD10" s="959"/>
      <c r="AE10" s="959"/>
      <c r="AF10" s="513"/>
      <c r="AG10" s="512">
        <v>407673.37000000011</v>
      </c>
      <c r="AH10" s="481">
        <f t="shared" ref="AH10:AH38" si="0">SUM(C10:AG10)</f>
        <v>665771.11000000022</v>
      </c>
    </row>
    <row r="11" spans="1:114" s="460" customFormat="1">
      <c r="A11" s="482">
        <v>2</v>
      </c>
      <c r="B11" s="483">
        <f>'Schedule 2_Balance Sheet'!C4</f>
        <v>45657</v>
      </c>
      <c r="C11" s="498"/>
      <c r="D11" s="524">
        <v>0</v>
      </c>
      <c r="E11" s="524">
        <v>0</v>
      </c>
      <c r="F11" s="524">
        <v>0</v>
      </c>
      <c r="G11" s="524">
        <v>46068.46</v>
      </c>
      <c r="H11" s="524">
        <v>15645.68</v>
      </c>
      <c r="I11" s="524">
        <v>16860.78</v>
      </c>
      <c r="J11" s="524">
        <v>10086.19</v>
      </c>
      <c r="K11" s="524">
        <v>15105.96</v>
      </c>
      <c r="L11" s="524">
        <v>9264.27</v>
      </c>
      <c r="M11" s="524">
        <v>400.35</v>
      </c>
      <c r="N11" s="524">
        <v>2078.15</v>
      </c>
      <c r="O11" s="524">
        <v>1276.74</v>
      </c>
      <c r="P11" s="524">
        <v>2232.62</v>
      </c>
      <c r="Q11" s="524">
        <v>1371.53</v>
      </c>
      <c r="R11" s="524">
        <v>1378.71</v>
      </c>
      <c r="S11" s="524">
        <v>2924.26</v>
      </c>
      <c r="T11" s="524">
        <v>6052.79</v>
      </c>
      <c r="U11" s="524">
        <v>26.53</v>
      </c>
      <c r="V11" s="524">
        <v>827.4</v>
      </c>
      <c r="W11" s="524">
        <v>378.66</v>
      </c>
      <c r="X11" s="524">
        <v>509.34</v>
      </c>
      <c r="Y11" s="524">
        <v>767.58</v>
      </c>
      <c r="Z11" s="524">
        <v>863.52</v>
      </c>
      <c r="AA11" s="524">
        <v>129.19999999999999</v>
      </c>
      <c r="AB11" s="524">
        <v>0</v>
      </c>
      <c r="AC11" s="524">
        <v>27.82</v>
      </c>
      <c r="AD11" s="524"/>
      <c r="AE11" s="524"/>
      <c r="AF11" s="514"/>
      <c r="AG11" s="510">
        <v>407673.37000000011</v>
      </c>
      <c r="AH11" s="481">
        <f t="shared" si="0"/>
        <v>541949.91000000015</v>
      </c>
    </row>
    <row r="12" spans="1:114" s="460" customFormat="1">
      <c r="A12" s="482">
        <v>3</v>
      </c>
      <c r="B12" s="483">
        <f>EOMONTH(B11,-1)</f>
        <v>45626</v>
      </c>
      <c r="C12" s="498"/>
      <c r="D12" s="498">
        <v>0</v>
      </c>
      <c r="E12" s="471">
        <v>0</v>
      </c>
      <c r="F12" s="471">
        <v>0</v>
      </c>
      <c r="G12" s="471">
        <v>586055.22</v>
      </c>
      <c r="H12" s="471">
        <v>154965.96</v>
      </c>
      <c r="I12" s="471">
        <v>34419.53</v>
      </c>
      <c r="J12" s="471">
        <v>16113.25</v>
      </c>
      <c r="K12" s="471">
        <v>17331.060000000001</v>
      </c>
      <c r="L12" s="471">
        <v>19087.64</v>
      </c>
      <c r="M12" s="471">
        <v>31941.8500000001</v>
      </c>
      <c r="N12" s="471">
        <v>38294.220000000103</v>
      </c>
      <c r="O12" s="471">
        <v>31251.120000000101</v>
      </c>
      <c r="P12" s="471">
        <v>2429.06</v>
      </c>
      <c r="Q12" s="471">
        <v>2668.39</v>
      </c>
      <c r="R12" s="471">
        <v>645.42999999999995</v>
      </c>
      <c r="S12" s="471">
        <v>-115.53</v>
      </c>
      <c r="T12" s="471">
        <v>377.98</v>
      </c>
      <c r="U12" s="471">
        <v>497.56</v>
      </c>
      <c r="V12" s="471">
        <v>741.77</v>
      </c>
      <c r="W12" s="471">
        <v>11.15</v>
      </c>
      <c r="X12" s="471">
        <v>311.83999999999997</v>
      </c>
      <c r="Y12" s="471">
        <v>0</v>
      </c>
      <c r="Z12" s="471">
        <v>256.33</v>
      </c>
      <c r="AA12" s="471">
        <v>492.58</v>
      </c>
      <c r="AB12" s="471">
        <v>38.5</v>
      </c>
      <c r="AC12" s="471">
        <v>64.040000000000006</v>
      </c>
      <c r="AD12" s="471"/>
      <c r="AE12" s="471"/>
      <c r="AF12" s="506"/>
      <c r="AG12" s="510">
        <v>407673.37000000011</v>
      </c>
      <c r="AH12" s="481">
        <f t="shared" si="0"/>
        <v>1345552.3200000005</v>
      </c>
    </row>
    <row r="13" spans="1:114" s="459" customFormat="1" ht="15" customHeight="1">
      <c r="A13" s="482">
        <v>4</v>
      </c>
      <c r="B13" s="483">
        <f t="shared" ref="B13:B39" si="1">EOMONTH(B12,-1)</f>
        <v>45596</v>
      </c>
      <c r="C13" s="498"/>
      <c r="D13" s="496">
        <v>0</v>
      </c>
      <c r="E13" s="498">
        <v>0</v>
      </c>
      <c r="F13" s="471">
        <v>0</v>
      </c>
      <c r="G13" s="471">
        <v>934263.30999999703</v>
      </c>
      <c r="H13" s="471">
        <v>438431.820000001</v>
      </c>
      <c r="I13" s="471">
        <v>167712.71</v>
      </c>
      <c r="J13" s="471">
        <v>15210.33</v>
      </c>
      <c r="K13" s="471">
        <v>12511.13</v>
      </c>
      <c r="L13" s="471">
        <v>13928.26</v>
      </c>
      <c r="M13" s="471">
        <v>15453.47</v>
      </c>
      <c r="N13" s="471">
        <v>7505.01</v>
      </c>
      <c r="O13" s="471">
        <v>3435.26</v>
      </c>
      <c r="P13" s="471">
        <v>2788.95</v>
      </c>
      <c r="Q13" s="471">
        <v>2237.0300000000002</v>
      </c>
      <c r="R13" s="471">
        <v>574.99</v>
      </c>
      <c r="S13" s="472">
        <v>397.59</v>
      </c>
      <c r="T13" s="472">
        <v>781.21</v>
      </c>
      <c r="U13" s="472">
        <v>994.74</v>
      </c>
      <c r="V13" s="471">
        <v>1529.27</v>
      </c>
      <c r="W13" s="471">
        <v>1995.9</v>
      </c>
      <c r="X13" s="472">
        <v>1272.5999999999999</v>
      </c>
      <c r="Y13" s="472">
        <v>-171.12</v>
      </c>
      <c r="Z13" s="471">
        <v>1506.5</v>
      </c>
      <c r="AA13" s="471">
        <v>347.39</v>
      </c>
      <c r="AB13" s="471">
        <v>0</v>
      </c>
      <c r="AC13" s="471">
        <v>0</v>
      </c>
      <c r="AD13" s="471"/>
      <c r="AE13" s="471"/>
      <c r="AF13" s="506"/>
      <c r="AG13" s="508">
        <v>407673.37000000011</v>
      </c>
      <c r="AH13" s="481">
        <f t="shared" si="0"/>
        <v>2030379.7199999979</v>
      </c>
    </row>
    <row r="14" spans="1:114" s="459" customFormat="1" ht="15" customHeight="1">
      <c r="A14" s="482">
        <v>5</v>
      </c>
      <c r="B14" s="483">
        <f t="shared" si="1"/>
        <v>45565</v>
      </c>
      <c r="C14" s="498"/>
      <c r="D14" s="496">
        <v>0</v>
      </c>
      <c r="E14" s="496">
        <v>0</v>
      </c>
      <c r="F14" s="498">
        <v>0</v>
      </c>
      <c r="G14" s="471">
        <v>1649924.29</v>
      </c>
      <c r="H14" s="471">
        <v>829147.01999998896</v>
      </c>
      <c r="I14" s="471">
        <v>577707.42000000097</v>
      </c>
      <c r="J14" s="471">
        <v>104874.25</v>
      </c>
      <c r="K14" s="471">
        <v>21971.63</v>
      </c>
      <c r="L14" s="471">
        <v>11829.65</v>
      </c>
      <c r="M14" s="471">
        <v>10533.02</v>
      </c>
      <c r="N14" s="471">
        <v>13776.26</v>
      </c>
      <c r="O14" s="471">
        <v>8515.25</v>
      </c>
      <c r="P14" s="471">
        <v>1554.27</v>
      </c>
      <c r="Q14" s="471">
        <v>742.03</v>
      </c>
      <c r="R14" s="471">
        <v>766.48</v>
      </c>
      <c r="S14" s="472">
        <v>841.28</v>
      </c>
      <c r="T14" s="472">
        <v>1369.9</v>
      </c>
      <c r="U14" s="472">
        <v>253.24</v>
      </c>
      <c r="V14" s="471">
        <v>118.93</v>
      </c>
      <c r="W14" s="471">
        <v>179.74</v>
      </c>
      <c r="X14" s="472">
        <v>33.14</v>
      </c>
      <c r="Y14" s="472">
        <v>79.37</v>
      </c>
      <c r="Z14" s="471">
        <v>168.21</v>
      </c>
      <c r="AA14" s="471">
        <v>0</v>
      </c>
      <c r="AB14" s="471">
        <v>-105.1</v>
      </c>
      <c r="AC14" s="471">
        <v>0</v>
      </c>
      <c r="AD14" s="471"/>
      <c r="AE14" s="471"/>
      <c r="AF14" s="506"/>
      <c r="AG14" s="509">
        <v>407673.37000000011</v>
      </c>
      <c r="AH14" s="481">
        <f t="shared" si="0"/>
        <v>3641953.6499999897</v>
      </c>
    </row>
    <row r="15" spans="1:114" s="459" customFormat="1" ht="15" customHeight="1">
      <c r="A15" s="482">
        <v>6</v>
      </c>
      <c r="B15" s="483">
        <f t="shared" si="1"/>
        <v>45535</v>
      </c>
      <c r="C15" s="498"/>
      <c r="D15" s="496">
        <v>0</v>
      </c>
      <c r="E15" s="496">
        <v>0</v>
      </c>
      <c r="F15" s="496">
        <v>0</v>
      </c>
      <c r="G15" s="498">
        <v>0</v>
      </c>
      <c r="H15" s="471">
        <v>1827458.85</v>
      </c>
      <c r="I15" s="471">
        <v>1394861.79999999</v>
      </c>
      <c r="J15" s="471">
        <v>570886.97000000195</v>
      </c>
      <c r="K15" s="471">
        <v>195734.55</v>
      </c>
      <c r="L15" s="471">
        <v>33886.199999999997</v>
      </c>
      <c r="M15" s="471">
        <v>18581.169999999998</v>
      </c>
      <c r="N15" s="471">
        <v>12654.71</v>
      </c>
      <c r="O15" s="471">
        <v>16614.22</v>
      </c>
      <c r="P15" s="471">
        <v>5455.95</v>
      </c>
      <c r="Q15" s="471">
        <v>3504.1</v>
      </c>
      <c r="R15" s="471">
        <v>6708.15</v>
      </c>
      <c r="S15" s="472">
        <v>4490.0600000000004</v>
      </c>
      <c r="T15" s="472">
        <v>1106.98</v>
      </c>
      <c r="U15" s="472">
        <v>110.32</v>
      </c>
      <c r="V15" s="471">
        <v>472.23</v>
      </c>
      <c r="W15" s="471">
        <v>725.42</v>
      </c>
      <c r="X15" s="472">
        <v>501.88</v>
      </c>
      <c r="Y15" s="472">
        <v>-215.65</v>
      </c>
      <c r="Z15" s="471">
        <v>220.39</v>
      </c>
      <c r="AA15" s="471">
        <v>82.92</v>
      </c>
      <c r="AB15" s="471">
        <v>0</v>
      </c>
      <c r="AC15" s="471">
        <v>0</v>
      </c>
      <c r="AD15" s="471"/>
      <c r="AE15" s="471"/>
      <c r="AF15" s="506"/>
      <c r="AG15" s="509">
        <v>407673.37000000011</v>
      </c>
      <c r="AH15" s="481">
        <f t="shared" si="0"/>
        <v>4501514.5899999924</v>
      </c>
    </row>
    <row r="16" spans="1:114" s="459" customFormat="1" ht="15" customHeight="1">
      <c r="A16" s="482">
        <v>7</v>
      </c>
      <c r="B16" s="483">
        <f t="shared" si="1"/>
        <v>45504</v>
      </c>
      <c r="C16" s="498"/>
      <c r="D16" s="496">
        <v>0</v>
      </c>
      <c r="E16" s="496">
        <v>0</v>
      </c>
      <c r="F16" s="499">
        <v>0</v>
      </c>
      <c r="G16" s="496">
        <v>0</v>
      </c>
      <c r="H16" s="498">
        <v>0</v>
      </c>
      <c r="I16" s="471">
        <v>1455965.51</v>
      </c>
      <c r="J16" s="471">
        <v>993833.09999999695</v>
      </c>
      <c r="K16" s="471">
        <v>396409.80000000203</v>
      </c>
      <c r="L16" s="471">
        <v>66395.45</v>
      </c>
      <c r="M16" s="471">
        <v>23464</v>
      </c>
      <c r="N16" s="471">
        <v>20088.23</v>
      </c>
      <c r="O16" s="471">
        <v>22398.45</v>
      </c>
      <c r="P16" s="471">
        <v>10842.66</v>
      </c>
      <c r="Q16" s="471">
        <v>7506.79</v>
      </c>
      <c r="R16" s="471">
        <v>2828.21</v>
      </c>
      <c r="S16" s="472">
        <v>2245.66</v>
      </c>
      <c r="T16" s="472">
        <v>3239.26</v>
      </c>
      <c r="U16" s="472">
        <v>1209.6199999999999</v>
      </c>
      <c r="V16" s="471">
        <v>303.52999999999997</v>
      </c>
      <c r="W16" s="471">
        <v>1099.42</v>
      </c>
      <c r="X16" s="472">
        <v>250.49</v>
      </c>
      <c r="Y16" s="472">
        <v>21.7</v>
      </c>
      <c r="Z16" s="471">
        <v>141.80000000000001</v>
      </c>
      <c r="AA16" s="471">
        <v>0</v>
      </c>
      <c r="AB16" s="471">
        <v>646.96</v>
      </c>
      <c r="AC16" s="471">
        <v>91.71</v>
      </c>
      <c r="AD16" s="471"/>
      <c r="AE16" s="471"/>
      <c r="AF16" s="506"/>
      <c r="AG16" s="509">
        <v>407673.37000000011</v>
      </c>
      <c r="AH16" s="481">
        <f t="shared" si="0"/>
        <v>3416655.7199999997</v>
      </c>
    </row>
    <row r="17" spans="1:37" s="459" customFormat="1" ht="15" customHeight="1">
      <c r="A17" s="482">
        <v>8</v>
      </c>
      <c r="B17" s="483">
        <f t="shared" si="1"/>
        <v>45473</v>
      </c>
      <c r="C17" s="498"/>
      <c r="D17" s="496">
        <v>0</v>
      </c>
      <c r="E17" s="496">
        <v>0</v>
      </c>
      <c r="F17" s="496">
        <v>0</v>
      </c>
      <c r="G17" s="496">
        <v>0</v>
      </c>
      <c r="H17" s="496">
        <v>0</v>
      </c>
      <c r="I17" s="498">
        <v>0</v>
      </c>
      <c r="J17" s="471">
        <v>1564550.6199999901</v>
      </c>
      <c r="K17" s="471">
        <v>856928.62999999395</v>
      </c>
      <c r="L17" s="471">
        <v>483422.08000000298</v>
      </c>
      <c r="M17" s="471">
        <v>54129.419999999896</v>
      </c>
      <c r="N17" s="471">
        <v>22820.54</v>
      </c>
      <c r="O17" s="471">
        <v>26660.640000000101</v>
      </c>
      <c r="P17" s="471">
        <v>36792.47</v>
      </c>
      <c r="Q17" s="471">
        <v>23110.2</v>
      </c>
      <c r="R17" s="471">
        <v>4255.7299999999996</v>
      </c>
      <c r="S17" s="472">
        <v>2182.5700000000002</v>
      </c>
      <c r="T17" s="472">
        <v>1288.24</v>
      </c>
      <c r="U17" s="472">
        <v>1104.8900000000001</v>
      </c>
      <c r="V17" s="471">
        <v>894.5</v>
      </c>
      <c r="W17" s="471">
        <v>408.71</v>
      </c>
      <c r="X17" s="472">
        <v>-31.03</v>
      </c>
      <c r="Y17" s="472">
        <v>183.76</v>
      </c>
      <c r="Z17" s="471">
        <v>305.97000000000003</v>
      </c>
      <c r="AA17" s="471">
        <v>681.3</v>
      </c>
      <c r="AB17" s="471">
        <v>-2209.86</v>
      </c>
      <c r="AC17" s="471">
        <v>196.38</v>
      </c>
      <c r="AD17" s="471"/>
      <c r="AE17" s="471"/>
      <c r="AF17" s="506"/>
      <c r="AG17" s="509">
        <v>407673.37000000011</v>
      </c>
      <c r="AH17" s="481">
        <f t="shared" si="0"/>
        <v>3485349.1299999878</v>
      </c>
    </row>
    <row r="18" spans="1:37" s="459" customFormat="1" ht="15" customHeight="1">
      <c r="A18" s="482">
        <v>9</v>
      </c>
      <c r="B18" s="483">
        <f t="shared" si="1"/>
        <v>45443</v>
      </c>
      <c r="C18" s="498"/>
      <c r="D18" s="496">
        <v>0</v>
      </c>
      <c r="E18" s="496">
        <v>0</v>
      </c>
      <c r="F18" s="496">
        <v>0</v>
      </c>
      <c r="G18" s="496">
        <v>0</v>
      </c>
      <c r="H18" s="496">
        <v>0</v>
      </c>
      <c r="I18" s="496">
        <v>0</v>
      </c>
      <c r="J18" s="498">
        <v>0</v>
      </c>
      <c r="K18" s="471">
        <v>1756157.21</v>
      </c>
      <c r="L18" s="471">
        <v>1339183.00999999</v>
      </c>
      <c r="M18" s="471">
        <v>407732.140000001</v>
      </c>
      <c r="N18" s="471">
        <v>164339.85999999999</v>
      </c>
      <c r="O18" s="471">
        <v>48991.12</v>
      </c>
      <c r="P18" s="471">
        <v>27683.74</v>
      </c>
      <c r="Q18" s="471">
        <v>17980.39</v>
      </c>
      <c r="R18" s="471">
        <v>3990.3</v>
      </c>
      <c r="S18" s="472">
        <v>2018.04</v>
      </c>
      <c r="T18" s="472">
        <v>2533.37</v>
      </c>
      <c r="U18" s="472">
        <v>4219</v>
      </c>
      <c r="V18" s="471">
        <v>925.81</v>
      </c>
      <c r="W18" s="471">
        <v>102.26</v>
      </c>
      <c r="X18" s="472">
        <v>-83.39</v>
      </c>
      <c r="Y18" s="472">
        <v>1524.31</v>
      </c>
      <c r="Z18" s="471">
        <v>432.27</v>
      </c>
      <c r="AA18" s="471">
        <v>219.34</v>
      </c>
      <c r="AB18" s="471">
        <v>-161.63</v>
      </c>
      <c r="AC18" s="471">
        <v>0</v>
      </c>
      <c r="AD18" s="471"/>
      <c r="AE18" s="471"/>
      <c r="AF18" s="506"/>
      <c r="AG18" s="509">
        <v>407673.37000000011</v>
      </c>
      <c r="AH18" s="481">
        <f t="shared" si="0"/>
        <v>4185460.5199999912</v>
      </c>
      <c r="AK18" s="516"/>
    </row>
    <row r="19" spans="1:37" s="459" customFormat="1" ht="15" customHeight="1">
      <c r="A19" s="482">
        <v>10</v>
      </c>
      <c r="B19" s="483">
        <f t="shared" si="1"/>
        <v>45412</v>
      </c>
      <c r="C19" s="498"/>
      <c r="D19" s="496">
        <v>0</v>
      </c>
      <c r="E19" s="496">
        <v>0</v>
      </c>
      <c r="F19" s="496">
        <v>0</v>
      </c>
      <c r="G19" s="496">
        <v>0</v>
      </c>
      <c r="H19" s="496">
        <v>0</v>
      </c>
      <c r="I19" s="496">
        <v>0</v>
      </c>
      <c r="J19" s="496">
        <v>0</v>
      </c>
      <c r="K19" s="498">
        <v>0</v>
      </c>
      <c r="L19" s="471">
        <v>1286210.3799999999</v>
      </c>
      <c r="M19" s="471">
        <v>861926.20999999496</v>
      </c>
      <c r="N19" s="471">
        <v>253255.4</v>
      </c>
      <c r="O19" s="471">
        <v>48508.160000000003</v>
      </c>
      <c r="P19" s="471">
        <v>24699.02</v>
      </c>
      <c r="Q19" s="471">
        <v>2906.81</v>
      </c>
      <c r="R19" s="471">
        <v>584.09</v>
      </c>
      <c r="S19" s="472">
        <v>4005.07</v>
      </c>
      <c r="T19" s="472">
        <v>3024.67</v>
      </c>
      <c r="U19" s="472">
        <v>288.3</v>
      </c>
      <c r="V19" s="471">
        <v>722.24</v>
      </c>
      <c r="W19" s="471">
        <v>342.06</v>
      </c>
      <c r="X19" s="472">
        <v>-220.84</v>
      </c>
      <c r="Y19" s="472">
        <v>4.6300000000000399</v>
      </c>
      <c r="Z19" s="471">
        <v>1524.88</v>
      </c>
      <c r="AA19" s="471">
        <v>400.57</v>
      </c>
      <c r="AB19" s="471">
        <v>-238.89</v>
      </c>
      <c r="AC19" s="471">
        <v>-298.33</v>
      </c>
      <c r="AD19" s="471"/>
      <c r="AE19" s="471"/>
      <c r="AF19" s="506"/>
      <c r="AG19" s="509">
        <v>407673.37000000011</v>
      </c>
      <c r="AH19" s="481">
        <f t="shared" si="0"/>
        <v>2895317.7999999942</v>
      </c>
    </row>
    <row r="20" spans="1:37"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1574506.5999999901</v>
      </c>
      <c r="N20" s="471">
        <v>912149.44999999297</v>
      </c>
      <c r="O20" s="471">
        <v>97511.039999999994</v>
      </c>
      <c r="P20" s="471">
        <v>38001.08</v>
      </c>
      <c r="Q20" s="471">
        <v>22603.34</v>
      </c>
      <c r="R20" s="471">
        <v>14953</v>
      </c>
      <c r="S20" s="472">
        <v>5675.21</v>
      </c>
      <c r="T20" s="472">
        <v>3471.04</v>
      </c>
      <c r="U20" s="472">
        <v>4150.9799999999996</v>
      </c>
      <c r="V20" s="471">
        <v>2245.19</v>
      </c>
      <c r="W20" s="471">
        <v>1858.73</v>
      </c>
      <c r="X20" s="472">
        <v>1728.77</v>
      </c>
      <c r="Y20" s="472">
        <v>499.55</v>
      </c>
      <c r="Z20" s="471">
        <v>239.82</v>
      </c>
      <c r="AA20" s="471">
        <v>92.32</v>
      </c>
      <c r="AB20" s="471">
        <v>189.95</v>
      </c>
      <c r="AC20" s="471">
        <v>130.13999999999999</v>
      </c>
      <c r="AD20" s="471"/>
      <c r="AE20" s="471"/>
      <c r="AF20" s="506"/>
      <c r="AG20" s="509">
        <v>407673.37000000011</v>
      </c>
      <c r="AH20" s="481">
        <f t="shared" si="0"/>
        <v>3087679.5799999828</v>
      </c>
    </row>
    <row r="21" spans="1:37"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1816757.58</v>
      </c>
      <c r="O21" s="471">
        <v>1384218.17</v>
      </c>
      <c r="P21" s="471">
        <v>264144.54000000103</v>
      </c>
      <c r="Q21" s="471">
        <v>48518.21</v>
      </c>
      <c r="R21" s="471">
        <v>21018.29</v>
      </c>
      <c r="S21" s="472">
        <v>10571.07</v>
      </c>
      <c r="T21" s="472">
        <v>8137.18</v>
      </c>
      <c r="U21" s="472">
        <v>6651.54</v>
      </c>
      <c r="V21" s="471">
        <v>3647.75</v>
      </c>
      <c r="W21" s="471">
        <v>4743.74</v>
      </c>
      <c r="X21" s="472">
        <v>948.88</v>
      </c>
      <c r="Y21" s="472">
        <v>2021.32</v>
      </c>
      <c r="Z21" s="471">
        <v>1076.72</v>
      </c>
      <c r="AA21" s="471">
        <v>2357.87</v>
      </c>
      <c r="AB21" s="471">
        <v>515.77</v>
      </c>
      <c r="AC21" s="471">
        <v>708.03</v>
      </c>
      <c r="AD21" s="471"/>
      <c r="AE21" s="471"/>
      <c r="AF21" s="506"/>
      <c r="AG21" s="509">
        <v>407673.37000000011</v>
      </c>
      <c r="AH21" s="481">
        <f t="shared" si="0"/>
        <v>3983710.0300000012</v>
      </c>
    </row>
    <row r="22" spans="1:37"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1370193.94</v>
      </c>
      <c r="P22" s="471">
        <v>1016926.22000001</v>
      </c>
      <c r="Q22" s="471">
        <v>181688.33</v>
      </c>
      <c r="R22" s="471">
        <v>38169.86</v>
      </c>
      <c r="S22" s="472">
        <v>10162.040000000001</v>
      </c>
      <c r="T22" s="472">
        <v>8793.57</v>
      </c>
      <c r="U22" s="472">
        <v>15938.88</v>
      </c>
      <c r="V22" s="471">
        <v>7567.66</v>
      </c>
      <c r="W22" s="471">
        <v>6671.86</v>
      </c>
      <c r="X22" s="472">
        <v>3686.23</v>
      </c>
      <c r="Y22" s="472">
        <v>3116.19</v>
      </c>
      <c r="Z22" s="471">
        <v>5596.56</v>
      </c>
      <c r="AA22" s="471">
        <v>1310.28</v>
      </c>
      <c r="AB22" s="471">
        <v>120.68</v>
      </c>
      <c r="AC22" s="471">
        <v>459.19</v>
      </c>
      <c r="AD22" s="471"/>
      <c r="AE22" s="471"/>
      <c r="AF22" s="506"/>
      <c r="AG22" s="509">
        <v>407673.37000000011</v>
      </c>
      <c r="AH22" s="481">
        <f t="shared" si="0"/>
        <v>3078074.8600000096</v>
      </c>
    </row>
    <row r="23" spans="1:37"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1685199.9499999799</v>
      </c>
      <c r="Q23" s="471">
        <v>1400422.97</v>
      </c>
      <c r="R23" s="471">
        <v>295735.86</v>
      </c>
      <c r="S23" s="472">
        <v>32332.78</v>
      </c>
      <c r="T23" s="472">
        <v>14756.02</v>
      </c>
      <c r="U23" s="472">
        <v>12730.49</v>
      </c>
      <c r="V23" s="471">
        <v>8748.52</v>
      </c>
      <c r="W23" s="471">
        <v>5574.17</v>
      </c>
      <c r="X23" s="472">
        <v>4230.8500000000004</v>
      </c>
      <c r="Y23" s="472">
        <v>10288.75</v>
      </c>
      <c r="Z23" s="471">
        <v>2370.7600000000002</v>
      </c>
      <c r="AA23" s="471">
        <v>1499.23</v>
      </c>
      <c r="AB23" s="471">
        <v>1899.32</v>
      </c>
      <c r="AC23" s="471">
        <v>1410.21</v>
      </c>
      <c r="AD23" s="471"/>
      <c r="AE23" s="471"/>
      <c r="AF23" s="506"/>
      <c r="AG23" s="509">
        <v>407673.37000000011</v>
      </c>
      <c r="AH23" s="481">
        <f t="shared" si="0"/>
        <v>3884873.2499999795</v>
      </c>
    </row>
    <row r="24" spans="1:37"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1082545.3100000101</v>
      </c>
      <c r="R24" s="471">
        <v>1275749.27000001</v>
      </c>
      <c r="S24" s="472">
        <v>163806.07</v>
      </c>
      <c r="T24" s="472">
        <v>41538.01</v>
      </c>
      <c r="U24" s="472">
        <v>18034.93</v>
      </c>
      <c r="V24" s="471">
        <v>7750.4</v>
      </c>
      <c r="W24" s="471">
        <v>3669.53</v>
      </c>
      <c r="X24" s="472">
        <v>5126.51</v>
      </c>
      <c r="Y24" s="472">
        <v>2914.64</v>
      </c>
      <c r="Z24" s="471">
        <v>723.79</v>
      </c>
      <c r="AA24" s="471">
        <v>2112.9499999999998</v>
      </c>
      <c r="AB24" s="471">
        <v>1857.23</v>
      </c>
      <c r="AC24" s="471">
        <v>1102.97</v>
      </c>
      <c r="AD24" s="471"/>
      <c r="AE24" s="471"/>
      <c r="AF24" s="506"/>
      <c r="AG24" s="509">
        <v>407673.37000000011</v>
      </c>
      <c r="AH24" s="481">
        <f t="shared" si="0"/>
        <v>3014604.98000002</v>
      </c>
    </row>
    <row r="25" spans="1:37"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1363073.51999999</v>
      </c>
      <c r="S25" s="472">
        <v>954528.02999999805</v>
      </c>
      <c r="T25" s="472">
        <v>260686.23</v>
      </c>
      <c r="U25" s="472">
        <v>73578.94</v>
      </c>
      <c r="V25" s="471">
        <v>16870.240000000002</v>
      </c>
      <c r="W25" s="471">
        <v>5031.79</v>
      </c>
      <c r="X25" s="472">
        <v>8466.19</v>
      </c>
      <c r="Y25" s="472">
        <v>6006.82</v>
      </c>
      <c r="Z25" s="471">
        <v>2153.73</v>
      </c>
      <c r="AA25" s="471">
        <v>519.52</v>
      </c>
      <c r="AB25" s="471">
        <v>350.1</v>
      </c>
      <c r="AC25" s="471">
        <v>515.46</v>
      </c>
      <c r="AD25" s="471"/>
      <c r="AE25" s="471"/>
      <c r="AF25" s="506"/>
      <c r="AG25" s="509">
        <v>407673.37000000011</v>
      </c>
      <c r="AH25" s="481">
        <f t="shared" si="0"/>
        <v>3099453.9399999883</v>
      </c>
    </row>
    <row r="26" spans="1:37"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1500062.26999999</v>
      </c>
      <c r="T26" s="472">
        <v>1425155.75999999</v>
      </c>
      <c r="U26" s="472">
        <v>244170.59</v>
      </c>
      <c r="V26" s="471">
        <v>35903.93</v>
      </c>
      <c r="W26" s="471">
        <v>12294.26</v>
      </c>
      <c r="X26" s="472">
        <v>6504.07</v>
      </c>
      <c r="Y26" s="472">
        <v>6444.17</v>
      </c>
      <c r="Z26" s="471">
        <v>4042.76</v>
      </c>
      <c r="AA26" s="471">
        <v>1587.6</v>
      </c>
      <c r="AB26" s="471">
        <v>1590.44</v>
      </c>
      <c r="AC26" s="471">
        <v>778.17</v>
      </c>
      <c r="AD26" s="471"/>
      <c r="AE26" s="471"/>
      <c r="AF26" s="514"/>
      <c r="AG26" s="509">
        <v>407673.37000000011</v>
      </c>
      <c r="AH26" s="481">
        <f t="shared" si="0"/>
        <v>3646207.3899999792</v>
      </c>
    </row>
    <row r="27" spans="1:37"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1214893.72</v>
      </c>
      <c r="U27" s="472">
        <v>1157040.03</v>
      </c>
      <c r="V27" s="471">
        <v>136544.13</v>
      </c>
      <c r="W27" s="471">
        <v>15715.83</v>
      </c>
      <c r="X27" s="472">
        <v>9267.19</v>
      </c>
      <c r="Y27" s="472">
        <v>11832.3</v>
      </c>
      <c r="Z27" s="471">
        <v>1722.81</v>
      </c>
      <c r="AA27" s="471">
        <v>1922.88</v>
      </c>
      <c r="AB27" s="471">
        <v>1305.92</v>
      </c>
      <c r="AC27" s="471">
        <v>503.02</v>
      </c>
      <c r="AD27" s="471"/>
      <c r="AE27" s="471"/>
      <c r="AF27" s="506"/>
      <c r="AG27" s="515">
        <v>407673.37000000011</v>
      </c>
      <c r="AH27" s="481">
        <f t="shared" si="0"/>
        <v>2958421.1999999997</v>
      </c>
    </row>
    <row r="28" spans="1:37"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1617020.3199999901</v>
      </c>
      <c r="V28" s="471">
        <v>1015024.47999999</v>
      </c>
      <c r="W28" s="471">
        <v>169064.64</v>
      </c>
      <c r="X28" s="472">
        <v>25215.479999999901</v>
      </c>
      <c r="Y28" s="472">
        <v>15825.53</v>
      </c>
      <c r="Z28" s="471">
        <v>17491.16</v>
      </c>
      <c r="AA28" s="471">
        <v>4534.49</v>
      </c>
      <c r="AB28" s="471">
        <v>3195</v>
      </c>
      <c r="AC28" s="471">
        <v>-445.81</v>
      </c>
      <c r="AD28" s="471"/>
      <c r="AE28" s="471"/>
      <c r="AF28" s="506"/>
      <c r="AG28" s="510">
        <v>407673.37000000011</v>
      </c>
      <c r="AH28" s="481">
        <f t="shared" si="0"/>
        <v>3274598.6599999806</v>
      </c>
    </row>
    <row r="29" spans="1:37"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1716069.73999999</v>
      </c>
      <c r="W29" s="471">
        <v>1390192.4499999899</v>
      </c>
      <c r="X29" s="472">
        <v>215482.57</v>
      </c>
      <c r="Y29" s="472">
        <v>34922.199999999997</v>
      </c>
      <c r="Z29" s="471">
        <v>12415.98</v>
      </c>
      <c r="AA29" s="471">
        <v>7939.25</v>
      </c>
      <c r="AB29" s="471">
        <v>9972.92</v>
      </c>
      <c r="AC29" s="471">
        <v>5427.83</v>
      </c>
      <c r="AD29" s="471"/>
      <c r="AE29" s="471"/>
      <c r="AF29" s="506"/>
      <c r="AG29" s="509">
        <v>407673.37000000011</v>
      </c>
      <c r="AH29" s="481">
        <f t="shared" si="0"/>
        <v>3800096.30999998</v>
      </c>
    </row>
    <row r="30" spans="1:37"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1342097.1699999899</v>
      </c>
      <c r="X30" s="472">
        <v>995591.59000000102</v>
      </c>
      <c r="Y30" s="472">
        <v>196042.01</v>
      </c>
      <c r="Z30" s="471">
        <v>20434.150000000001</v>
      </c>
      <c r="AA30" s="471">
        <v>7098.95</v>
      </c>
      <c r="AB30" s="471">
        <v>2582.89</v>
      </c>
      <c r="AC30" s="471">
        <v>7596.74</v>
      </c>
      <c r="AD30" s="471"/>
      <c r="AE30" s="471"/>
      <c r="AF30" s="506"/>
      <c r="AG30" s="509">
        <v>407673.37000000011</v>
      </c>
      <c r="AH30" s="481">
        <f t="shared" si="0"/>
        <v>2979116.8699999917</v>
      </c>
    </row>
    <row r="31" spans="1:37"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1430133.08</v>
      </c>
      <c r="Y31" s="472">
        <v>1448449.1999999899</v>
      </c>
      <c r="Z31" s="471">
        <v>176339</v>
      </c>
      <c r="AA31" s="471">
        <v>23584.77</v>
      </c>
      <c r="AB31" s="471">
        <v>11436.02</v>
      </c>
      <c r="AC31" s="471">
        <v>7537.73</v>
      </c>
      <c r="AD31" s="471"/>
      <c r="AE31" s="471"/>
      <c r="AF31" s="506"/>
      <c r="AG31" s="509">
        <v>407673.37000000011</v>
      </c>
      <c r="AH31" s="481">
        <f t="shared" si="0"/>
        <v>3505153.1699999901</v>
      </c>
    </row>
    <row r="32" spans="1:37"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1151126.02</v>
      </c>
      <c r="Z32" s="471">
        <v>1235374.51</v>
      </c>
      <c r="AA32" s="471">
        <v>149047.25</v>
      </c>
      <c r="AB32" s="471">
        <v>57928.79</v>
      </c>
      <c r="AC32" s="471">
        <v>14254.94</v>
      </c>
      <c r="AD32" s="471"/>
      <c r="AE32" s="471"/>
      <c r="AF32" s="506"/>
      <c r="AG32" s="509">
        <v>407673.37000000011</v>
      </c>
      <c r="AH32" s="481">
        <f t="shared" si="0"/>
        <v>3015404.8800000004</v>
      </c>
    </row>
    <row r="33" spans="1:34"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1518389.47999999</v>
      </c>
      <c r="AA33" s="471">
        <v>1192909.8999999999</v>
      </c>
      <c r="AB33" s="471">
        <v>170493.91</v>
      </c>
      <c r="AC33" s="471">
        <v>112966.97</v>
      </c>
      <c r="AD33" s="471"/>
      <c r="AE33" s="471"/>
      <c r="AF33" s="506"/>
      <c r="AG33" s="509">
        <v>407673.37000000011</v>
      </c>
      <c r="AH33" s="481">
        <f t="shared" si="0"/>
        <v>3402433.6299999901</v>
      </c>
    </row>
    <row r="34" spans="1:34"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1366265.88</v>
      </c>
      <c r="AB34" s="471">
        <v>1422163.01999998</v>
      </c>
      <c r="AC34" s="471">
        <v>162586.76</v>
      </c>
      <c r="AD34" s="471"/>
      <c r="AE34" s="471"/>
      <c r="AF34" s="506"/>
      <c r="AG34" s="509">
        <v>407673.37000000011</v>
      </c>
      <c r="AH34" s="481">
        <f t="shared" si="0"/>
        <v>3358689.0299999798</v>
      </c>
    </row>
    <row r="35" spans="1:34"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1245792.6799999899</v>
      </c>
      <c r="AC35" s="471">
        <v>1025448.18</v>
      </c>
      <c r="AD35" s="471"/>
      <c r="AE35" s="471"/>
      <c r="AF35" s="506"/>
      <c r="AG35" s="509">
        <v>407673.37000000011</v>
      </c>
      <c r="AH35" s="481">
        <f t="shared" si="0"/>
        <v>2678914.2299999902</v>
      </c>
    </row>
    <row r="36" spans="1:34"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1120912.50999999</v>
      </c>
      <c r="AD36" s="471"/>
      <c r="AE36" s="471"/>
      <c r="AF36" s="506"/>
      <c r="AG36" s="509">
        <v>407673.37000000011</v>
      </c>
      <c r="AH36" s="481">
        <f t="shared" si="0"/>
        <v>1528585.8799999901</v>
      </c>
    </row>
    <row r="37" spans="1:34"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34"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34"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34"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34" s="459" customFormat="1" ht="40.35" customHeight="1">
      <c r="A41" s="484">
        <v>32</v>
      </c>
      <c r="B41" s="960" t="s">
        <v>1500</v>
      </c>
      <c r="C41" s="961">
        <f>SUM(C10:C40)</f>
        <v>0</v>
      </c>
      <c r="D41" s="961">
        <f>SUM(D10:D40)</f>
        <v>0</v>
      </c>
      <c r="E41" s="961">
        <f t="shared" ref="E41:AC41" si="2">SUM(E10:E40)</f>
        <v>0</v>
      </c>
      <c r="F41" s="961">
        <f t="shared" si="2"/>
        <v>0</v>
      </c>
      <c r="G41" s="961">
        <f t="shared" si="2"/>
        <v>3229018.1299999971</v>
      </c>
      <c r="H41" s="961">
        <f t="shared" si="2"/>
        <v>3272111.8399999901</v>
      </c>
      <c r="I41" s="961">
        <f t="shared" si="2"/>
        <v>3653934.6199999908</v>
      </c>
      <c r="J41" s="961">
        <f t="shared" si="2"/>
        <v>3284634.679999989</v>
      </c>
      <c r="K41" s="961">
        <f t="shared" si="2"/>
        <v>3273246.1199999959</v>
      </c>
      <c r="L41" s="961">
        <f t="shared" si="2"/>
        <v>3267379.0499999928</v>
      </c>
      <c r="M41" s="961">
        <f t="shared" si="2"/>
        <v>2998789.3099999856</v>
      </c>
      <c r="N41" s="961">
        <f t="shared" si="2"/>
        <v>3264863.0099999933</v>
      </c>
      <c r="O41" s="961">
        <f t="shared" si="2"/>
        <v>3060938.2</v>
      </c>
      <c r="P41" s="961">
        <f t="shared" si="2"/>
        <v>3140558.4999999907</v>
      </c>
      <c r="Q41" s="961">
        <f t="shared" si="2"/>
        <v>2811534.6100000096</v>
      </c>
      <c r="R41" s="961">
        <f t="shared" si="2"/>
        <v>3049465.08</v>
      </c>
      <c r="S41" s="961">
        <f t="shared" si="2"/>
        <v>2714522.3399999877</v>
      </c>
      <c r="T41" s="961">
        <f t="shared" si="2"/>
        <v>3015120.2699999902</v>
      </c>
      <c r="U41" s="961">
        <f t="shared" si="2"/>
        <v>3174191.6899999902</v>
      </c>
      <c r="V41" s="961">
        <f t="shared" si="2"/>
        <v>2973556.7199999802</v>
      </c>
      <c r="W41" s="961">
        <f t="shared" si="2"/>
        <v>2976113.3999999799</v>
      </c>
      <c r="X41" s="961">
        <f t="shared" si="2"/>
        <v>2723850.1300000008</v>
      </c>
      <c r="Y41" s="961">
        <f t="shared" si="2"/>
        <v>2904436.6699999897</v>
      </c>
      <c r="Z41" s="961">
        <f t="shared" si="2"/>
        <v>3016934.2499999898</v>
      </c>
      <c r="AA41" s="961">
        <f t="shared" si="2"/>
        <v>2778340.9499999997</v>
      </c>
      <c r="AB41" s="961">
        <f t="shared" si="2"/>
        <v>2942666.6599999699</v>
      </c>
      <c r="AC41" s="961">
        <f t="shared" si="2"/>
        <v>2472535.1399999904</v>
      </c>
      <c r="AD41" s="961">
        <f>SUM(AD10:AD40)</f>
        <v>0</v>
      </c>
      <c r="AE41" s="961">
        <f>SUM(AE10:AE40)</f>
        <v>0</v>
      </c>
      <c r="AF41" s="961">
        <f>SUM(AF10:AF40)</f>
        <v>0</v>
      </c>
      <c r="AG41" s="519">
        <f>SUM(AG10:AG40)</f>
        <v>11007180.99000001</v>
      </c>
      <c r="AH41" s="962">
        <f>SUM(AH10:AH40)</f>
        <v>81005922.359999821</v>
      </c>
    </row>
    <row r="42" spans="1:34"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34"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34"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34" s="459" customFormat="1" ht="58.35" customHeight="1">
      <c r="A45" s="485">
        <v>36</v>
      </c>
      <c r="B45" s="488" t="s">
        <v>1504</v>
      </c>
      <c r="C45" s="475">
        <f>SUM(C41:C44)</f>
        <v>0</v>
      </c>
      <c r="D45" s="475">
        <f>SUM(D41:D44)</f>
        <v>0</v>
      </c>
      <c r="E45" s="476">
        <f t="shared" ref="E45:AB45" si="3">SUM(E41:E44)</f>
        <v>0</v>
      </c>
      <c r="F45" s="476">
        <f>SUM(F41:F44)</f>
        <v>0</v>
      </c>
      <c r="G45" s="476">
        <f t="shared" si="3"/>
        <v>3229018.1299999971</v>
      </c>
      <c r="H45" s="476">
        <f t="shared" si="3"/>
        <v>3272111.8399999901</v>
      </c>
      <c r="I45" s="476">
        <f t="shared" si="3"/>
        <v>3653934.6199999908</v>
      </c>
      <c r="J45" s="476">
        <f t="shared" si="3"/>
        <v>3284634.679999989</v>
      </c>
      <c r="K45" s="476">
        <f t="shared" si="3"/>
        <v>3273246.1199999959</v>
      </c>
      <c r="L45" s="476">
        <f t="shared" si="3"/>
        <v>3267379.0499999928</v>
      </c>
      <c r="M45" s="476">
        <f t="shared" si="3"/>
        <v>2998789.3099999856</v>
      </c>
      <c r="N45" s="476">
        <f t="shared" si="3"/>
        <v>3264863.0099999933</v>
      </c>
      <c r="O45" s="476">
        <f t="shared" si="3"/>
        <v>3060938.2</v>
      </c>
      <c r="P45" s="476">
        <f t="shared" si="3"/>
        <v>3140558.4999999907</v>
      </c>
      <c r="Q45" s="476">
        <f t="shared" si="3"/>
        <v>2811534.6100000096</v>
      </c>
      <c r="R45" s="476">
        <f t="shared" si="3"/>
        <v>3049465.08</v>
      </c>
      <c r="S45" s="476">
        <f t="shared" si="3"/>
        <v>2714522.3399999877</v>
      </c>
      <c r="T45" s="476">
        <f t="shared" si="3"/>
        <v>3015120.2699999902</v>
      </c>
      <c r="U45" s="476">
        <f t="shared" si="3"/>
        <v>3174191.6899999902</v>
      </c>
      <c r="V45" s="476">
        <f t="shared" si="3"/>
        <v>2973556.7199999802</v>
      </c>
      <c r="W45" s="476">
        <f t="shared" si="3"/>
        <v>2976113.3999999799</v>
      </c>
      <c r="X45" s="476">
        <f t="shared" si="3"/>
        <v>2723850.1300000008</v>
      </c>
      <c r="Y45" s="476">
        <f t="shared" si="3"/>
        <v>2904436.6699999897</v>
      </c>
      <c r="Z45" s="476">
        <f t="shared" si="3"/>
        <v>3016934.2499999898</v>
      </c>
      <c r="AA45" s="476">
        <f t="shared" si="3"/>
        <v>2778340.9499999997</v>
      </c>
      <c r="AB45" s="476">
        <f t="shared" si="3"/>
        <v>2942666.6599999699</v>
      </c>
      <c r="AC45" s="476">
        <f t="shared" ref="AC45:AH45" si="4">SUM(AC41:AC44)</f>
        <v>2472535.1399999904</v>
      </c>
      <c r="AD45" s="476">
        <f t="shared" si="4"/>
        <v>0</v>
      </c>
      <c r="AE45" s="476">
        <f t="shared" si="4"/>
        <v>0</v>
      </c>
      <c r="AF45" s="476">
        <f t="shared" si="4"/>
        <v>0</v>
      </c>
      <c r="AG45" s="478">
        <f t="shared" si="4"/>
        <v>11007180.99000001</v>
      </c>
      <c r="AH45" s="477">
        <f t="shared" si="4"/>
        <v>81005922.359999821</v>
      </c>
    </row>
    <row r="46" spans="1:34" s="459" customFormat="1" ht="53.25" customHeight="1">
      <c r="A46" s="485">
        <v>37</v>
      </c>
      <c r="B46" s="488" t="s">
        <v>1505</v>
      </c>
      <c r="C46" s="473"/>
      <c r="D46" s="471">
        <v>0</v>
      </c>
      <c r="E46" s="471">
        <v>0</v>
      </c>
      <c r="F46" s="471">
        <v>0</v>
      </c>
      <c r="G46" s="474">
        <v>86121.453124929598</v>
      </c>
      <c r="H46" s="471">
        <v>71058.81658044178</v>
      </c>
      <c r="I46" s="471">
        <v>37829.246279510218</v>
      </c>
      <c r="J46" s="471">
        <v>24396.874307052673</v>
      </c>
      <c r="K46" s="471">
        <v>29246.076988346238</v>
      </c>
      <c r="L46" s="471">
        <v>11573.766247076157</v>
      </c>
      <c r="M46" s="471">
        <v>7636.2130783448692</v>
      </c>
      <c r="N46" s="471">
        <v>4089.8194817599933</v>
      </c>
      <c r="O46" s="472">
        <v>1866.3786598868298</v>
      </c>
      <c r="P46" s="471">
        <v>1374.5858099447796</v>
      </c>
      <c r="Q46" s="472">
        <v>316.96903046257967</v>
      </c>
      <c r="R46" s="471">
        <v>4.4327680204646721E-9</v>
      </c>
      <c r="S46" s="472">
        <v>-1.6265945601413549E-9</v>
      </c>
      <c r="T46" s="472">
        <v>4.3377212484467885E-10</v>
      </c>
      <c r="U46" s="472">
        <v>0</v>
      </c>
      <c r="V46" s="471">
        <v>4.5495084883563082E-10</v>
      </c>
      <c r="W46" s="472">
        <v>-4.4933831654654926E-10</v>
      </c>
      <c r="X46" s="472">
        <v>0</v>
      </c>
      <c r="Y46" s="472">
        <v>0</v>
      </c>
      <c r="Z46" s="471">
        <v>-3.304244081428857E-9</v>
      </c>
      <c r="AA46" s="472">
        <v>4.4874825169698071E-10</v>
      </c>
      <c r="AB46" s="471">
        <v>0</v>
      </c>
      <c r="AC46" s="472">
        <v>8.6783307520501862E-10</v>
      </c>
      <c r="AD46" s="472">
        <v>3.2237023983996846E-9</v>
      </c>
      <c r="AE46" s="471"/>
      <c r="AF46" s="529"/>
      <c r="AG46" s="474"/>
      <c r="AH46" s="477">
        <f>SUM(C46:AG46)</f>
        <v>275510.19958776009</v>
      </c>
    </row>
    <row r="47" spans="1:34" s="459" customFormat="1" ht="40.35" customHeight="1" thickBot="1">
      <c r="A47" s="489">
        <v>38</v>
      </c>
      <c r="B47" s="490" t="s">
        <v>1506</v>
      </c>
      <c r="C47" s="479">
        <f>SUM(C45:C46)</f>
        <v>0</v>
      </c>
      <c r="D47" s="479">
        <f t="shared" ref="D47:AC47" si="5">SUM(D45:D46)</f>
        <v>0</v>
      </c>
      <c r="E47" s="479">
        <f t="shared" si="5"/>
        <v>0</v>
      </c>
      <c r="F47" s="479">
        <f t="shared" si="5"/>
        <v>0</v>
      </c>
      <c r="G47" s="479">
        <f t="shared" si="5"/>
        <v>3315139.5831249268</v>
      </c>
      <c r="H47" s="479">
        <f t="shared" si="5"/>
        <v>3343170.6565804319</v>
      </c>
      <c r="I47" s="479">
        <f t="shared" si="5"/>
        <v>3691763.866279501</v>
      </c>
      <c r="J47" s="479">
        <f t="shared" si="5"/>
        <v>3309031.5543070417</v>
      </c>
      <c r="K47" s="479">
        <f t="shared" si="5"/>
        <v>3302492.1969883423</v>
      </c>
      <c r="L47" s="479">
        <f t="shared" si="5"/>
        <v>3278952.8162470688</v>
      </c>
      <c r="M47" s="479">
        <f t="shared" si="5"/>
        <v>3006425.5230783303</v>
      </c>
      <c r="N47" s="479">
        <f t="shared" si="5"/>
        <v>3268952.8294817531</v>
      </c>
      <c r="O47" s="479">
        <f t="shared" si="5"/>
        <v>3062804.578659887</v>
      </c>
      <c r="P47" s="479">
        <f t="shared" si="5"/>
        <v>3141933.0858099353</v>
      </c>
      <c r="Q47" s="479">
        <f t="shared" si="5"/>
        <v>2811851.5790304723</v>
      </c>
      <c r="R47" s="479">
        <f t="shared" si="5"/>
        <v>3049465.0800000047</v>
      </c>
      <c r="S47" s="479">
        <f t="shared" si="5"/>
        <v>2714522.3399999863</v>
      </c>
      <c r="T47" s="479">
        <f t="shared" si="5"/>
        <v>3015120.2699999907</v>
      </c>
      <c r="U47" s="479">
        <f t="shared" si="5"/>
        <v>3174191.6899999902</v>
      </c>
      <c r="V47" s="479">
        <f t="shared" si="5"/>
        <v>2973556.7199999806</v>
      </c>
      <c r="W47" s="479">
        <f t="shared" si="5"/>
        <v>2976113.3999999794</v>
      </c>
      <c r="X47" s="479">
        <f t="shared" si="5"/>
        <v>2723850.1300000008</v>
      </c>
      <c r="Y47" s="479">
        <f t="shared" si="5"/>
        <v>2904436.6699999897</v>
      </c>
      <c r="Z47" s="479">
        <f t="shared" si="5"/>
        <v>3016934.2499999865</v>
      </c>
      <c r="AA47" s="479">
        <f t="shared" si="5"/>
        <v>2778340.95</v>
      </c>
      <c r="AB47" s="479">
        <f t="shared" si="5"/>
        <v>2942666.6599999699</v>
      </c>
      <c r="AC47" s="479">
        <f t="shared" si="5"/>
        <v>2472535.1399999913</v>
      </c>
      <c r="AD47" s="479">
        <f>SUM(AD45:AD46)</f>
        <v>3.2237023983996846E-9</v>
      </c>
      <c r="AE47" s="479">
        <f>SUM(AE45:AE46)</f>
        <v>0</v>
      </c>
      <c r="AF47" s="479">
        <f>SUM(AF45:AF46)</f>
        <v>0</v>
      </c>
      <c r="AG47" s="507">
        <f>SUM(AG45:AG46)</f>
        <v>11007180.99000001</v>
      </c>
      <c r="AH47" s="480">
        <f>SUM(AH45:AH46)</f>
        <v>81281432.559587583</v>
      </c>
    </row>
  </sheetData>
  <sheetProtection algorithmName="SHA-512" hashValue="dt6KYk4l2FYwuVdt6ooSUMuyS58b1yeTnhOSOLm7A+9MtDWK53u+Nds5JoFUguDScF6qfz66gNylA1CBK8xUIw==" saltValue="yrPBXAv3pL3kto1AfWAUiw=="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DJ61"/>
  <sheetViews>
    <sheetView zoomScale="60" zoomScaleNormal="60" workbookViewId="0">
      <selection activeCell="AH46" sqref="AH46"/>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9.42578125" style="458" bestFit="1" customWidth="1"/>
    <col min="34" max="34" width="16.5703125" style="458" customWidth="1"/>
    <col min="35" max="16384" width="8" style="458"/>
  </cols>
  <sheetData>
    <row r="1" spans="1:114" ht="15.6">
      <c r="A1" s="427" t="s">
        <v>1507</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0</v>
      </c>
      <c r="E10" s="959">
        <v>0</v>
      </c>
      <c r="F10" s="959">
        <v>0</v>
      </c>
      <c r="G10" s="959">
        <v>45709.74</v>
      </c>
      <c r="H10" s="959">
        <v>71929.47</v>
      </c>
      <c r="I10" s="959">
        <v>139211.41</v>
      </c>
      <c r="J10" s="959">
        <v>18050.349999999999</v>
      </c>
      <c r="K10" s="959">
        <v>91571.92</v>
      </c>
      <c r="L10" s="959">
        <v>345765.79</v>
      </c>
      <c r="M10" s="959">
        <v>8048.5</v>
      </c>
      <c r="N10" s="959">
        <v>-10307.15</v>
      </c>
      <c r="O10" s="959">
        <v>-15749.95</v>
      </c>
      <c r="P10" s="959">
        <v>13487.94</v>
      </c>
      <c r="Q10" s="959">
        <v>0</v>
      </c>
      <c r="R10" s="959">
        <v>2544.4</v>
      </c>
      <c r="S10" s="959">
        <v>-10533.07</v>
      </c>
      <c r="T10" s="959">
        <v>-7743.81</v>
      </c>
      <c r="U10" s="959">
        <v>0</v>
      </c>
      <c r="V10" s="959">
        <v>0</v>
      </c>
      <c r="W10" s="959">
        <v>0</v>
      </c>
      <c r="X10" s="959">
        <v>0</v>
      </c>
      <c r="Y10" s="959">
        <v>0</v>
      </c>
      <c r="Z10" s="959">
        <v>0</v>
      </c>
      <c r="AA10" s="959">
        <v>0</v>
      </c>
      <c r="AB10" s="959">
        <v>0</v>
      </c>
      <c r="AC10" s="959">
        <v>0</v>
      </c>
      <c r="AD10" s="959"/>
      <c r="AE10" s="959"/>
      <c r="AF10" s="513"/>
      <c r="AG10" s="512">
        <v>0</v>
      </c>
      <c r="AH10" s="481">
        <f t="shared" ref="AH10:AH39" si="0">SUM(C10:AG10)</f>
        <v>691985.53999999992</v>
      </c>
    </row>
    <row r="11" spans="1:114" s="460" customFormat="1">
      <c r="A11" s="482">
        <v>2</v>
      </c>
      <c r="B11" s="483">
        <f>'Schedule 2_Balance Sheet'!C4</f>
        <v>45657</v>
      </c>
      <c r="C11" s="498"/>
      <c r="D11" s="524">
        <v>0</v>
      </c>
      <c r="E11" s="524">
        <v>0</v>
      </c>
      <c r="F11" s="524">
        <v>0</v>
      </c>
      <c r="G11" s="524">
        <v>1396671.6</v>
      </c>
      <c r="H11" s="524">
        <v>96190.02</v>
      </c>
      <c r="I11" s="524">
        <v>91823.52</v>
      </c>
      <c r="J11" s="524">
        <v>53218.89</v>
      </c>
      <c r="K11" s="524">
        <v>18861.060000000001</v>
      </c>
      <c r="L11" s="524">
        <v>-13215.82</v>
      </c>
      <c r="M11" s="524">
        <v>0</v>
      </c>
      <c r="N11" s="524">
        <v>-23187.69</v>
      </c>
      <c r="O11" s="524">
        <v>-24791.68</v>
      </c>
      <c r="P11" s="524">
        <v>-9188.9500000000007</v>
      </c>
      <c r="Q11" s="524">
        <v>92791.64</v>
      </c>
      <c r="R11" s="524">
        <v>22798.63</v>
      </c>
      <c r="S11" s="524">
        <v>-9461.9699999999993</v>
      </c>
      <c r="T11" s="524">
        <v>-50363.57</v>
      </c>
      <c r="U11" s="524">
        <v>-44861.82</v>
      </c>
      <c r="V11" s="524">
        <v>0</v>
      </c>
      <c r="W11" s="524">
        <v>0</v>
      </c>
      <c r="X11" s="524">
        <v>0</v>
      </c>
      <c r="Y11" s="524">
        <v>-9415.44</v>
      </c>
      <c r="Z11" s="524">
        <v>0</v>
      </c>
      <c r="AA11" s="524">
        <v>-20480.46</v>
      </c>
      <c r="AB11" s="524">
        <v>0</v>
      </c>
      <c r="AC11" s="524">
        <v>0</v>
      </c>
      <c r="AD11" s="524"/>
      <c r="AE11" s="524"/>
      <c r="AF11" s="514"/>
      <c r="AG11" s="510">
        <v>16868.71</v>
      </c>
      <c r="AH11" s="481">
        <f t="shared" si="0"/>
        <v>1584256.67</v>
      </c>
    </row>
    <row r="12" spans="1:114" s="459" customFormat="1" ht="15" customHeight="1">
      <c r="A12" s="482">
        <v>3</v>
      </c>
      <c r="B12" s="483">
        <f>EOMONTH(B11,-1)</f>
        <v>45626</v>
      </c>
      <c r="C12" s="498"/>
      <c r="D12" s="498">
        <v>0</v>
      </c>
      <c r="E12" s="471">
        <v>0</v>
      </c>
      <c r="F12" s="471">
        <v>0</v>
      </c>
      <c r="G12" s="471">
        <v>2927535.73</v>
      </c>
      <c r="H12" s="471">
        <v>2885016.28</v>
      </c>
      <c r="I12" s="471">
        <v>539645.37</v>
      </c>
      <c r="J12" s="471">
        <v>73837.289999999994</v>
      </c>
      <c r="K12" s="471">
        <v>-385.09000000000702</v>
      </c>
      <c r="L12" s="471">
        <v>33767</v>
      </c>
      <c r="M12" s="471">
        <v>-3798.99999999999</v>
      </c>
      <c r="N12" s="471">
        <v>9021.8800000000101</v>
      </c>
      <c r="O12" s="471">
        <v>2383.36</v>
      </c>
      <c r="P12" s="471">
        <v>-5144.71</v>
      </c>
      <c r="Q12" s="471">
        <v>-648.66999999999996</v>
      </c>
      <c r="R12" s="471">
        <v>0</v>
      </c>
      <c r="S12" s="471">
        <v>0</v>
      </c>
      <c r="T12" s="471">
        <v>-18257.53</v>
      </c>
      <c r="U12" s="471">
        <v>-26391.64</v>
      </c>
      <c r="V12" s="471">
        <v>-23134.86</v>
      </c>
      <c r="W12" s="471">
        <v>-8820.81</v>
      </c>
      <c r="X12" s="471">
        <v>0</v>
      </c>
      <c r="Y12" s="471">
        <v>0</v>
      </c>
      <c r="Z12" s="471">
        <v>0</v>
      </c>
      <c r="AA12" s="471">
        <v>0</v>
      </c>
      <c r="AB12" s="471">
        <v>-6278.71</v>
      </c>
      <c r="AC12" s="471">
        <v>0</v>
      </c>
      <c r="AD12" s="471"/>
      <c r="AE12" s="471"/>
      <c r="AF12" s="506"/>
      <c r="AG12" s="510">
        <v>68776.81</v>
      </c>
      <c r="AH12" s="481">
        <f t="shared" si="0"/>
        <v>6447122.7000000002</v>
      </c>
    </row>
    <row r="13" spans="1:114" s="459" customFormat="1" ht="15" customHeight="1">
      <c r="A13" s="482">
        <v>4</v>
      </c>
      <c r="B13" s="483">
        <f t="shared" ref="B13:B39" si="1">EOMONTH(B12,-1)</f>
        <v>45596</v>
      </c>
      <c r="C13" s="498"/>
      <c r="D13" s="496">
        <v>0</v>
      </c>
      <c r="E13" s="498">
        <v>0</v>
      </c>
      <c r="F13" s="471">
        <v>0</v>
      </c>
      <c r="G13" s="471">
        <v>763963.37</v>
      </c>
      <c r="H13" s="471">
        <v>1851908.97</v>
      </c>
      <c r="I13" s="471">
        <v>1610710.39</v>
      </c>
      <c r="J13" s="471">
        <v>207186.18</v>
      </c>
      <c r="K13" s="471">
        <v>36760.620000000003</v>
      </c>
      <c r="L13" s="471">
        <v>52324.32</v>
      </c>
      <c r="M13" s="471">
        <v>51757.06</v>
      </c>
      <c r="N13" s="471">
        <v>57461.43</v>
      </c>
      <c r="O13" s="471">
        <v>-16584.28</v>
      </c>
      <c r="P13" s="471">
        <v>-9635.1200000000008</v>
      </c>
      <c r="Q13" s="471">
        <v>-17270.939999999999</v>
      </c>
      <c r="R13" s="471">
        <v>0</v>
      </c>
      <c r="S13" s="472">
        <v>-2630.32</v>
      </c>
      <c r="T13" s="472">
        <v>0</v>
      </c>
      <c r="U13" s="472">
        <v>-32295.13</v>
      </c>
      <c r="V13" s="471">
        <v>-31524.29</v>
      </c>
      <c r="W13" s="471">
        <v>0</v>
      </c>
      <c r="X13" s="472">
        <v>0</v>
      </c>
      <c r="Y13" s="472">
        <v>23498.41</v>
      </c>
      <c r="Z13" s="471">
        <v>0</v>
      </c>
      <c r="AA13" s="471">
        <v>-244258.21</v>
      </c>
      <c r="AB13" s="471">
        <v>1343</v>
      </c>
      <c r="AC13" s="471">
        <v>0</v>
      </c>
      <c r="AD13" s="471"/>
      <c r="AE13" s="471"/>
      <c r="AF13" s="506"/>
      <c r="AG13" s="508">
        <v>0</v>
      </c>
      <c r="AH13" s="481">
        <f t="shared" si="0"/>
        <v>4302715.4599999981</v>
      </c>
    </row>
    <row r="14" spans="1:114" s="459" customFormat="1" ht="15" customHeight="1">
      <c r="A14" s="482">
        <v>5</v>
      </c>
      <c r="B14" s="483">
        <f t="shared" si="1"/>
        <v>45565</v>
      </c>
      <c r="C14" s="498"/>
      <c r="D14" s="496">
        <v>0</v>
      </c>
      <c r="E14" s="496">
        <v>0</v>
      </c>
      <c r="F14" s="498">
        <v>0</v>
      </c>
      <c r="G14" s="471">
        <v>232855.19</v>
      </c>
      <c r="H14" s="471">
        <v>551843.54</v>
      </c>
      <c r="I14" s="471">
        <v>2685700.69</v>
      </c>
      <c r="J14" s="471">
        <v>938278.15</v>
      </c>
      <c r="K14" s="471">
        <v>98414.43</v>
      </c>
      <c r="L14" s="471">
        <v>-30477.46</v>
      </c>
      <c r="M14" s="471">
        <v>-50287.99</v>
      </c>
      <c r="N14" s="471">
        <v>-19302.23</v>
      </c>
      <c r="O14" s="471">
        <v>-39870.92</v>
      </c>
      <c r="P14" s="471">
        <v>-9682.0400000000009</v>
      </c>
      <c r="Q14" s="471">
        <v>-18734.080000000002</v>
      </c>
      <c r="R14" s="471">
        <v>-2333.64</v>
      </c>
      <c r="S14" s="472">
        <v>0</v>
      </c>
      <c r="T14" s="472">
        <v>0</v>
      </c>
      <c r="U14" s="472">
        <v>0</v>
      </c>
      <c r="V14" s="471">
        <v>0</v>
      </c>
      <c r="W14" s="471">
        <v>0</v>
      </c>
      <c r="X14" s="472">
        <v>0</v>
      </c>
      <c r="Y14" s="472">
        <v>0</v>
      </c>
      <c r="Z14" s="471">
        <v>0</v>
      </c>
      <c r="AA14" s="471">
        <v>0</v>
      </c>
      <c r="AB14" s="471">
        <v>0</v>
      </c>
      <c r="AC14" s="471">
        <v>-14910.69</v>
      </c>
      <c r="AD14" s="471"/>
      <c r="AE14" s="471"/>
      <c r="AF14" s="506"/>
      <c r="AG14" s="509">
        <v>0</v>
      </c>
      <c r="AH14" s="481">
        <f t="shared" si="0"/>
        <v>4321492.9499999993</v>
      </c>
    </row>
    <row r="15" spans="1:114" s="459" customFormat="1" ht="15" customHeight="1">
      <c r="A15" s="482">
        <v>6</v>
      </c>
      <c r="B15" s="483">
        <f t="shared" si="1"/>
        <v>45535</v>
      </c>
      <c r="C15" s="498"/>
      <c r="D15" s="496">
        <v>0</v>
      </c>
      <c r="E15" s="496">
        <v>0</v>
      </c>
      <c r="F15" s="496">
        <v>0</v>
      </c>
      <c r="G15" s="498">
        <v>0</v>
      </c>
      <c r="H15" s="471">
        <v>295134.39</v>
      </c>
      <c r="I15" s="471">
        <v>1236924.49</v>
      </c>
      <c r="J15" s="471">
        <v>3985331.55</v>
      </c>
      <c r="K15" s="471">
        <v>2086356.85</v>
      </c>
      <c r="L15" s="471">
        <v>118680.67</v>
      </c>
      <c r="M15" s="471">
        <v>75755.509999999995</v>
      </c>
      <c r="N15" s="471">
        <v>57067.09</v>
      </c>
      <c r="O15" s="471">
        <v>256039.61</v>
      </c>
      <c r="P15" s="471">
        <v>106508.41</v>
      </c>
      <c r="Q15" s="471">
        <v>-18161.09</v>
      </c>
      <c r="R15" s="471">
        <v>-6457.6200000000099</v>
      </c>
      <c r="S15" s="472">
        <v>23531.38</v>
      </c>
      <c r="T15" s="472">
        <v>8493.64</v>
      </c>
      <c r="U15" s="472">
        <v>-21713.31</v>
      </c>
      <c r="V15" s="471">
        <v>0</v>
      </c>
      <c r="W15" s="471">
        <v>0</v>
      </c>
      <c r="X15" s="472">
        <v>0</v>
      </c>
      <c r="Y15" s="472">
        <v>-8330.06</v>
      </c>
      <c r="Z15" s="471">
        <v>0</v>
      </c>
      <c r="AA15" s="471">
        <v>0</v>
      </c>
      <c r="AB15" s="471">
        <v>0</v>
      </c>
      <c r="AC15" s="471">
        <v>0</v>
      </c>
      <c r="AD15" s="471"/>
      <c r="AE15" s="471"/>
      <c r="AF15" s="506"/>
      <c r="AG15" s="509">
        <v>-447.5</v>
      </c>
      <c r="AH15" s="481">
        <f t="shared" si="0"/>
        <v>8194714.0099999998</v>
      </c>
    </row>
    <row r="16" spans="1:114" s="459" customFormat="1" ht="15" customHeight="1">
      <c r="A16" s="482">
        <v>7</v>
      </c>
      <c r="B16" s="483">
        <f t="shared" si="1"/>
        <v>45504</v>
      </c>
      <c r="C16" s="498"/>
      <c r="D16" s="496">
        <v>0</v>
      </c>
      <c r="E16" s="496">
        <v>0</v>
      </c>
      <c r="F16" s="499">
        <v>0</v>
      </c>
      <c r="G16" s="496">
        <v>0</v>
      </c>
      <c r="H16" s="498">
        <v>0</v>
      </c>
      <c r="I16" s="471">
        <v>111697.65</v>
      </c>
      <c r="J16" s="471">
        <v>544725.75</v>
      </c>
      <c r="K16" s="471">
        <v>2425791.5699999998</v>
      </c>
      <c r="L16" s="471">
        <v>1252184.73</v>
      </c>
      <c r="M16" s="471">
        <v>69820.84</v>
      </c>
      <c r="N16" s="471">
        <v>-4804.72</v>
      </c>
      <c r="O16" s="471">
        <v>-13068.87</v>
      </c>
      <c r="P16" s="471">
        <v>-20249.560000000001</v>
      </c>
      <c r="Q16" s="471">
        <v>11398.87</v>
      </c>
      <c r="R16" s="471">
        <v>257.91000000000003</v>
      </c>
      <c r="S16" s="472">
        <v>-16212.01</v>
      </c>
      <c r="T16" s="472">
        <v>-7148.75</v>
      </c>
      <c r="U16" s="472">
        <v>13728.54</v>
      </c>
      <c r="V16" s="471">
        <v>0</v>
      </c>
      <c r="W16" s="471">
        <v>-4185.95</v>
      </c>
      <c r="X16" s="472">
        <v>-8412.4699999999993</v>
      </c>
      <c r="Y16" s="472">
        <v>0</v>
      </c>
      <c r="Z16" s="471">
        <v>11206.08</v>
      </c>
      <c r="AA16" s="471">
        <v>-7170.06</v>
      </c>
      <c r="AB16" s="471">
        <v>20097.47</v>
      </c>
      <c r="AC16" s="471">
        <v>0</v>
      </c>
      <c r="AD16" s="471"/>
      <c r="AE16" s="471"/>
      <c r="AF16" s="506"/>
      <c r="AG16" s="509">
        <v>0</v>
      </c>
      <c r="AH16" s="481">
        <f t="shared" si="0"/>
        <v>4379657.0200000005</v>
      </c>
    </row>
    <row r="17" spans="1:34" s="459" customFormat="1" ht="15" customHeight="1">
      <c r="A17" s="482">
        <v>8</v>
      </c>
      <c r="B17" s="483">
        <f t="shared" si="1"/>
        <v>45473</v>
      </c>
      <c r="C17" s="498"/>
      <c r="D17" s="496">
        <v>0</v>
      </c>
      <c r="E17" s="496">
        <v>0</v>
      </c>
      <c r="F17" s="496">
        <v>0</v>
      </c>
      <c r="G17" s="496">
        <v>0</v>
      </c>
      <c r="H17" s="496">
        <v>0</v>
      </c>
      <c r="I17" s="498">
        <v>0</v>
      </c>
      <c r="J17" s="471">
        <v>177240.38</v>
      </c>
      <c r="K17" s="471">
        <v>554980.63</v>
      </c>
      <c r="L17" s="471">
        <v>913793.67</v>
      </c>
      <c r="M17" s="471">
        <v>1169723.5900000001</v>
      </c>
      <c r="N17" s="471">
        <v>133051.17000000001</v>
      </c>
      <c r="O17" s="471">
        <v>84451.96</v>
      </c>
      <c r="P17" s="471">
        <v>45625.51</v>
      </c>
      <c r="Q17" s="471">
        <v>0</v>
      </c>
      <c r="R17" s="471">
        <v>4108.03</v>
      </c>
      <c r="S17" s="472">
        <v>1469.69</v>
      </c>
      <c r="T17" s="472">
        <v>0</v>
      </c>
      <c r="U17" s="472">
        <v>0</v>
      </c>
      <c r="V17" s="471">
        <v>0</v>
      </c>
      <c r="W17" s="471">
        <v>0</v>
      </c>
      <c r="X17" s="472">
        <v>0</v>
      </c>
      <c r="Y17" s="472">
        <v>0</v>
      </c>
      <c r="Z17" s="471">
        <v>-86826.78</v>
      </c>
      <c r="AA17" s="471">
        <v>-10522.27</v>
      </c>
      <c r="AB17" s="471">
        <v>-37410.57</v>
      </c>
      <c r="AC17" s="471">
        <v>0</v>
      </c>
      <c r="AD17" s="471"/>
      <c r="AE17" s="471"/>
      <c r="AF17" s="506"/>
      <c r="AG17" s="509">
        <v>0</v>
      </c>
      <c r="AH17" s="481">
        <f t="shared" si="0"/>
        <v>2949685.0100000002</v>
      </c>
    </row>
    <row r="18" spans="1:34" s="459" customFormat="1" ht="15" customHeight="1">
      <c r="A18" s="482">
        <v>9</v>
      </c>
      <c r="B18" s="483">
        <f t="shared" si="1"/>
        <v>45443</v>
      </c>
      <c r="C18" s="498"/>
      <c r="D18" s="496">
        <v>0</v>
      </c>
      <c r="E18" s="496">
        <v>0</v>
      </c>
      <c r="F18" s="496">
        <v>0</v>
      </c>
      <c r="G18" s="496">
        <v>0</v>
      </c>
      <c r="H18" s="496">
        <v>0</v>
      </c>
      <c r="I18" s="496">
        <v>0</v>
      </c>
      <c r="J18" s="498">
        <v>0</v>
      </c>
      <c r="K18" s="471">
        <v>224246.09</v>
      </c>
      <c r="L18" s="471">
        <v>2446715.7999999998</v>
      </c>
      <c r="M18" s="471">
        <v>3161793.38</v>
      </c>
      <c r="N18" s="471">
        <v>3236770.39</v>
      </c>
      <c r="O18" s="471">
        <v>55082.16</v>
      </c>
      <c r="P18" s="471">
        <v>61163.8</v>
      </c>
      <c r="Q18" s="471">
        <v>87011.69</v>
      </c>
      <c r="R18" s="471">
        <v>19328.18</v>
      </c>
      <c r="S18" s="472">
        <v>-6824.6</v>
      </c>
      <c r="T18" s="472">
        <v>-31151.46</v>
      </c>
      <c r="U18" s="472">
        <v>51093.09</v>
      </c>
      <c r="V18" s="471">
        <v>0</v>
      </c>
      <c r="W18" s="471">
        <v>0</v>
      </c>
      <c r="X18" s="472">
        <v>-3269.29</v>
      </c>
      <c r="Y18" s="472">
        <v>0</v>
      </c>
      <c r="Z18" s="471">
        <v>-16823.79</v>
      </c>
      <c r="AA18" s="471">
        <v>-6388.57</v>
      </c>
      <c r="AB18" s="471">
        <v>-2933</v>
      </c>
      <c r="AC18" s="471">
        <v>0</v>
      </c>
      <c r="AD18" s="471"/>
      <c r="AE18" s="471"/>
      <c r="AF18" s="506"/>
      <c r="AG18" s="509">
        <v>394.91</v>
      </c>
      <c r="AH18" s="481">
        <f t="shared" si="0"/>
        <v>9276208.7800000012</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150025.20000000001</v>
      </c>
      <c r="M19" s="471">
        <v>320525.90999999997</v>
      </c>
      <c r="N19" s="471">
        <v>1726738.66</v>
      </c>
      <c r="O19" s="471">
        <v>1987574.24</v>
      </c>
      <c r="P19" s="471">
        <v>141847.54</v>
      </c>
      <c r="Q19" s="471">
        <v>58606.7</v>
      </c>
      <c r="R19" s="471">
        <v>5648.06</v>
      </c>
      <c r="S19" s="472">
        <v>-5056.3900000000003</v>
      </c>
      <c r="T19" s="472">
        <v>-20192.759999999998</v>
      </c>
      <c r="U19" s="472">
        <v>0</v>
      </c>
      <c r="V19" s="471">
        <v>25735.66</v>
      </c>
      <c r="W19" s="471">
        <v>0</v>
      </c>
      <c r="X19" s="472">
        <v>0</v>
      </c>
      <c r="Y19" s="472">
        <v>0</v>
      </c>
      <c r="Z19" s="471">
        <v>-20853.61</v>
      </c>
      <c r="AA19" s="471">
        <v>-2839.48</v>
      </c>
      <c r="AB19" s="471">
        <v>0</v>
      </c>
      <c r="AC19" s="471">
        <v>-7483.92</v>
      </c>
      <c r="AD19" s="471"/>
      <c r="AE19" s="471"/>
      <c r="AF19" s="506"/>
      <c r="AG19" s="509">
        <v>-53444.770000000004</v>
      </c>
      <c r="AH19" s="481">
        <f t="shared" si="0"/>
        <v>4306831.04</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98113.12</v>
      </c>
      <c r="N20" s="471">
        <v>196434.11</v>
      </c>
      <c r="O20" s="471">
        <v>2364894.42</v>
      </c>
      <c r="P20" s="471">
        <v>340724.23</v>
      </c>
      <c r="Q20" s="471">
        <v>196294.2</v>
      </c>
      <c r="R20" s="471">
        <v>172656.03</v>
      </c>
      <c r="S20" s="472">
        <v>6904.13</v>
      </c>
      <c r="T20" s="472">
        <v>6601.1</v>
      </c>
      <c r="U20" s="472">
        <v>1790.84</v>
      </c>
      <c r="V20" s="471">
        <v>-16358.88</v>
      </c>
      <c r="W20" s="471">
        <v>26323.94</v>
      </c>
      <c r="X20" s="472">
        <v>-2251.5700000000002</v>
      </c>
      <c r="Y20" s="472">
        <v>0</v>
      </c>
      <c r="Z20" s="471">
        <v>0</v>
      </c>
      <c r="AA20" s="471">
        <v>-3782.74</v>
      </c>
      <c r="AB20" s="471">
        <v>0</v>
      </c>
      <c r="AC20" s="471">
        <v>0</v>
      </c>
      <c r="AD20" s="471"/>
      <c r="AE20" s="471"/>
      <c r="AF20" s="506"/>
      <c r="AG20" s="509">
        <v>-227873.40000000002</v>
      </c>
      <c r="AH20" s="481">
        <f t="shared" si="0"/>
        <v>3160469.53</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272115.59999999998</v>
      </c>
      <c r="O21" s="471">
        <v>516933.25</v>
      </c>
      <c r="P21" s="471">
        <v>1128813.25</v>
      </c>
      <c r="Q21" s="471">
        <v>419583.75</v>
      </c>
      <c r="R21" s="471">
        <v>55040.19</v>
      </c>
      <c r="S21" s="472">
        <v>156881.91</v>
      </c>
      <c r="T21" s="472">
        <v>36279.54</v>
      </c>
      <c r="U21" s="472">
        <v>38794.019999999997</v>
      </c>
      <c r="V21" s="471">
        <v>19013.89</v>
      </c>
      <c r="W21" s="471">
        <v>5104.0600000000004</v>
      </c>
      <c r="X21" s="472">
        <v>-4816.3999999999996</v>
      </c>
      <c r="Y21" s="472">
        <v>-14367.69</v>
      </c>
      <c r="Z21" s="471">
        <v>-479.79000000000201</v>
      </c>
      <c r="AA21" s="471">
        <v>352911.88</v>
      </c>
      <c r="AB21" s="471">
        <v>-54928.73</v>
      </c>
      <c r="AC21" s="471">
        <v>8069.67</v>
      </c>
      <c r="AD21" s="471"/>
      <c r="AE21" s="471"/>
      <c r="AF21" s="506"/>
      <c r="AG21" s="509">
        <v>-1917.5100000000002</v>
      </c>
      <c r="AH21" s="481">
        <f t="shared" si="0"/>
        <v>2933030.8900000006</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144618.78</v>
      </c>
      <c r="P22" s="471">
        <v>1693357.99</v>
      </c>
      <c r="Q22" s="471">
        <v>1181563.52</v>
      </c>
      <c r="R22" s="471">
        <v>44389.69</v>
      </c>
      <c r="S22" s="472">
        <v>-12064.85</v>
      </c>
      <c r="T22" s="472">
        <v>11627.02</v>
      </c>
      <c r="U22" s="472">
        <v>61133.89</v>
      </c>
      <c r="V22" s="471">
        <v>44717.03</v>
      </c>
      <c r="W22" s="471">
        <v>33570.21</v>
      </c>
      <c r="X22" s="472">
        <v>117604.19</v>
      </c>
      <c r="Y22" s="472">
        <v>59433.75</v>
      </c>
      <c r="Z22" s="471">
        <v>26003.200000000001</v>
      </c>
      <c r="AA22" s="471">
        <v>-10733.67</v>
      </c>
      <c r="AB22" s="471">
        <v>-10202.26</v>
      </c>
      <c r="AC22" s="471">
        <v>-23282.84</v>
      </c>
      <c r="AD22" s="471"/>
      <c r="AE22" s="471"/>
      <c r="AF22" s="506"/>
      <c r="AG22" s="509">
        <v>0</v>
      </c>
      <c r="AH22" s="481">
        <f t="shared" si="0"/>
        <v>3361735.6500000004</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1234509.96</v>
      </c>
      <c r="Q23" s="471">
        <v>3212623.77</v>
      </c>
      <c r="R23" s="471">
        <v>1047222.96</v>
      </c>
      <c r="S23" s="472">
        <v>110472.67</v>
      </c>
      <c r="T23" s="472">
        <v>-4641.13</v>
      </c>
      <c r="U23" s="472">
        <v>2477.2400000000098</v>
      </c>
      <c r="V23" s="471">
        <v>-6264.24</v>
      </c>
      <c r="W23" s="471">
        <v>-6663.66</v>
      </c>
      <c r="X23" s="472">
        <v>42687.63</v>
      </c>
      <c r="Y23" s="472">
        <v>49.83</v>
      </c>
      <c r="Z23" s="471">
        <v>-31541.78</v>
      </c>
      <c r="AA23" s="471">
        <v>-3650.97</v>
      </c>
      <c r="AB23" s="471">
        <v>-5656.7300000000296</v>
      </c>
      <c r="AC23" s="471">
        <v>4815.7000000000098</v>
      </c>
      <c r="AD23" s="471"/>
      <c r="AE23" s="471"/>
      <c r="AF23" s="506"/>
      <c r="AG23" s="509">
        <v>18126.93</v>
      </c>
      <c r="AH23" s="481">
        <f t="shared" si="0"/>
        <v>5614568.1799999997</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776274.33</v>
      </c>
      <c r="R24" s="471">
        <v>2798555.68</v>
      </c>
      <c r="S24" s="472">
        <v>1304773.46</v>
      </c>
      <c r="T24" s="472">
        <v>163300.81</v>
      </c>
      <c r="U24" s="472">
        <v>161670.98000000001</v>
      </c>
      <c r="V24" s="471">
        <v>96974.03</v>
      </c>
      <c r="W24" s="471">
        <v>35367.019999999997</v>
      </c>
      <c r="X24" s="472">
        <v>21392.75</v>
      </c>
      <c r="Y24" s="472">
        <v>-3282.76</v>
      </c>
      <c r="Z24" s="471">
        <v>7778.67</v>
      </c>
      <c r="AA24" s="471">
        <v>-12465.99</v>
      </c>
      <c r="AB24" s="471">
        <v>35045.699999999997</v>
      </c>
      <c r="AC24" s="471">
        <v>0</v>
      </c>
      <c r="AD24" s="471"/>
      <c r="AE24" s="471"/>
      <c r="AF24" s="506"/>
      <c r="AG24" s="509">
        <v>17410.98</v>
      </c>
      <c r="AH24" s="481">
        <f t="shared" si="0"/>
        <v>5402795.6600000011</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1228321.9099999999</v>
      </c>
      <c r="S25" s="472">
        <v>1926642.77</v>
      </c>
      <c r="T25" s="472">
        <v>1885071.27</v>
      </c>
      <c r="U25" s="472">
        <v>1074812.6299999999</v>
      </c>
      <c r="V25" s="471">
        <v>62735.62</v>
      </c>
      <c r="W25" s="471">
        <v>27304.95</v>
      </c>
      <c r="X25" s="472">
        <v>38040.639999999999</v>
      </c>
      <c r="Y25" s="472">
        <v>7932.09</v>
      </c>
      <c r="Z25" s="471">
        <v>-9648.32</v>
      </c>
      <c r="AA25" s="471">
        <v>-17648.2</v>
      </c>
      <c r="AB25" s="471">
        <v>-10648.87</v>
      </c>
      <c r="AC25" s="471">
        <v>5896.31</v>
      </c>
      <c r="AD25" s="471"/>
      <c r="AE25" s="471"/>
      <c r="AF25" s="506"/>
      <c r="AG25" s="509">
        <v>-10889.94000000001</v>
      </c>
      <c r="AH25" s="481">
        <f t="shared" si="0"/>
        <v>6207922.8599999975</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1479610.04</v>
      </c>
      <c r="T26" s="472">
        <v>2779613.41</v>
      </c>
      <c r="U26" s="472">
        <v>869111.09</v>
      </c>
      <c r="V26" s="471">
        <v>327928.51</v>
      </c>
      <c r="W26" s="471">
        <v>18731.27</v>
      </c>
      <c r="X26" s="472">
        <v>26323.41</v>
      </c>
      <c r="Y26" s="472">
        <v>33612.769999999997</v>
      </c>
      <c r="Z26" s="471">
        <v>40624.720000000001</v>
      </c>
      <c r="AA26" s="471">
        <v>-12604.51</v>
      </c>
      <c r="AB26" s="471">
        <v>59371.65</v>
      </c>
      <c r="AC26" s="471">
        <v>0</v>
      </c>
      <c r="AD26" s="471"/>
      <c r="AE26" s="471"/>
      <c r="AF26" s="514"/>
      <c r="AG26" s="509">
        <v>173128.97999999998</v>
      </c>
      <c r="AH26" s="481">
        <f t="shared" si="0"/>
        <v>5795451.3399999999</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865613.77</v>
      </c>
      <c r="U27" s="472">
        <v>2389174.4300000002</v>
      </c>
      <c r="V27" s="471">
        <v>726110.38</v>
      </c>
      <c r="W27" s="471">
        <v>218651.32</v>
      </c>
      <c r="X27" s="472">
        <v>47530.93</v>
      </c>
      <c r="Y27" s="472">
        <v>3077.31</v>
      </c>
      <c r="Z27" s="471">
        <v>15978.77</v>
      </c>
      <c r="AA27" s="471">
        <v>-969113.58</v>
      </c>
      <c r="AB27" s="471">
        <v>19398.16</v>
      </c>
      <c r="AC27" s="471">
        <v>1697.65</v>
      </c>
      <c r="AD27" s="471"/>
      <c r="AE27" s="471"/>
      <c r="AF27" s="506"/>
      <c r="AG27" s="515">
        <v>22915.82</v>
      </c>
      <c r="AH27" s="481">
        <f t="shared" si="0"/>
        <v>3341034.959999999</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1133543.17</v>
      </c>
      <c r="V28" s="471">
        <v>2474035.81</v>
      </c>
      <c r="W28" s="471">
        <v>741522</v>
      </c>
      <c r="X28" s="472">
        <v>293541.65000000002</v>
      </c>
      <c r="Y28" s="472">
        <v>149947.24</v>
      </c>
      <c r="Z28" s="471">
        <v>122676.97</v>
      </c>
      <c r="AA28" s="471">
        <v>34214.620000000097</v>
      </c>
      <c r="AB28" s="471">
        <v>-10790.14</v>
      </c>
      <c r="AC28" s="471">
        <v>2724.06</v>
      </c>
      <c r="AD28" s="471"/>
      <c r="AE28" s="471"/>
      <c r="AF28" s="506"/>
      <c r="AG28" s="510">
        <v>7012.81</v>
      </c>
      <c r="AH28" s="481">
        <f t="shared" si="0"/>
        <v>4948428.1900000004</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1633227.39</v>
      </c>
      <c r="W29" s="471">
        <v>2317080.8199999998</v>
      </c>
      <c r="X29" s="472">
        <v>1093970.3999999999</v>
      </c>
      <c r="Y29" s="472">
        <v>241597.29</v>
      </c>
      <c r="Z29" s="471">
        <v>62372.45</v>
      </c>
      <c r="AA29" s="471">
        <v>29281.32</v>
      </c>
      <c r="AB29" s="471">
        <v>15053.09</v>
      </c>
      <c r="AC29" s="471">
        <v>121420.48</v>
      </c>
      <c r="AD29" s="471"/>
      <c r="AE29" s="471"/>
      <c r="AF29" s="506"/>
      <c r="AG29" s="509">
        <v>25206.799999999999</v>
      </c>
      <c r="AH29" s="481">
        <f t="shared" si="0"/>
        <v>5539210.04</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931981.4</v>
      </c>
      <c r="X30" s="472">
        <v>2044238.03</v>
      </c>
      <c r="Y30" s="472">
        <v>974841.76</v>
      </c>
      <c r="Z30" s="471">
        <v>238815.54</v>
      </c>
      <c r="AA30" s="471">
        <v>2152.52</v>
      </c>
      <c r="AB30" s="471">
        <v>8104.51</v>
      </c>
      <c r="AC30" s="471">
        <v>43680</v>
      </c>
      <c r="AD30" s="471"/>
      <c r="AE30" s="471"/>
      <c r="AF30" s="506"/>
      <c r="AG30" s="509">
        <v>18006.68</v>
      </c>
      <c r="AH30" s="481">
        <f t="shared" si="0"/>
        <v>4261820.4400000004</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959423.05</v>
      </c>
      <c r="Y31" s="472">
        <v>2532201.29</v>
      </c>
      <c r="Z31" s="471">
        <v>825804.28</v>
      </c>
      <c r="AA31" s="471">
        <v>1750600.98</v>
      </c>
      <c r="AB31" s="471">
        <v>753277.77</v>
      </c>
      <c r="AC31" s="471">
        <v>17786.11</v>
      </c>
      <c r="AD31" s="471"/>
      <c r="AE31" s="471"/>
      <c r="AF31" s="506"/>
      <c r="AG31" s="509">
        <v>22962.959999999999</v>
      </c>
      <c r="AH31" s="481">
        <f t="shared" si="0"/>
        <v>6862056.4399999995</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734314.81</v>
      </c>
      <c r="Z32" s="471">
        <v>1966395.5</v>
      </c>
      <c r="AA32" s="471">
        <v>642423.42000000004</v>
      </c>
      <c r="AB32" s="471">
        <v>615953.97</v>
      </c>
      <c r="AC32" s="471">
        <v>119964.82</v>
      </c>
      <c r="AD32" s="471"/>
      <c r="AE32" s="471"/>
      <c r="AF32" s="506"/>
      <c r="AG32" s="509">
        <v>53863.390000000007</v>
      </c>
      <c r="AH32" s="481">
        <f t="shared" si="0"/>
        <v>4132915.91</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1085610.6499999999</v>
      </c>
      <c r="AA33" s="471">
        <v>2288653.44</v>
      </c>
      <c r="AB33" s="471">
        <v>471158.96</v>
      </c>
      <c r="AC33" s="471">
        <v>441187.54</v>
      </c>
      <c r="AD33" s="471"/>
      <c r="AE33" s="471"/>
      <c r="AF33" s="506"/>
      <c r="AG33" s="509">
        <v>42354.569999999992</v>
      </c>
      <c r="AH33" s="481">
        <f t="shared" si="0"/>
        <v>4328965.16</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1374058.69</v>
      </c>
      <c r="AB34" s="471">
        <v>2274969.6800000002</v>
      </c>
      <c r="AC34" s="471">
        <v>455270.96</v>
      </c>
      <c r="AD34" s="471"/>
      <c r="AE34" s="471"/>
      <c r="AF34" s="506"/>
      <c r="AG34" s="509">
        <v>125694.60999999999</v>
      </c>
      <c r="AH34" s="481">
        <f t="shared" si="0"/>
        <v>4229993.9400000004</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712556.55</v>
      </c>
      <c r="AC35" s="471">
        <v>2202191.52</v>
      </c>
      <c r="AD35" s="471"/>
      <c r="AE35" s="471"/>
      <c r="AF35" s="506"/>
      <c r="AG35" s="509">
        <v>49568.06</v>
      </c>
      <c r="AH35" s="481">
        <f t="shared" si="0"/>
        <v>2964316.1300000004</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913336.98</v>
      </c>
      <c r="AD36" s="471"/>
      <c r="AE36" s="471"/>
      <c r="AF36" s="506"/>
      <c r="AG36" s="509">
        <v>1216740.9099999999</v>
      </c>
      <c r="AH36" s="481">
        <f t="shared" si="0"/>
        <v>2130077.8899999997</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 t="shared" si="0"/>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0</v>
      </c>
      <c r="E41" s="961">
        <f t="shared" ref="E41:AC41" si="2">SUM(E10:E40)</f>
        <v>0</v>
      </c>
      <c r="F41" s="961">
        <f t="shared" si="2"/>
        <v>0</v>
      </c>
      <c r="G41" s="961">
        <f t="shared" si="2"/>
        <v>5366735.6300000008</v>
      </c>
      <c r="H41" s="961">
        <f t="shared" si="2"/>
        <v>5752022.669999999</v>
      </c>
      <c r="I41" s="961">
        <f t="shared" si="2"/>
        <v>6415713.5200000005</v>
      </c>
      <c r="J41" s="961">
        <f t="shared" si="2"/>
        <v>5997868.54</v>
      </c>
      <c r="K41" s="961">
        <f t="shared" si="2"/>
        <v>5536598.0799999991</v>
      </c>
      <c r="L41" s="961">
        <f t="shared" si="2"/>
        <v>5269563.8999999994</v>
      </c>
      <c r="M41" s="961">
        <f t="shared" si="2"/>
        <v>4901450.92</v>
      </c>
      <c r="N41" s="961">
        <f t="shared" si="2"/>
        <v>5631058.54</v>
      </c>
      <c r="O41" s="961">
        <f t="shared" si="2"/>
        <v>5301912.08</v>
      </c>
      <c r="P41" s="961">
        <f t="shared" si="2"/>
        <v>4712138.25</v>
      </c>
      <c r="Q41" s="961">
        <f t="shared" si="2"/>
        <v>5981333.6900000004</v>
      </c>
      <c r="R41" s="961">
        <f t="shared" si="2"/>
        <v>5392080.4100000001</v>
      </c>
      <c r="S41" s="961">
        <f t="shared" si="2"/>
        <v>4947502.84</v>
      </c>
      <c r="T41" s="961">
        <f t="shared" si="2"/>
        <v>5617101.5500000007</v>
      </c>
      <c r="U41" s="961">
        <f t="shared" si="2"/>
        <v>5672068.0199999996</v>
      </c>
      <c r="V41" s="961">
        <f t="shared" si="2"/>
        <v>5333196.05</v>
      </c>
      <c r="W41" s="961">
        <f t="shared" si="2"/>
        <v>4335966.57</v>
      </c>
      <c r="X41" s="961">
        <f t="shared" si="2"/>
        <v>4666002.95</v>
      </c>
      <c r="Y41" s="961">
        <f t="shared" si="2"/>
        <v>4725110.5999999996</v>
      </c>
      <c r="Z41" s="961">
        <f t="shared" si="2"/>
        <v>4237092.76</v>
      </c>
      <c r="AA41" s="961">
        <f t="shared" si="2"/>
        <v>5152638.16</v>
      </c>
      <c r="AB41" s="961">
        <f t="shared" si="2"/>
        <v>4847481.5</v>
      </c>
      <c r="AC41" s="961">
        <f t="shared" si="2"/>
        <v>4292364.3499999996</v>
      </c>
      <c r="AD41" s="961">
        <f>SUM(AD10:AD40)</f>
        <v>0</v>
      </c>
      <c r="AE41" s="961">
        <f>SUM(AE10:AE40)</f>
        <v>0</v>
      </c>
      <c r="AF41" s="961">
        <f>SUM(AF10:AF40)</f>
        <v>0</v>
      </c>
      <c r="AG41" s="519">
        <f>SUM(AG10:AG40)</f>
        <v>1584460.8099999998</v>
      </c>
      <c r="AH41" s="962">
        <f>SUM(AH10:AH40)</f>
        <v>121669462.38999999</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53.85" customHeight="1">
      <c r="A45" s="485">
        <v>36</v>
      </c>
      <c r="B45" s="488" t="s">
        <v>1504</v>
      </c>
      <c r="C45" s="475">
        <f>SUM(C41:C44)</f>
        <v>0</v>
      </c>
      <c r="D45" s="475">
        <f t="shared" ref="D45:AD45" si="3">SUM(D41:D44)</f>
        <v>0</v>
      </c>
      <c r="E45" s="476">
        <f t="shared" si="3"/>
        <v>0</v>
      </c>
      <c r="F45" s="476">
        <f t="shared" si="3"/>
        <v>0</v>
      </c>
      <c r="G45" s="476">
        <f t="shared" si="3"/>
        <v>5366735.6300000008</v>
      </c>
      <c r="H45" s="476">
        <f t="shared" si="3"/>
        <v>5752022.669999999</v>
      </c>
      <c r="I45" s="476">
        <f t="shared" si="3"/>
        <v>6415713.5200000005</v>
      </c>
      <c r="J45" s="476">
        <f t="shared" si="3"/>
        <v>5997868.54</v>
      </c>
      <c r="K45" s="476">
        <f t="shared" si="3"/>
        <v>5536598.0799999991</v>
      </c>
      <c r="L45" s="476">
        <f t="shared" si="3"/>
        <v>5269563.8999999994</v>
      </c>
      <c r="M45" s="476">
        <f t="shared" si="3"/>
        <v>4901450.92</v>
      </c>
      <c r="N45" s="476">
        <f t="shared" si="3"/>
        <v>5631058.54</v>
      </c>
      <c r="O45" s="476">
        <f t="shared" si="3"/>
        <v>5301912.08</v>
      </c>
      <c r="P45" s="476">
        <f t="shared" si="3"/>
        <v>4712138.25</v>
      </c>
      <c r="Q45" s="476">
        <f t="shared" si="3"/>
        <v>5981333.6900000004</v>
      </c>
      <c r="R45" s="476">
        <f t="shared" si="3"/>
        <v>5392080.4100000001</v>
      </c>
      <c r="S45" s="476">
        <f t="shared" si="3"/>
        <v>4947502.84</v>
      </c>
      <c r="T45" s="476">
        <f t="shared" si="3"/>
        <v>5617101.5500000007</v>
      </c>
      <c r="U45" s="476">
        <f t="shared" si="3"/>
        <v>5672068.0199999996</v>
      </c>
      <c r="V45" s="476">
        <f t="shared" si="3"/>
        <v>5333196.05</v>
      </c>
      <c r="W45" s="476">
        <f t="shared" si="3"/>
        <v>4335966.57</v>
      </c>
      <c r="X45" s="476">
        <f t="shared" si="3"/>
        <v>4666002.95</v>
      </c>
      <c r="Y45" s="476">
        <f t="shared" si="3"/>
        <v>4725110.5999999996</v>
      </c>
      <c r="Z45" s="476">
        <f t="shared" si="3"/>
        <v>4237092.76</v>
      </c>
      <c r="AA45" s="476">
        <f t="shared" si="3"/>
        <v>5152638.16</v>
      </c>
      <c r="AB45" s="476">
        <f t="shared" si="3"/>
        <v>4847481.5</v>
      </c>
      <c r="AC45" s="476">
        <f t="shared" si="3"/>
        <v>4292364.3499999996</v>
      </c>
      <c r="AD45" s="476">
        <f t="shared" si="3"/>
        <v>0</v>
      </c>
      <c r="AE45" s="476">
        <f>SUM(AE41:AE44)</f>
        <v>0</v>
      </c>
      <c r="AF45" s="476">
        <f>SUM(AF41:AF44)</f>
        <v>0</v>
      </c>
      <c r="AG45" s="478">
        <f>SUM(AG41:AG44)</f>
        <v>1584460.8099999998</v>
      </c>
      <c r="AH45" s="477">
        <f>SUM(AH41:AH44)</f>
        <v>121669462.38999999</v>
      </c>
    </row>
    <row r="46" spans="1:79" s="459" customFormat="1" ht="53.25" customHeight="1">
      <c r="A46" s="485">
        <v>37</v>
      </c>
      <c r="B46" s="488" t="s">
        <v>1505</v>
      </c>
      <c r="C46" s="473"/>
      <c r="D46" s="471">
        <v>0</v>
      </c>
      <c r="E46" s="471">
        <v>0</v>
      </c>
      <c r="F46" s="471">
        <v>0</v>
      </c>
      <c r="G46" s="474">
        <v>150869.98586589098</v>
      </c>
      <c r="H46" s="471">
        <v>124482.83516055635</v>
      </c>
      <c r="I46" s="471">
        <v>66270.338509359441</v>
      </c>
      <c r="J46" s="471">
        <v>43557.651528070441</v>
      </c>
      <c r="K46" s="471">
        <v>52215.313076120074</v>
      </c>
      <c r="L46" s="471">
        <v>20663.551843268448</v>
      </c>
      <c r="M46" s="471">
        <v>13916.188922867272</v>
      </c>
      <c r="N46" s="471">
        <v>7453.2624986587343</v>
      </c>
      <c r="O46" s="472">
        <v>3401.2772779020625</v>
      </c>
      <c r="P46" s="471">
        <v>2961.7405879983976</v>
      </c>
      <c r="Q46" s="472">
        <v>682.95484782956976</v>
      </c>
      <c r="R46" s="471">
        <v>9.5510290215486389E-9</v>
      </c>
      <c r="S46" s="472">
        <v>-2.9512989468919243E-9</v>
      </c>
      <c r="T46" s="472">
        <v>8.0668066609532963E-10</v>
      </c>
      <c r="U46" s="472">
        <v>439999.99999998446</v>
      </c>
      <c r="V46" s="471">
        <v>8.1560234297306573E-10</v>
      </c>
      <c r="W46" s="472">
        <v>-6.5398117648368772E-10</v>
      </c>
      <c r="X46" s="472">
        <v>0</v>
      </c>
      <c r="Y46" s="472">
        <v>0</v>
      </c>
      <c r="Z46" s="471">
        <v>-4.6397569432358505E-9</v>
      </c>
      <c r="AA46" s="472">
        <v>8.3217799485253859E-10</v>
      </c>
      <c r="AB46" s="471">
        <v>0</v>
      </c>
      <c r="AC46" s="472">
        <v>1.5065734328697572E-9</v>
      </c>
      <c r="AD46" s="472">
        <v>8.3217799485253859E-10</v>
      </c>
      <c r="AE46" s="471">
        <v>0</v>
      </c>
      <c r="AF46" s="529">
        <v>1.5065734328697572E-9</v>
      </c>
      <c r="AG46" s="474">
        <v>5.4871400181252392E-9</v>
      </c>
      <c r="AH46" s="477">
        <f>SUM(C46:AG46)</f>
        <v>926475.10011851927</v>
      </c>
    </row>
    <row r="47" spans="1:79" s="459" customFormat="1" ht="40.35" customHeight="1" thickBot="1">
      <c r="A47" s="489">
        <v>38</v>
      </c>
      <c r="B47" s="490" t="s">
        <v>1506</v>
      </c>
      <c r="C47" s="479">
        <f>SUM(C45:C46)</f>
        <v>0</v>
      </c>
      <c r="D47" s="479">
        <f t="shared" ref="D47:AB47" si="4">SUM(D45:D46)</f>
        <v>0</v>
      </c>
      <c r="E47" s="479">
        <f t="shared" si="4"/>
        <v>0</v>
      </c>
      <c r="F47" s="479">
        <f t="shared" si="4"/>
        <v>0</v>
      </c>
      <c r="G47" s="479">
        <f t="shared" si="4"/>
        <v>5517605.6158658918</v>
      </c>
      <c r="H47" s="479">
        <f t="shared" si="4"/>
        <v>5876505.5051605552</v>
      </c>
      <c r="I47" s="479">
        <f t="shared" si="4"/>
        <v>6481983.8585093599</v>
      </c>
      <c r="J47" s="479">
        <f t="shared" si="4"/>
        <v>6041426.1915280707</v>
      </c>
      <c r="K47" s="479">
        <f t="shared" si="4"/>
        <v>5588813.393076119</v>
      </c>
      <c r="L47" s="479">
        <f t="shared" si="4"/>
        <v>5290227.4518432682</v>
      </c>
      <c r="M47" s="479">
        <f t="shared" si="4"/>
        <v>4915367.1089228671</v>
      </c>
      <c r="N47" s="479">
        <f t="shared" si="4"/>
        <v>5638511.8024986591</v>
      </c>
      <c r="O47" s="479">
        <f t="shared" si="4"/>
        <v>5305313.3572779018</v>
      </c>
      <c r="P47" s="479">
        <f t="shared" si="4"/>
        <v>4715099.9905879982</v>
      </c>
      <c r="Q47" s="479">
        <f t="shared" si="4"/>
        <v>5982016.6448478298</v>
      </c>
      <c r="R47" s="479">
        <f t="shared" si="4"/>
        <v>5392080.4100000095</v>
      </c>
      <c r="S47" s="479">
        <f t="shared" si="4"/>
        <v>4947502.8399999971</v>
      </c>
      <c r="T47" s="479">
        <f t="shared" si="4"/>
        <v>5617101.5500000017</v>
      </c>
      <c r="U47" s="479">
        <f t="shared" si="4"/>
        <v>6112068.0199999837</v>
      </c>
      <c r="V47" s="479">
        <f t="shared" si="4"/>
        <v>5333196.0500000007</v>
      </c>
      <c r="W47" s="479">
        <f t="shared" si="4"/>
        <v>4335966.5699999994</v>
      </c>
      <c r="X47" s="479">
        <f t="shared" si="4"/>
        <v>4666002.95</v>
      </c>
      <c r="Y47" s="479">
        <f t="shared" si="4"/>
        <v>4725110.5999999996</v>
      </c>
      <c r="Z47" s="479">
        <f t="shared" si="4"/>
        <v>4237092.7599999951</v>
      </c>
      <c r="AA47" s="479">
        <f t="shared" si="4"/>
        <v>5152638.1600000011</v>
      </c>
      <c r="AB47" s="479">
        <f t="shared" si="4"/>
        <v>4847481.5</v>
      </c>
      <c r="AC47" s="479">
        <f t="shared" ref="AC47:AH47" si="5">SUM(AC45:AC46)</f>
        <v>4292364.3500000015</v>
      </c>
      <c r="AD47" s="479">
        <f t="shared" si="5"/>
        <v>8.3217799485253859E-10</v>
      </c>
      <c r="AE47" s="479">
        <f t="shared" si="5"/>
        <v>0</v>
      </c>
      <c r="AF47" s="479">
        <f t="shared" si="5"/>
        <v>1.5065734328697572E-9</v>
      </c>
      <c r="AG47" s="507">
        <f t="shared" si="5"/>
        <v>1584460.8100000054</v>
      </c>
      <c r="AH47" s="480">
        <f t="shared" si="5"/>
        <v>122595937.4901185</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DJ61"/>
  <sheetViews>
    <sheetView topLeftCell="AC3" zoomScale="70" zoomScaleNormal="70" workbookViewId="0">
      <selection activeCell="V37" sqref="V37"/>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42578125" style="458" bestFit="1" customWidth="1"/>
    <col min="34" max="34" width="16.5703125" style="458" customWidth="1"/>
    <col min="35" max="16384" width="8" style="458"/>
  </cols>
  <sheetData>
    <row r="1" spans="1:114" ht="15.6">
      <c r="A1" s="427" t="s">
        <v>1508</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0</v>
      </c>
      <c r="E10" s="959">
        <v>0</v>
      </c>
      <c r="F10" s="959">
        <v>0</v>
      </c>
      <c r="G10" s="959">
        <v>58831.83</v>
      </c>
      <c r="H10" s="959">
        <v>42972.77</v>
      </c>
      <c r="I10" s="959">
        <v>36632.22</v>
      </c>
      <c r="J10" s="959">
        <v>36471.75</v>
      </c>
      <c r="K10" s="959">
        <v>20622.32</v>
      </c>
      <c r="L10" s="959">
        <v>45661.2</v>
      </c>
      <c r="M10" s="959">
        <v>10595.6</v>
      </c>
      <c r="N10" s="959">
        <v>15819.16</v>
      </c>
      <c r="O10" s="959">
        <v>4018.6</v>
      </c>
      <c r="P10" s="959">
        <v>3521.04</v>
      </c>
      <c r="Q10" s="959">
        <v>8175.16</v>
      </c>
      <c r="R10" s="959">
        <v>502.35</v>
      </c>
      <c r="S10" s="959">
        <v>-2121.6</v>
      </c>
      <c r="T10" s="959">
        <v>-2743.71</v>
      </c>
      <c r="U10" s="959">
        <v>597.72</v>
      </c>
      <c r="V10" s="959">
        <v>491.25</v>
      </c>
      <c r="W10" s="959">
        <v>967.6</v>
      </c>
      <c r="X10" s="959">
        <v>1019.68</v>
      </c>
      <c r="Y10" s="959">
        <v>-2873.06</v>
      </c>
      <c r="Z10" s="959">
        <v>-2281.98</v>
      </c>
      <c r="AA10" s="959">
        <v>533.19000000000005</v>
      </c>
      <c r="AB10" s="959">
        <v>491.98</v>
      </c>
      <c r="AC10" s="959">
        <v>788.94</v>
      </c>
      <c r="AD10" s="959"/>
      <c r="AE10" s="959"/>
      <c r="AF10" s="513"/>
      <c r="AG10" s="512">
        <v>15181.42</v>
      </c>
      <c r="AH10" s="481">
        <f t="shared" ref="AH10:AH38" si="0">SUM(C10:AG10)</f>
        <v>293875.42999999988</v>
      </c>
    </row>
    <row r="11" spans="1:114" s="460" customFormat="1">
      <c r="A11" s="482">
        <v>2</v>
      </c>
      <c r="B11" s="483">
        <f>'Schedule 2_Balance Sheet'!C4</f>
        <v>45657</v>
      </c>
      <c r="C11" s="498"/>
      <c r="D11" s="524">
        <v>0</v>
      </c>
      <c r="E11" s="524">
        <v>0</v>
      </c>
      <c r="F11" s="524">
        <v>0</v>
      </c>
      <c r="G11" s="524">
        <v>86747.38</v>
      </c>
      <c r="H11" s="524">
        <v>73981.61</v>
      </c>
      <c r="I11" s="524">
        <v>5991.76</v>
      </c>
      <c r="J11" s="524">
        <v>44585.3</v>
      </c>
      <c r="K11" s="524">
        <v>13917.06</v>
      </c>
      <c r="L11" s="524">
        <v>56080.35</v>
      </c>
      <c r="M11" s="524">
        <v>40241.230000000003</v>
      </c>
      <c r="N11" s="524">
        <v>1301.28</v>
      </c>
      <c r="O11" s="524">
        <v>1430.02</v>
      </c>
      <c r="P11" s="524">
        <v>33036.339999999997</v>
      </c>
      <c r="Q11" s="524">
        <v>13726.1</v>
      </c>
      <c r="R11" s="524">
        <v>4995.41</v>
      </c>
      <c r="S11" s="524">
        <v>4820.18</v>
      </c>
      <c r="T11" s="524">
        <v>7157.69</v>
      </c>
      <c r="U11" s="524">
        <v>1541.79</v>
      </c>
      <c r="V11" s="524">
        <v>0</v>
      </c>
      <c r="W11" s="524">
        <v>222.38</v>
      </c>
      <c r="X11" s="524">
        <v>2828.25</v>
      </c>
      <c r="Y11" s="524">
        <v>0</v>
      </c>
      <c r="Z11" s="524">
        <v>208.59</v>
      </c>
      <c r="AA11" s="524">
        <v>0</v>
      </c>
      <c r="AB11" s="524">
        <v>-193.770000000001</v>
      </c>
      <c r="AC11" s="524">
        <v>1999.07</v>
      </c>
      <c r="AD11" s="524"/>
      <c r="AE11" s="524"/>
      <c r="AF11" s="514"/>
      <c r="AG11" s="510">
        <v>-694.69999999999993</v>
      </c>
      <c r="AH11" s="481">
        <f t="shared" si="0"/>
        <v>393923.31999999989</v>
      </c>
    </row>
    <row r="12" spans="1:114" s="459" customFormat="1" ht="15" customHeight="1">
      <c r="A12" s="482">
        <v>3</v>
      </c>
      <c r="B12" s="483">
        <f>EOMONTH(B11,-1)</f>
        <v>45626</v>
      </c>
      <c r="C12" s="498"/>
      <c r="D12" s="498">
        <v>0</v>
      </c>
      <c r="E12" s="471">
        <v>0</v>
      </c>
      <c r="F12" s="471">
        <v>0</v>
      </c>
      <c r="G12" s="471">
        <v>362280.97</v>
      </c>
      <c r="H12" s="471">
        <v>103819.72</v>
      </c>
      <c r="I12" s="471">
        <v>6022.55</v>
      </c>
      <c r="J12" s="471">
        <v>26543.9</v>
      </c>
      <c r="K12" s="471">
        <v>32383.17</v>
      </c>
      <c r="L12" s="471">
        <v>45333.13</v>
      </c>
      <c r="M12" s="471">
        <v>29589.31</v>
      </c>
      <c r="N12" s="471">
        <v>12359.94</v>
      </c>
      <c r="O12" s="471">
        <v>17305.79</v>
      </c>
      <c r="P12" s="471">
        <v>-2468.46</v>
      </c>
      <c r="Q12" s="471">
        <v>10263.82</v>
      </c>
      <c r="R12" s="471">
        <v>1666.29</v>
      </c>
      <c r="S12" s="471">
        <v>13466.44</v>
      </c>
      <c r="T12" s="471">
        <v>81.39</v>
      </c>
      <c r="U12" s="471">
        <v>5731.47</v>
      </c>
      <c r="V12" s="471">
        <v>6368.79</v>
      </c>
      <c r="W12" s="471">
        <v>24943.73</v>
      </c>
      <c r="X12" s="471">
        <v>15592.17</v>
      </c>
      <c r="Y12" s="471">
        <v>4541.97</v>
      </c>
      <c r="Z12" s="471">
        <v>4014.8</v>
      </c>
      <c r="AA12" s="471">
        <v>216.66000000000099</v>
      </c>
      <c r="AB12" s="471">
        <v>13993.99</v>
      </c>
      <c r="AC12" s="471">
        <v>2935.65</v>
      </c>
      <c r="AD12" s="471"/>
      <c r="AE12" s="471"/>
      <c r="AF12" s="506"/>
      <c r="AG12" s="510">
        <v>7894.4000000000005</v>
      </c>
      <c r="AH12" s="481">
        <f t="shared" si="0"/>
        <v>744881.59000000008</v>
      </c>
    </row>
    <row r="13" spans="1:114" s="459" customFormat="1" ht="15" customHeight="1">
      <c r="A13" s="482">
        <v>4</v>
      </c>
      <c r="B13" s="483">
        <f t="shared" ref="B13:B39" si="1">EOMONTH(B12,-1)</f>
        <v>45596</v>
      </c>
      <c r="C13" s="498"/>
      <c r="D13" s="496">
        <v>0</v>
      </c>
      <c r="E13" s="498">
        <v>0</v>
      </c>
      <c r="F13" s="471">
        <v>0</v>
      </c>
      <c r="G13" s="471">
        <v>2252002.7899999898</v>
      </c>
      <c r="H13" s="471">
        <v>624705.65999999898</v>
      </c>
      <c r="I13" s="471">
        <v>163361.14000000001</v>
      </c>
      <c r="J13" s="471">
        <v>8519.7199999999993</v>
      </c>
      <c r="K13" s="471">
        <v>9469.61</v>
      </c>
      <c r="L13" s="471">
        <v>62636.01</v>
      </c>
      <c r="M13" s="471">
        <v>14341.17</v>
      </c>
      <c r="N13" s="471">
        <v>5933.12</v>
      </c>
      <c r="O13" s="471">
        <v>3356.02</v>
      </c>
      <c r="P13" s="471">
        <v>6705.64</v>
      </c>
      <c r="Q13" s="471">
        <v>11739.24</v>
      </c>
      <c r="R13" s="471">
        <v>7388.03</v>
      </c>
      <c r="S13" s="472">
        <v>12843.59</v>
      </c>
      <c r="T13" s="472">
        <v>2031.28</v>
      </c>
      <c r="U13" s="472">
        <v>179.67</v>
      </c>
      <c r="V13" s="471">
        <v>8674.2000000000007</v>
      </c>
      <c r="W13" s="471">
        <v>459.49</v>
      </c>
      <c r="X13" s="472">
        <v>-288.67</v>
      </c>
      <c r="Y13" s="472">
        <v>0</v>
      </c>
      <c r="Z13" s="471">
        <v>4695.6899999999996</v>
      </c>
      <c r="AA13" s="471">
        <v>0</v>
      </c>
      <c r="AB13" s="471">
        <v>-10641.82</v>
      </c>
      <c r="AC13" s="471">
        <v>-10713.59</v>
      </c>
      <c r="AD13" s="471"/>
      <c r="AE13" s="471"/>
      <c r="AF13" s="506"/>
      <c r="AG13" s="508">
        <v>-12454.109999999999</v>
      </c>
      <c r="AH13" s="481">
        <f t="shared" si="0"/>
        <v>3164943.8799999896</v>
      </c>
    </row>
    <row r="14" spans="1:114" s="459" customFormat="1" ht="15" customHeight="1">
      <c r="A14" s="482">
        <v>5</v>
      </c>
      <c r="B14" s="483">
        <f t="shared" si="1"/>
        <v>45565</v>
      </c>
      <c r="C14" s="498"/>
      <c r="D14" s="496">
        <v>0</v>
      </c>
      <c r="E14" s="496">
        <v>0</v>
      </c>
      <c r="F14" s="498">
        <v>0</v>
      </c>
      <c r="G14" s="471">
        <v>2291601.7000000002</v>
      </c>
      <c r="H14" s="471">
        <v>1595494.45</v>
      </c>
      <c r="I14" s="471">
        <v>619108.98</v>
      </c>
      <c r="J14" s="471">
        <v>74760.63</v>
      </c>
      <c r="K14" s="471">
        <v>18549.82</v>
      </c>
      <c r="L14" s="471">
        <v>48052.77</v>
      </c>
      <c r="M14" s="471">
        <v>40134.32</v>
      </c>
      <c r="N14" s="471">
        <v>23097.22</v>
      </c>
      <c r="O14" s="471">
        <v>-2477.86</v>
      </c>
      <c r="P14" s="471">
        <v>1244.6199999999999</v>
      </c>
      <c r="Q14" s="471">
        <v>-2957.2</v>
      </c>
      <c r="R14" s="471">
        <v>673.79</v>
      </c>
      <c r="S14" s="472">
        <v>-2520.8000000000002</v>
      </c>
      <c r="T14" s="472">
        <v>-2215.0100000000002</v>
      </c>
      <c r="U14" s="472">
        <v>-1918.9</v>
      </c>
      <c r="V14" s="471">
        <v>-2184.37</v>
      </c>
      <c r="W14" s="471">
        <v>-572.64</v>
      </c>
      <c r="X14" s="472">
        <v>-1752.49</v>
      </c>
      <c r="Y14" s="472">
        <v>-1000.92</v>
      </c>
      <c r="Z14" s="471">
        <v>-1144.72</v>
      </c>
      <c r="AA14" s="471">
        <v>0</v>
      </c>
      <c r="AB14" s="471">
        <v>0</v>
      </c>
      <c r="AC14" s="471">
        <v>-550.97</v>
      </c>
      <c r="AD14" s="471"/>
      <c r="AE14" s="471"/>
      <c r="AF14" s="506"/>
      <c r="AG14" s="509">
        <v>-11296.460000000001</v>
      </c>
      <c r="AH14" s="481">
        <f t="shared" si="0"/>
        <v>4682125.9600000009</v>
      </c>
    </row>
    <row r="15" spans="1:114" s="459" customFormat="1" ht="15" customHeight="1">
      <c r="A15" s="482">
        <v>6</v>
      </c>
      <c r="B15" s="483">
        <f t="shared" si="1"/>
        <v>45535</v>
      </c>
      <c r="C15" s="498"/>
      <c r="D15" s="496">
        <v>0</v>
      </c>
      <c r="E15" s="496">
        <v>0</v>
      </c>
      <c r="F15" s="496">
        <v>0</v>
      </c>
      <c r="G15" s="498">
        <v>0</v>
      </c>
      <c r="H15" s="471">
        <v>2290228.53000001</v>
      </c>
      <c r="I15" s="471">
        <v>2867543.44000002</v>
      </c>
      <c r="J15" s="471">
        <v>770846.61999999802</v>
      </c>
      <c r="K15" s="471">
        <v>215513.34</v>
      </c>
      <c r="L15" s="471">
        <v>43498.18</v>
      </c>
      <c r="M15" s="471">
        <v>26336.16</v>
      </c>
      <c r="N15" s="471">
        <v>-13982.04</v>
      </c>
      <c r="O15" s="471">
        <v>30604.19</v>
      </c>
      <c r="P15" s="471">
        <v>10356.44</v>
      </c>
      <c r="Q15" s="471">
        <v>7788.22</v>
      </c>
      <c r="R15" s="471">
        <v>12338.81</v>
      </c>
      <c r="S15" s="472">
        <v>5807.86</v>
      </c>
      <c r="T15" s="472">
        <v>1766.62</v>
      </c>
      <c r="U15" s="472">
        <v>3643.57</v>
      </c>
      <c r="V15" s="471">
        <v>5682.22</v>
      </c>
      <c r="W15" s="471">
        <v>3060.41</v>
      </c>
      <c r="X15" s="472">
        <v>13094.66</v>
      </c>
      <c r="Y15" s="472">
        <v>-220.18</v>
      </c>
      <c r="Z15" s="471">
        <v>1074.1199999999999</v>
      </c>
      <c r="AA15" s="471">
        <v>2045.12</v>
      </c>
      <c r="AB15" s="471">
        <v>0</v>
      </c>
      <c r="AC15" s="471">
        <v>0</v>
      </c>
      <c r="AD15" s="471"/>
      <c r="AE15" s="471"/>
      <c r="AF15" s="506"/>
      <c r="AG15" s="509">
        <v>-729.96</v>
      </c>
      <c r="AH15" s="481">
        <f t="shared" si="0"/>
        <v>6296296.3300000299</v>
      </c>
    </row>
    <row r="16" spans="1:114" s="459" customFormat="1" ht="15" customHeight="1">
      <c r="A16" s="482">
        <v>7</v>
      </c>
      <c r="B16" s="483">
        <f t="shared" si="1"/>
        <v>45504</v>
      </c>
      <c r="C16" s="498"/>
      <c r="D16" s="496">
        <v>0</v>
      </c>
      <c r="E16" s="496">
        <v>0</v>
      </c>
      <c r="F16" s="499">
        <v>0</v>
      </c>
      <c r="G16" s="496">
        <v>0</v>
      </c>
      <c r="H16" s="498">
        <v>0</v>
      </c>
      <c r="I16" s="471">
        <v>1761749.39</v>
      </c>
      <c r="J16" s="471">
        <v>1956279.5600000101</v>
      </c>
      <c r="K16" s="471">
        <v>552652.73</v>
      </c>
      <c r="L16" s="471">
        <v>73200.509999999995</v>
      </c>
      <c r="M16" s="471">
        <v>43978.2</v>
      </c>
      <c r="N16" s="471">
        <v>72034.59</v>
      </c>
      <c r="O16" s="471">
        <v>122179.26</v>
      </c>
      <c r="P16" s="471">
        <v>12226.84</v>
      </c>
      <c r="Q16" s="471">
        <v>999.61</v>
      </c>
      <c r="R16" s="471">
        <v>2273.65</v>
      </c>
      <c r="S16" s="472">
        <v>-5609.55</v>
      </c>
      <c r="T16" s="472">
        <v>-30.07</v>
      </c>
      <c r="U16" s="472">
        <v>837.71</v>
      </c>
      <c r="V16" s="471">
        <v>-399.22</v>
      </c>
      <c r="W16" s="471">
        <v>-3747.96</v>
      </c>
      <c r="X16" s="472">
        <v>473.76</v>
      </c>
      <c r="Y16" s="472">
        <v>283.58999999999997</v>
      </c>
      <c r="Z16" s="471">
        <v>4693.82</v>
      </c>
      <c r="AA16" s="471">
        <v>4177.1499999999996</v>
      </c>
      <c r="AB16" s="471">
        <v>-284.86</v>
      </c>
      <c r="AC16" s="471">
        <v>-28.39</v>
      </c>
      <c r="AD16" s="471"/>
      <c r="AE16" s="471"/>
      <c r="AF16" s="506"/>
      <c r="AG16" s="509">
        <v>7082.2199999999993</v>
      </c>
      <c r="AH16" s="481">
        <f t="shared" si="0"/>
        <v>4605022.5400000103</v>
      </c>
    </row>
    <row r="17" spans="1:34" s="459" customFormat="1" ht="15" customHeight="1">
      <c r="A17" s="482">
        <v>8</v>
      </c>
      <c r="B17" s="483">
        <f t="shared" si="1"/>
        <v>45473</v>
      </c>
      <c r="C17" s="498"/>
      <c r="D17" s="496">
        <v>0</v>
      </c>
      <c r="E17" s="496">
        <v>0</v>
      </c>
      <c r="F17" s="496">
        <v>0</v>
      </c>
      <c r="G17" s="496">
        <v>0</v>
      </c>
      <c r="H17" s="496">
        <v>0</v>
      </c>
      <c r="I17" s="498">
        <v>0</v>
      </c>
      <c r="J17" s="471">
        <v>1976779.41</v>
      </c>
      <c r="K17" s="471">
        <v>1886038.70999999</v>
      </c>
      <c r="L17" s="471">
        <v>837393.03999999806</v>
      </c>
      <c r="M17" s="471">
        <v>99466.399999999907</v>
      </c>
      <c r="N17" s="471">
        <v>34495.26</v>
      </c>
      <c r="O17" s="471">
        <v>28170.9</v>
      </c>
      <c r="P17" s="471">
        <v>8650.74</v>
      </c>
      <c r="Q17" s="471">
        <v>32722.77</v>
      </c>
      <c r="R17" s="471">
        <v>16744.96</v>
      </c>
      <c r="S17" s="472">
        <v>5535.68</v>
      </c>
      <c r="T17" s="472">
        <v>4534.93</v>
      </c>
      <c r="U17" s="472">
        <v>5441.7</v>
      </c>
      <c r="V17" s="471">
        <v>3969.3</v>
      </c>
      <c r="W17" s="471">
        <v>2164.77</v>
      </c>
      <c r="X17" s="472">
        <v>2142.2399999999998</v>
      </c>
      <c r="Y17" s="472">
        <v>7147.52</v>
      </c>
      <c r="Z17" s="471">
        <v>4121.1400000000003</v>
      </c>
      <c r="AA17" s="471">
        <v>3526.12</v>
      </c>
      <c r="AB17" s="471">
        <v>3899.33</v>
      </c>
      <c r="AC17" s="471">
        <v>1828.22</v>
      </c>
      <c r="AD17" s="471"/>
      <c r="AE17" s="471"/>
      <c r="AF17" s="506"/>
      <c r="AG17" s="509">
        <v>-38578.559999999998</v>
      </c>
      <c r="AH17" s="481">
        <f t="shared" si="0"/>
        <v>4926194.5799999861</v>
      </c>
    </row>
    <row r="18" spans="1:34" s="459" customFormat="1" ht="15" customHeight="1">
      <c r="A18" s="482">
        <v>9</v>
      </c>
      <c r="B18" s="483">
        <f t="shared" si="1"/>
        <v>45443</v>
      </c>
      <c r="C18" s="498"/>
      <c r="D18" s="496">
        <v>0</v>
      </c>
      <c r="E18" s="496">
        <v>0</v>
      </c>
      <c r="F18" s="496">
        <v>0</v>
      </c>
      <c r="G18" s="496">
        <v>0</v>
      </c>
      <c r="H18" s="496">
        <v>0</v>
      </c>
      <c r="I18" s="496">
        <v>0</v>
      </c>
      <c r="J18" s="498">
        <v>0</v>
      </c>
      <c r="K18" s="471">
        <v>2279572.8699999801</v>
      </c>
      <c r="L18" s="471">
        <v>2191426.1099999901</v>
      </c>
      <c r="M18" s="471">
        <v>636805.93999999901</v>
      </c>
      <c r="N18" s="471">
        <v>392624.87</v>
      </c>
      <c r="O18" s="471">
        <v>44700.6</v>
      </c>
      <c r="P18" s="471">
        <v>25575.47</v>
      </c>
      <c r="Q18" s="471">
        <v>22101.7</v>
      </c>
      <c r="R18" s="471">
        <v>16215.48</v>
      </c>
      <c r="S18" s="472">
        <v>5375.25</v>
      </c>
      <c r="T18" s="472">
        <v>7609.59</v>
      </c>
      <c r="U18" s="472">
        <v>5661.19</v>
      </c>
      <c r="V18" s="471">
        <v>1567.11</v>
      </c>
      <c r="W18" s="471">
        <v>9.2400000000001494</v>
      </c>
      <c r="X18" s="472">
        <v>47059</v>
      </c>
      <c r="Y18" s="472">
        <v>11642.87</v>
      </c>
      <c r="Z18" s="471">
        <v>54.82</v>
      </c>
      <c r="AA18" s="471">
        <v>4162.3999999999996</v>
      </c>
      <c r="AB18" s="471">
        <v>4022.2</v>
      </c>
      <c r="AC18" s="471">
        <v>32913.17</v>
      </c>
      <c r="AD18" s="471"/>
      <c r="AE18" s="471"/>
      <c r="AF18" s="506"/>
      <c r="AG18" s="509">
        <v>8943.7400000000016</v>
      </c>
      <c r="AH18" s="481">
        <f t="shared" si="0"/>
        <v>5738043.6199999722</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1673717.21999999</v>
      </c>
      <c r="M19" s="471">
        <v>1871607.06</v>
      </c>
      <c r="N19" s="471">
        <v>507511.47</v>
      </c>
      <c r="O19" s="471">
        <v>393312.04</v>
      </c>
      <c r="P19" s="471">
        <v>41311.589999999997</v>
      </c>
      <c r="Q19" s="471">
        <v>47721.03</v>
      </c>
      <c r="R19" s="471">
        <v>26844.1</v>
      </c>
      <c r="S19" s="472">
        <v>14826.48</v>
      </c>
      <c r="T19" s="472">
        <v>2906.99</v>
      </c>
      <c r="U19" s="472">
        <v>11270.53</v>
      </c>
      <c r="V19" s="471">
        <v>978.21</v>
      </c>
      <c r="W19" s="471">
        <v>3075.01</v>
      </c>
      <c r="X19" s="472">
        <v>-13556.52</v>
      </c>
      <c r="Y19" s="472">
        <v>0</v>
      </c>
      <c r="Z19" s="471">
        <v>5155.0200000000004</v>
      </c>
      <c r="AA19" s="471">
        <v>3906.95</v>
      </c>
      <c r="AB19" s="471">
        <v>3617.59</v>
      </c>
      <c r="AC19" s="471">
        <v>-143.07</v>
      </c>
      <c r="AD19" s="471"/>
      <c r="AE19" s="471"/>
      <c r="AF19" s="506"/>
      <c r="AG19" s="509">
        <v>-85182.800000000017</v>
      </c>
      <c r="AH19" s="481">
        <f t="shared" si="0"/>
        <v>4508878.8999999901</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1899963.3299999901</v>
      </c>
      <c r="N20" s="471">
        <v>1799335.05999999</v>
      </c>
      <c r="O20" s="471">
        <v>334955.41000000102</v>
      </c>
      <c r="P20" s="471">
        <v>91470.680000000095</v>
      </c>
      <c r="Q20" s="471">
        <v>48807.58</v>
      </c>
      <c r="R20" s="471">
        <v>79191.429999999993</v>
      </c>
      <c r="S20" s="472">
        <v>4510.74</v>
      </c>
      <c r="T20" s="472">
        <v>5849.94</v>
      </c>
      <c r="U20" s="472">
        <v>4521.46</v>
      </c>
      <c r="V20" s="471">
        <v>7536.16</v>
      </c>
      <c r="W20" s="471">
        <v>2288.34</v>
      </c>
      <c r="X20" s="472">
        <v>7339.82</v>
      </c>
      <c r="Y20" s="472">
        <v>534.73</v>
      </c>
      <c r="Z20" s="471">
        <v>590.36</v>
      </c>
      <c r="AA20" s="471">
        <v>6316.66</v>
      </c>
      <c r="AB20" s="471">
        <v>5229.41</v>
      </c>
      <c r="AC20" s="471">
        <v>254.61</v>
      </c>
      <c r="AD20" s="471"/>
      <c r="AE20" s="471"/>
      <c r="AF20" s="506"/>
      <c r="AG20" s="509">
        <v>29389.7</v>
      </c>
      <c r="AH20" s="481">
        <f t="shared" si="0"/>
        <v>4328085.4199999841</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2231407.76000001</v>
      </c>
      <c r="O21" s="471">
        <v>2245052.62</v>
      </c>
      <c r="P21" s="471">
        <v>448431.68</v>
      </c>
      <c r="Q21" s="471">
        <v>69318.27</v>
      </c>
      <c r="R21" s="471">
        <v>24986.66</v>
      </c>
      <c r="S21" s="472">
        <v>30486.37</v>
      </c>
      <c r="T21" s="472">
        <v>40853.5</v>
      </c>
      <c r="U21" s="472">
        <v>23408.01</v>
      </c>
      <c r="V21" s="471">
        <v>15404.17</v>
      </c>
      <c r="W21" s="471">
        <v>10219.540000000001</v>
      </c>
      <c r="X21" s="472">
        <v>8581.7099999999991</v>
      </c>
      <c r="Y21" s="472">
        <v>10439.790000000001</v>
      </c>
      <c r="Z21" s="471">
        <v>5092.53</v>
      </c>
      <c r="AA21" s="471">
        <v>0</v>
      </c>
      <c r="AB21" s="471">
        <v>623.62999999999897</v>
      </c>
      <c r="AC21" s="471">
        <v>5934</v>
      </c>
      <c r="AD21" s="471"/>
      <c r="AE21" s="471"/>
      <c r="AF21" s="506"/>
      <c r="AG21" s="509">
        <v>44648.469999999994</v>
      </c>
      <c r="AH21" s="481">
        <f t="shared" si="0"/>
        <v>5214888.7100000093</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1538222.41</v>
      </c>
      <c r="P22" s="471">
        <v>1861082.79999999</v>
      </c>
      <c r="Q22" s="471">
        <v>568274.29</v>
      </c>
      <c r="R22" s="471">
        <v>100837.4</v>
      </c>
      <c r="S22" s="472">
        <v>51910.07</v>
      </c>
      <c r="T22" s="472">
        <v>34427.96</v>
      </c>
      <c r="U22" s="472">
        <v>22892.18</v>
      </c>
      <c r="V22" s="471">
        <v>3427.05</v>
      </c>
      <c r="W22" s="471">
        <v>9007.9299999999894</v>
      </c>
      <c r="X22" s="472">
        <v>12663.82</v>
      </c>
      <c r="Y22" s="472">
        <v>16045.83</v>
      </c>
      <c r="Z22" s="471">
        <v>17582.55</v>
      </c>
      <c r="AA22" s="471">
        <v>-229.169999999997</v>
      </c>
      <c r="AB22" s="471">
        <v>2554.0300000000002</v>
      </c>
      <c r="AC22" s="471">
        <v>183.02</v>
      </c>
      <c r="AD22" s="471"/>
      <c r="AE22" s="471"/>
      <c r="AF22" s="506"/>
      <c r="AG22" s="509">
        <v>37062.240000000005</v>
      </c>
      <c r="AH22" s="481">
        <f t="shared" si="0"/>
        <v>4275944.4099999899</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1858201.8399999901</v>
      </c>
      <c r="Q23" s="471">
        <v>2127853.8399999901</v>
      </c>
      <c r="R23" s="471">
        <v>552670.81999999902</v>
      </c>
      <c r="S23" s="472">
        <v>116081.98</v>
      </c>
      <c r="T23" s="472">
        <v>61717.56</v>
      </c>
      <c r="U23" s="472">
        <v>34845.980000000003</v>
      </c>
      <c r="V23" s="471">
        <v>26321.45</v>
      </c>
      <c r="W23" s="471">
        <v>7967.6</v>
      </c>
      <c r="X23" s="472">
        <v>20842.669999999998</v>
      </c>
      <c r="Y23" s="472">
        <v>6859.03</v>
      </c>
      <c r="Z23" s="471">
        <v>12467.67</v>
      </c>
      <c r="AA23" s="471">
        <v>2271.34</v>
      </c>
      <c r="AB23" s="471">
        <v>4611.7</v>
      </c>
      <c r="AC23" s="471">
        <v>-846.65</v>
      </c>
      <c r="AD23" s="471"/>
      <c r="AE23" s="471"/>
      <c r="AF23" s="506"/>
      <c r="AG23" s="509">
        <v>33711.750000000007</v>
      </c>
      <c r="AH23" s="481">
        <f t="shared" si="0"/>
        <v>4865578.5799999796</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1303237.72999999</v>
      </c>
      <c r="R24" s="471">
        <v>2067589.7</v>
      </c>
      <c r="S24" s="472">
        <v>487476.18000000098</v>
      </c>
      <c r="T24" s="472">
        <v>56228.9</v>
      </c>
      <c r="U24" s="472">
        <v>27279.63</v>
      </c>
      <c r="V24" s="471">
        <v>15046.27</v>
      </c>
      <c r="W24" s="471">
        <v>17428.77</v>
      </c>
      <c r="X24" s="472">
        <v>18078.16</v>
      </c>
      <c r="Y24" s="472">
        <v>1271.92</v>
      </c>
      <c r="Z24" s="471">
        <v>9764.36</v>
      </c>
      <c r="AA24" s="471">
        <v>10050.34</v>
      </c>
      <c r="AB24" s="471">
        <v>130.38</v>
      </c>
      <c r="AC24" s="471">
        <v>5625.08</v>
      </c>
      <c r="AD24" s="471"/>
      <c r="AE24" s="471"/>
      <c r="AF24" s="506"/>
      <c r="AG24" s="509">
        <v>255106.9</v>
      </c>
      <c r="AH24" s="481">
        <f t="shared" si="0"/>
        <v>4274314.319999991</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1093643.47</v>
      </c>
      <c r="S25" s="472">
        <v>1630568.07</v>
      </c>
      <c r="T25" s="472">
        <v>563398.17000000097</v>
      </c>
      <c r="U25" s="472">
        <v>159882.15</v>
      </c>
      <c r="V25" s="471">
        <v>19082.669999999998</v>
      </c>
      <c r="W25" s="471">
        <v>7104.77</v>
      </c>
      <c r="X25" s="472">
        <v>1409.29</v>
      </c>
      <c r="Y25" s="472">
        <v>7667.24</v>
      </c>
      <c r="Z25" s="471">
        <v>9253.01</v>
      </c>
      <c r="AA25" s="471">
        <v>483.66</v>
      </c>
      <c r="AB25" s="471">
        <v>5013.32</v>
      </c>
      <c r="AC25" s="471">
        <v>3039.48</v>
      </c>
      <c r="AD25" s="471"/>
      <c r="AE25" s="471"/>
      <c r="AF25" s="506"/>
      <c r="AG25" s="509">
        <v>31120.519999999997</v>
      </c>
      <c r="AH25" s="481">
        <f t="shared" si="0"/>
        <v>3531665.8200000008</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1378123.41</v>
      </c>
      <c r="T26" s="472">
        <v>2032954.24</v>
      </c>
      <c r="U26" s="472">
        <v>354013</v>
      </c>
      <c r="V26" s="471">
        <v>140912.44</v>
      </c>
      <c r="W26" s="471">
        <v>47393.66</v>
      </c>
      <c r="X26" s="472">
        <v>33545.949999999997</v>
      </c>
      <c r="Y26" s="472">
        <v>9622.8700000000008</v>
      </c>
      <c r="Z26" s="471">
        <v>2493.04</v>
      </c>
      <c r="AA26" s="471">
        <v>15152.39</v>
      </c>
      <c r="AB26" s="471">
        <v>8622.17</v>
      </c>
      <c r="AC26" s="471">
        <v>8725.24</v>
      </c>
      <c r="AD26" s="471"/>
      <c r="AE26" s="471"/>
      <c r="AF26" s="514"/>
      <c r="AG26" s="509">
        <v>49415.759999999995</v>
      </c>
      <c r="AH26" s="481">
        <f t="shared" si="0"/>
        <v>4080974.1700000004</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1331574.9099999999</v>
      </c>
      <c r="U27" s="472">
        <v>2041069.6299999901</v>
      </c>
      <c r="V27" s="471">
        <v>272241.39999999898</v>
      </c>
      <c r="W27" s="471">
        <v>24441.25</v>
      </c>
      <c r="X27" s="472">
        <v>29452.61</v>
      </c>
      <c r="Y27" s="472">
        <v>7269.31</v>
      </c>
      <c r="Z27" s="471">
        <v>8774.01</v>
      </c>
      <c r="AA27" s="471">
        <v>5243.29</v>
      </c>
      <c r="AB27" s="471">
        <v>41012.74</v>
      </c>
      <c r="AC27" s="471">
        <v>4313.75</v>
      </c>
      <c r="AD27" s="471"/>
      <c r="AE27" s="471"/>
      <c r="AF27" s="506"/>
      <c r="AG27" s="515">
        <v>38762.630000000005</v>
      </c>
      <c r="AH27" s="481">
        <f t="shared" si="0"/>
        <v>3804155.5299999886</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1671366.02999999</v>
      </c>
      <c r="V28" s="471">
        <v>1699835.23000001</v>
      </c>
      <c r="W28" s="471">
        <v>384927.46</v>
      </c>
      <c r="X28" s="472">
        <v>44723.88</v>
      </c>
      <c r="Y28" s="472">
        <v>21506.78</v>
      </c>
      <c r="Z28" s="471">
        <v>14025.98</v>
      </c>
      <c r="AA28" s="471">
        <v>7170.84</v>
      </c>
      <c r="AB28" s="471">
        <v>16518.98</v>
      </c>
      <c r="AC28" s="471">
        <v>22930.400000000001</v>
      </c>
      <c r="AD28" s="471"/>
      <c r="AE28" s="471"/>
      <c r="AF28" s="506"/>
      <c r="AG28" s="510">
        <v>24761.589999999997</v>
      </c>
      <c r="AH28" s="481">
        <f t="shared" si="0"/>
        <v>3907767.169999999</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1797662.54999999</v>
      </c>
      <c r="W29" s="471">
        <v>2431004.73999999</v>
      </c>
      <c r="X29" s="472">
        <v>517374.88</v>
      </c>
      <c r="Y29" s="472">
        <v>52509.3</v>
      </c>
      <c r="Z29" s="471">
        <v>18191.78</v>
      </c>
      <c r="AA29" s="471">
        <v>18178.830000000002</v>
      </c>
      <c r="AB29" s="471">
        <v>22939.23</v>
      </c>
      <c r="AC29" s="471">
        <v>6769.37</v>
      </c>
      <c r="AD29" s="471"/>
      <c r="AE29" s="471"/>
      <c r="AF29" s="506"/>
      <c r="AG29" s="509">
        <v>147977.09999999971</v>
      </c>
      <c r="AH29" s="481">
        <f t="shared" si="0"/>
        <v>5012607.7799999807</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1362881</v>
      </c>
      <c r="X30" s="472">
        <v>1486784.8499999901</v>
      </c>
      <c r="Y30" s="472">
        <v>479754.18</v>
      </c>
      <c r="Z30" s="471">
        <v>48571.86</v>
      </c>
      <c r="AA30" s="471">
        <v>21145.81</v>
      </c>
      <c r="AB30" s="471">
        <v>12589</v>
      </c>
      <c r="AC30" s="471">
        <v>24134.02</v>
      </c>
      <c r="AD30" s="471"/>
      <c r="AE30" s="471"/>
      <c r="AF30" s="506"/>
      <c r="AG30" s="509">
        <v>72519.080000000016</v>
      </c>
      <c r="AH30" s="481">
        <f t="shared" si="0"/>
        <v>3508379.7999999905</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1547023.31</v>
      </c>
      <c r="Y31" s="472">
        <v>2236786.1999999899</v>
      </c>
      <c r="Z31" s="471">
        <v>536749.11999999895</v>
      </c>
      <c r="AA31" s="471">
        <v>59488.160000000003</v>
      </c>
      <c r="AB31" s="471">
        <v>46115.09</v>
      </c>
      <c r="AC31" s="471">
        <v>11063.5</v>
      </c>
      <c r="AD31" s="471"/>
      <c r="AE31" s="471"/>
      <c r="AF31" s="506"/>
      <c r="AG31" s="509">
        <v>131355.29999999999</v>
      </c>
      <c r="AH31" s="481">
        <f t="shared" si="0"/>
        <v>4568580.6799999885</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1059059.1200000001</v>
      </c>
      <c r="Z32" s="471">
        <v>1916274.9199999899</v>
      </c>
      <c r="AA32" s="471">
        <v>217468.62</v>
      </c>
      <c r="AB32" s="471">
        <v>222479.27</v>
      </c>
      <c r="AC32" s="471">
        <v>52220.94</v>
      </c>
      <c r="AD32" s="471"/>
      <c r="AE32" s="471"/>
      <c r="AF32" s="506"/>
      <c r="AG32" s="509">
        <v>88109.77</v>
      </c>
      <c r="AH32" s="481">
        <f t="shared" si="0"/>
        <v>3555612.6399999899</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1526142.53000001</v>
      </c>
      <c r="AA33" s="471">
        <v>1449569.14</v>
      </c>
      <c r="AB33" s="471">
        <v>373598.19</v>
      </c>
      <c r="AC33" s="471">
        <v>203922.53</v>
      </c>
      <c r="AD33" s="471"/>
      <c r="AE33" s="471"/>
      <c r="AF33" s="506"/>
      <c r="AG33" s="509">
        <v>473208.4600000002</v>
      </c>
      <c r="AH33" s="481">
        <f t="shared" si="0"/>
        <v>4026440.8500000099</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1763681.87</v>
      </c>
      <c r="AB34" s="471">
        <v>2043526.74999999</v>
      </c>
      <c r="AC34" s="471">
        <v>333329.61999999901</v>
      </c>
      <c r="AD34" s="471"/>
      <c r="AE34" s="471"/>
      <c r="AF34" s="506"/>
      <c r="AG34" s="509">
        <v>886236.33000000112</v>
      </c>
      <c r="AH34" s="481">
        <f t="shared" si="0"/>
        <v>5026774.5699999901</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1413051.98000001</v>
      </c>
      <c r="AC35" s="471">
        <v>1721540.69</v>
      </c>
      <c r="AD35" s="471"/>
      <c r="AE35" s="471"/>
      <c r="AF35" s="506"/>
      <c r="AG35" s="509">
        <v>1548102.760000004</v>
      </c>
      <c r="AH35" s="481">
        <f t="shared" si="0"/>
        <v>4682695.4300000146</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1088299.07</v>
      </c>
      <c r="AD36" s="471"/>
      <c r="AE36" s="471"/>
      <c r="AF36" s="506"/>
      <c r="AG36" s="509">
        <v>2160740.9000000097</v>
      </c>
      <c r="AH36" s="481">
        <f t="shared" si="0"/>
        <v>3249039.97000001</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0</v>
      </c>
      <c r="E41" s="961">
        <f t="shared" ref="E41:AC41" si="2">SUM(E10:E40)</f>
        <v>0</v>
      </c>
      <c r="F41" s="961">
        <f t="shared" si="2"/>
        <v>0</v>
      </c>
      <c r="G41" s="961">
        <f t="shared" si="2"/>
        <v>5051464.6699999906</v>
      </c>
      <c r="H41" s="961">
        <f t="shared" si="2"/>
        <v>4731202.7400000095</v>
      </c>
      <c r="I41" s="961">
        <f t="shared" si="2"/>
        <v>5460409.48000002</v>
      </c>
      <c r="J41" s="961">
        <f t="shared" si="2"/>
        <v>4894786.890000008</v>
      </c>
      <c r="K41" s="961">
        <f t="shared" si="2"/>
        <v>5028719.6299999701</v>
      </c>
      <c r="L41" s="961">
        <f t="shared" si="2"/>
        <v>5076998.5199999781</v>
      </c>
      <c r="M41" s="961">
        <f t="shared" si="2"/>
        <v>4713058.7199999886</v>
      </c>
      <c r="N41" s="961">
        <f t="shared" si="2"/>
        <v>5081937.6900000004</v>
      </c>
      <c r="O41" s="961">
        <f t="shared" si="2"/>
        <v>4760830.0000000009</v>
      </c>
      <c r="P41" s="961">
        <f t="shared" si="2"/>
        <v>4399347.2599999802</v>
      </c>
      <c r="Q41" s="961">
        <f t="shared" si="2"/>
        <v>4269772.1599999806</v>
      </c>
      <c r="R41" s="961">
        <f t="shared" si="2"/>
        <v>4008562.3499999987</v>
      </c>
      <c r="S41" s="961">
        <f t="shared" si="2"/>
        <v>3751580.3500000015</v>
      </c>
      <c r="T41" s="961">
        <f t="shared" si="2"/>
        <v>4148104.8800000008</v>
      </c>
      <c r="U41" s="961">
        <f t="shared" si="2"/>
        <v>4372264.51999998</v>
      </c>
      <c r="V41" s="961">
        <f t="shared" si="2"/>
        <v>4022616.879999999</v>
      </c>
      <c r="W41" s="961">
        <f t="shared" si="2"/>
        <v>4335247.0899999905</v>
      </c>
      <c r="X41" s="961">
        <f t="shared" si="2"/>
        <v>3794433.02999999</v>
      </c>
      <c r="Y41" s="961">
        <f t="shared" si="2"/>
        <v>3928848.0899999901</v>
      </c>
      <c r="Z41" s="961">
        <f t="shared" si="2"/>
        <v>4146565.0199999991</v>
      </c>
      <c r="AA41" s="961">
        <f t="shared" si="2"/>
        <v>3594559.37</v>
      </c>
      <c r="AB41" s="961">
        <f t="shared" si="2"/>
        <v>4233520.51</v>
      </c>
      <c r="AC41" s="961">
        <f t="shared" si="2"/>
        <v>3520467.6999999993</v>
      </c>
      <c r="AD41" s="961">
        <f>SUM(AD10:AD40)</f>
        <v>0</v>
      </c>
      <c r="AE41" s="961">
        <f>SUM(AE10:AE40)</f>
        <v>0</v>
      </c>
      <c r="AF41" s="961">
        <f>SUM(AF10:AF40)</f>
        <v>0</v>
      </c>
      <c r="AG41" s="519">
        <f>SUM(AG10:AG40)</f>
        <v>5942394.4500000142</v>
      </c>
      <c r="AH41" s="962">
        <f>SUM(AH10:AH40)</f>
        <v>107267691.99999993</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53.85" customHeight="1">
      <c r="A45" s="485">
        <v>36</v>
      </c>
      <c r="B45" s="488" t="s">
        <v>1504</v>
      </c>
      <c r="C45" s="475">
        <f>SUM(C41:C44)</f>
        <v>0</v>
      </c>
      <c r="D45" s="475">
        <f>SUM(D41:D44)</f>
        <v>0</v>
      </c>
      <c r="E45" s="476">
        <f t="shared" ref="E45:AB45" si="3">SUM(E41:E44)</f>
        <v>0</v>
      </c>
      <c r="F45" s="476">
        <f>SUM(F41:F44)</f>
        <v>0</v>
      </c>
      <c r="G45" s="476">
        <f t="shared" si="3"/>
        <v>5051464.6699999906</v>
      </c>
      <c r="H45" s="476">
        <f t="shared" si="3"/>
        <v>4731202.7400000095</v>
      </c>
      <c r="I45" s="476">
        <f t="shared" si="3"/>
        <v>5460409.48000002</v>
      </c>
      <c r="J45" s="476">
        <f t="shared" si="3"/>
        <v>4894786.890000008</v>
      </c>
      <c r="K45" s="476">
        <f t="shared" si="3"/>
        <v>5028719.6299999701</v>
      </c>
      <c r="L45" s="476">
        <f t="shared" si="3"/>
        <v>5076998.5199999781</v>
      </c>
      <c r="M45" s="476">
        <f t="shared" si="3"/>
        <v>4713058.7199999886</v>
      </c>
      <c r="N45" s="476">
        <f t="shared" si="3"/>
        <v>5081937.6900000004</v>
      </c>
      <c r="O45" s="476">
        <f t="shared" si="3"/>
        <v>4760830.0000000009</v>
      </c>
      <c r="P45" s="476">
        <f t="shared" si="3"/>
        <v>4399347.2599999802</v>
      </c>
      <c r="Q45" s="476">
        <f t="shared" si="3"/>
        <v>4269772.1599999806</v>
      </c>
      <c r="R45" s="476">
        <f t="shared" si="3"/>
        <v>4008562.3499999987</v>
      </c>
      <c r="S45" s="476">
        <f t="shared" si="3"/>
        <v>3751580.3500000015</v>
      </c>
      <c r="T45" s="476">
        <f t="shared" si="3"/>
        <v>4148104.8800000008</v>
      </c>
      <c r="U45" s="476">
        <f t="shared" si="3"/>
        <v>4372264.51999998</v>
      </c>
      <c r="V45" s="476">
        <f t="shared" si="3"/>
        <v>4022616.879999999</v>
      </c>
      <c r="W45" s="476">
        <f t="shared" si="3"/>
        <v>4335247.0899999905</v>
      </c>
      <c r="X45" s="476">
        <f t="shared" si="3"/>
        <v>3794433.02999999</v>
      </c>
      <c r="Y45" s="476">
        <f t="shared" si="3"/>
        <v>3928848.0899999901</v>
      </c>
      <c r="Z45" s="476">
        <f t="shared" si="3"/>
        <v>4146565.0199999991</v>
      </c>
      <c r="AA45" s="476">
        <f t="shared" si="3"/>
        <v>3594559.37</v>
      </c>
      <c r="AB45" s="476">
        <f t="shared" si="3"/>
        <v>4233520.51</v>
      </c>
      <c r="AC45" s="476">
        <f t="shared" ref="AC45:AH45" si="4">SUM(AC41:AC44)</f>
        <v>3520467.6999999993</v>
      </c>
      <c r="AD45" s="476">
        <f t="shared" si="4"/>
        <v>0</v>
      </c>
      <c r="AE45" s="476">
        <f t="shared" si="4"/>
        <v>0</v>
      </c>
      <c r="AF45" s="476">
        <f t="shared" si="4"/>
        <v>0</v>
      </c>
      <c r="AG45" s="478">
        <f t="shared" si="4"/>
        <v>5942394.4500000142</v>
      </c>
      <c r="AH45" s="477">
        <f t="shared" si="4"/>
        <v>107267691.99999993</v>
      </c>
    </row>
    <row r="46" spans="1:79" s="459" customFormat="1" ht="53.25" customHeight="1">
      <c r="A46" s="485">
        <v>37</v>
      </c>
      <c r="B46" s="488" t="s">
        <v>1505</v>
      </c>
      <c r="C46" s="473"/>
      <c r="D46" s="471">
        <v>0</v>
      </c>
      <c r="E46" s="471">
        <v>0</v>
      </c>
      <c r="F46" s="471">
        <v>0</v>
      </c>
      <c r="G46" s="474">
        <v>131610.84600926074</v>
      </c>
      <c r="H46" s="471">
        <v>108592.11761095644</v>
      </c>
      <c r="I46" s="471">
        <v>57810.672324777828</v>
      </c>
      <c r="J46" s="471">
        <v>38016.339507676865</v>
      </c>
      <c r="K46" s="471">
        <v>45572.59172070324</v>
      </c>
      <c r="L46" s="471">
        <v>18034.77861523207</v>
      </c>
      <c r="M46" s="471">
        <v>12062.772892730354</v>
      </c>
      <c r="N46" s="471">
        <v>6460.6059410050011</v>
      </c>
      <c r="O46" s="472">
        <v>2948.2809967546173</v>
      </c>
      <c r="P46" s="471">
        <v>2146.829441364418</v>
      </c>
      <c r="Q46" s="472">
        <v>495.0425369407368</v>
      </c>
      <c r="R46" s="471">
        <v>6.9231013620419417E-9</v>
      </c>
      <c r="S46" s="472">
        <v>-2.2495768247413549E-9</v>
      </c>
      <c r="T46" s="472">
        <v>5.9682904715648548E-10</v>
      </c>
      <c r="U46" s="472">
        <v>0</v>
      </c>
      <c r="V46" s="471">
        <v>6.1578776071255277E-10</v>
      </c>
      <c r="W46" s="472">
        <v>-6.5494218163910513E-10</v>
      </c>
      <c r="X46" s="472">
        <v>0</v>
      </c>
      <c r="Y46" s="472">
        <v>0</v>
      </c>
      <c r="Z46" s="471">
        <v>-4.5406260688340231E-9</v>
      </c>
      <c r="AA46" s="472">
        <v>5.8049448829281261E-10</v>
      </c>
      <c r="AB46" s="471">
        <v>0</v>
      </c>
      <c r="AC46" s="472">
        <v>1.2356460625473459E-9</v>
      </c>
      <c r="AD46" s="472">
        <v>5.8049448829281261E-10</v>
      </c>
      <c r="AE46" s="471">
        <v>0</v>
      </c>
      <c r="AF46" s="529">
        <v>1.2356460625473459E-9</v>
      </c>
      <c r="AG46" s="474">
        <v>3.6455151112375602E-9</v>
      </c>
      <c r="AH46" s="477">
        <f>SUM(C46:AG46)</f>
        <v>423750.87759741023</v>
      </c>
    </row>
    <row r="47" spans="1:79" s="459" customFormat="1" ht="40.35" customHeight="1" thickBot="1">
      <c r="A47" s="489">
        <v>38</v>
      </c>
      <c r="B47" s="490" t="s">
        <v>1506</v>
      </c>
      <c r="C47" s="479">
        <f>SUM(C45:C46)</f>
        <v>0</v>
      </c>
      <c r="D47" s="479">
        <f t="shared" ref="D47:AC47" si="5">SUM(D45:D46)</f>
        <v>0</v>
      </c>
      <c r="E47" s="479">
        <f t="shared" si="5"/>
        <v>0</v>
      </c>
      <c r="F47" s="479">
        <f t="shared" si="5"/>
        <v>0</v>
      </c>
      <c r="G47" s="479">
        <f t="shared" si="5"/>
        <v>5183075.5160092516</v>
      </c>
      <c r="H47" s="479">
        <f t="shared" si="5"/>
        <v>4839794.8576109661</v>
      </c>
      <c r="I47" s="479">
        <f t="shared" si="5"/>
        <v>5518220.1523247976</v>
      </c>
      <c r="J47" s="479">
        <f t="shared" si="5"/>
        <v>4932803.2295076847</v>
      </c>
      <c r="K47" s="479">
        <f t="shared" si="5"/>
        <v>5074292.2217206731</v>
      </c>
      <c r="L47" s="479">
        <f t="shared" si="5"/>
        <v>5095033.2986152098</v>
      </c>
      <c r="M47" s="479">
        <f t="shared" si="5"/>
        <v>4725121.4928927189</v>
      </c>
      <c r="N47" s="479">
        <f t="shared" si="5"/>
        <v>5088398.2959410055</v>
      </c>
      <c r="O47" s="479">
        <f t="shared" si="5"/>
        <v>4763778.2809967557</v>
      </c>
      <c r="P47" s="479">
        <f t="shared" si="5"/>
        <v>4401494.0894413451</v>
      </c>
      <c r="Q47" s="479">
        <f t="shared" si="5"/>
        <v>4270267.202536921</v>
      </c>
      <c r="R47" s="479">
        <f t="shared" si="5"/>
        <v>4008562.3500000057</v>
      </c>
      <c r="S47" s="479">
        <f t="shared" si="5"/>
        <v>3751580.3499999992</v>
      </c>
      <c r="T47" s="479">
        <f t="shared" si="5"/>
        <v>4148104.8800000013</v>
      </c>
      <c r="U47" s="479">
        <f t="shared" si="5"/>
        <v>4372264.51999998</v>
      </c>
      <c r="V47" s="479">
        <f t="shared" si="5"/>
        <v>4022616.8799999994</v>
      </c>
      <c r="W47" s="479">
        <f t="shared" si="5"/>
        <v>4335247.0899999896</v>
      </c>
      <c r="X47" s="479">
        <f t="shared" si="5"/>
        <v>3794433.02999999</v>
      </c>
      <c r="Y47" s="479">
        <f t="shared" si="5"/>
        <v>3928848.0899999901</v>
      </c>
      <c r="Z47" s="479">
        <f t="shared" si="5"/>
        <v>4146565.0199999944</v>
      </c>
      <c r="AA47" s="479">
        <f t="shared" si="5"/>
        <v>3594559.3700000006</v>
      </c>
      <c r="AB47" s="479">
        <f t="shared" si="5"/>
        <v>4233520.51</v>
      </c>
      <c r="AC47" s="479">
        <f t="shared" si="5"/>
        <v>3520467.7000000007</v>
      </c>
      <c r="AD47" s="479">
        <f>SUM(AD45:AD46)</f>
        <v>5.8049448829281261E-10</v>
      </c>
      <c r="AE47" s="479">
        <f>SUM(AE45:AE46)</f>
        <v>0</v>
      </c>
      <c r="AF47" s="479">
        <f>SUM(AF45:AF46)</f>
        <v>1.2356460625473459E-9</v>
      </c>
      <c r="AG47" s="507">
        <f>SUM(AG45:AG46)</f>
        <v>5942394.4500000179</v>
      </c>
      <c r="AH47" s="480">
        <f>SUM(AH45:AH46)</f>
        <v>107691442.87759733</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DJ61"/>
  <sheetViews>
    <sheetView topLeftCell="Z1" zoomScale="60" zoomScaleNormal="60" workbookViewId="0">
      <selection activeCell="V37" sqref="V37"/>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42578125" style="458" bestFit="1" customWidth="1"/>
    <col min="34" max="34" width="16.5703125" style="458" customWidth="1"/>
    <col min="35" max="16384" width="8" style="458"/>
  </cols>
  <sheetData>
    <row r="1" spans="1:114" ht="15.6">
      <c r="A1" s="427" t="s">
        <v>1509</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0</v>
      </c>
      <c r="E10" s="959">
        <v>0</v>
      </c>
      <c r="F10" s="959">
        <v>0</v>
      </c>
      <c r="G10" s="959">
        <v>59.5</v>
      </c>
      <c r="H10" s="959">
        <v>0</v>
      </c>
      <c r="I10" s="959">
        <v>70.150000000000006</v>
      </c>
      <c r="J10" s="959">
        <v>0</v>
      </c>
      <c r="K10" s="959">
        <v>0</v>
      </c>
      <c r="L10" s="959">
        <v>0</v>
      </c>
      <c r="M10" s="959">
        <v>0</v>
      </c>
      <c r="N10" s="959">
        <v>0</v>
      </c>
      <c r="O10" s="959">
        <v>0</v>
      </c>
      <c r="P10" s="959">
        <v>0</v>
      </c>
      <c r="Q10" s="959">
        <v>0</v>
      </c>
      <c r="R10" s="959">
        <v>0</v>
      </c>
      <c r="S10" s="959">
        <v>0</v>
      </c>
      <c r="T10" s="959">
        <v>0</v>
      </c>
      <c r="U10" s="959">
        <v>0</v>
      </c>
      <c r="V10" s="959">
        <v>0</v>
      </c>
      <c r="W10" s="959">
        <v>0</v>
      </c>
      <c r="X10" s="959">
        <v>0</v>
      </c>
      <c r="Y10" s="959">
        <v>0</v>
      </c>
      <c r="Z10" s="959">
        <v>0</v>
      </c>
      <c r="AA10" s="959">
        <v>0</v>
      </c>
      <c r="AB10" s="959">
        <v>0</v>
      </c>
      <c r="AC10" s="959">
        <v>0</v>
      </c>
      <c r="AD10" s="959"/>
      <c r="AE10" s="959"/>
      <c r="AF10" s="513"/>
      <c r="AG10" s="512">
        <v>0</v>
      </c>
      <c r="AH10" s="481">
        <f t="shared" ref="AH10:AH38" si="0">SUM(C10:AG10)</f>
        <v>129.65</v>
      </c>
    </row>
    <row r="11" spans="1:114" s="460" customFormat="1">
      <c r="A11" s="482">
        <v>2</v>
      </c>
      <c r="B11" s="483">
        <f>'Schedule 2_Balance Sheet'!C4</f>
        <v>45657</v>
      </c>
      <c r="C11" s="498"/>
      <c r="D11" s="524">
        <v>0</v>
      </c>
      <c r="E11" s="524">
        <v>0</v>
      </c>
      <c r="F11" s="524">
        <v>0</v>
      </c>
      <c r="G11" s="524">
        <v>-163.02000000000001</v>
      </c>
      <c r="H11" s="524">
        <v>0</v>
      </c>
      <c r="I11" s="524">
        <v>0</v>
      </c>
      <c r="J11" s="524">
        <v>0</v>
      </c>
      <c r="K11" s="524">
        <v>0</v>
      </c>
      <c r="L11" s="524">
        <v>0</v>
      </c>
      <c r="M11" s="524">
        <v>0</v>
      </c>
      <c r="N11" s="524">
        <v>122.66</v>
      </c>
      <c r="O11" s="524">
        <v>0</v>
      </c>
      <c r="P11" s="524">
        <v>0</v>
      </c>
      <c r="Q11" s="524">
        <v>0</v>
      </c>
      <c r="R11" s="524">
        <v>0</v>
      </c>
      <c r="S11" s="524">
        <v>0</v>
      </c>
      <c r="T11" s="524">
        <v>0</v>
      </c>
      <c r="U11" s="524">
        <v>0</v>
      </c>
      <c r="V11" s="524">
        <v>0</v>
      </c>
      <c r="W11" s="524">
        <v>0</v>
      </c>
      <c r="X11" s="524">
        <v>0</v>
      </c>
      <c r="Y11" s="524">
        <v>0</v>
      </c>
      <c r="Z11" s="524">
        <v>0</v>
      </c>
      <c r="AA11" s="524">
        <v>0</v>
      </c>
      <c r="AB11" s="524">
        <v>0</v>
      </c>
      <c r="AC11" s="524">
        <v>0</v>
      </c>
      <c r="AD11" s="524"/>
      <c r="AE11" s="524"/>
      <c r="AF11" s="514"/>
      <c r="AG11" s="510">
        <v>0</v>
      </c>
      <c r="AH11" s="481">
        <f t="shared" si="0"/>
        <v>-40.360000000000014</v>
      </c>
    </row>
    <row r="12" spans="1:114" s="459" customFormat="1" ht="15" customHeight="1">
      <c r="A12" s="482">
        <v>3</v>
      </c>
      <c r="B12" s="483">
        <f>EOMONTH(B11,-1)</f>
        <v>45626</v>
      </c>
      <c r="C12" s="498"/>
      <c r="D12" s="498">
        <v>0</v>
      </c>
      <c r="E12" s="471">
        <v>0</v>
      </c>
      <c r="F12" s="471">
        <v>0</v>
      </c>
      <c r="G12" s="471">
        <v>69.22</v>
      </c>
      <c r="H12" s="471">
        <v>0</v>
      </c>
      <c r="I12" s="471">
        <v>0</v>
      </c>
      <c r="J12" s="471">
        <v>0</v>
      </c>
      <c r="K12" s="471">
        <v>0</v>
      </c>
      <c r="L12" s="471">
        <v>0</v>
      </c>
      <c r="M12" s="471">
        <v>0</v>
      </c>
      <c r="N12" s="471">
        <v>0</v>
      </c>
      <c r="O12" s="471">
        <v>-168.21</v>
      </c>
      <c r="P12" s="471">
        <v>0</v>
      </c>
      <c r="Q12" s="471">
        <v>0</v>
      </c>
      <c r="R12" s="471">
        <v>0</v>
      </c>
      <c r="S12" s="471">
        <v>0</v>
      </c>
      <c r="T12" s="471">
        <v>0</v>
      </c>
      <c r="U12" s="471">
        <v>0</v>
      </c>
      <c r="V12" s="471">
        <v>0</v>
      </c>
      <c r="W12" s="471">
        <v>0</v>
      </c>
      <c r="X12" s="471">
        <v>0</v>
      </c>
      <c r="Y12" s="471">
        <v>0</v>
      </c>
      <c r="Z12" s="471">
        <v>0</v>
      </c>
      <c r="AA12" s="471">
        <v>0</v>
      </c>
      <c r="AB12" s="471">
        <v>0</v>
      </c>
      <c r="AC12" s="471">
        <v>0</v>
      </c>
      <c r="AD12" s="471"/>
      <c r="AE12" s="471"/>
      <c r="AF12" s="506"/>
      <c r="AG12" s="510">
        <v>0</v>
      </c>
      <c r="AH12" s="481">
        <f t="shared" si="0"/>
        <v>-98.990000000000009</v>
      </c>
    </row>
    <row r="13" spans="1:114" s="459" customFormat="1" ht="15" customHeight="1">
      <c r="A13" s="482">
        <v>4</v>
      </c>
      <c r="B13" s="483">
        <f t="shared" ref="B13:B39" si="1">EOMONTH(B12,-1)</f>
        <v>45596</v>
      </c>
      <c r="C13" s="498"/>
      <c r="D13" s="496">
        <v>0</v>
      </c>
      <c r="E13" s="498">
        <v>0</v>
      </c>
      <c r="F13" s="471">
        <v>0</v>
      </c>
      <c r="G13" s="471">
        <v>1148.18</v>
      </c>
      <c r="H13" s="471">
        <v>51.01</v>
      </c>
      <c r="I13" s="471">
        <v>112.2</v>
      </c>
      <c r="J13" s="471">
        <v>218.88</v>
      </c>
      <c r="K13" s="471">
        <v>0</v>
      </c>
      <c r="L13" s="471">
        <v>56.1</v>
      </c>
      <c r="M13" s="471">
        <v>0</v>
      </c>
      <c r="N13" s="471">
        <v>-218.8</v>
      </c>
      <c r="O13" s="471">
        <v>-9809.17</v>
      </c>
      <c r="P13" s="471">
        <v>0</v>
      </c>
      <c r="Q13" s="471">
        <v>0</v>
      </c>
      <c r="R13" s="471">
        <v>0</v>
      </c>
      <c r="S13" s="472">
        <v>0</v>
      </c>
      <c r="T13" s="472">
        <v>0</v>
      </c>
      <c r="U13" s="472">
        <v>0</v>
      </c>
      <c r="V13" s="471">
        <v>0</v>
      </c>
      <c r="W13" s="471">
        <v>0</v>
      </c>
      <c r="X13" s="472">
        <v>0</v>
      </c>
      <c r="Y13" s="472">
        <v>0</v>
      </c>
      <c r="Z13" s="471">
        <v>0</v>
      </c>
      <c r="AA13" s="471">
        <v>0</v>
      </c>
      <c r="AB13" s="471">
        <v>0</v>
      </c>
      <c r="AC13" s="471">
        <v>0</v>
      </c>
      <c r="AD13" s="471"/>
      <c r="AE13" s="471"/>
      <c r="AF13" s="506"/>
      <c r="AG13" s="508">
        <v>0</v>
      </c>
      <c r="AH13" s="481">
        <f t="shared" si="0"/>
        <v>-8441.6</v>
      </c>
    </row>
    <row r="14" spans="1:114" s="459" customFormat="1" ht="15" customHeight="1">
      <c r="A14" s="482">
        <v>5</v>
      </c>
      <c r="B14" s="483">
        <f t="shared" si="1"/>
        <v>45565</v>
      </c>
      <c r="C14" s="498"/>
      <c r="D14" s="496">
        <v>0</v>
      </c>
      <c r="E14" s="496">
        <v>0</v>
      </c>
      <c r="F14" s="498">
        <v>0</v>
      </c>
      <c r="G14" s="471">
        <v>2672.73</v>
      </c>
      <c r="H14" s="471">
        <v>515.55999999999995</v>
      </c>
      <c r="I14" s="471">
        <v>145.72</v>
      </c>
      <c r="J14" s="471">
        <v>71.75</v>
      </c>
      <c r="K14" s="471">
        <v>0</v>
      </c>
      <c r="L14" s="471">
        <v>0</v>
      </c>
      <c r="M14" s="471">
        <v>1264.71</v>
      </c>
      <c r="N14" s="471">
        <v>101.49</v>
      </c>
      <c r="O14" s="471">
        <v>-2677.45</v>
      </c>
      <c r="P14" s="471">
        <v>0</v>
      </c>
      <c r="Q14" s="471">
        <v>0</v>
      </c>
      <c r="R14" s="471">
        <v>0</v>
      </c>
      <c r="S14" s="472">
        <v>0</v>
      </c>
      <c r="T14" s="472">
        <v>0</v>
      </c>
      <c r="U14" s="472">
        <v>0</v>
      </c>
      <c r="V14" s="471">
        <v>0</v>
      </c>
      <c r="W14" s="471">
        <v>0</v>
      </c>
      <c r="X14" s="472">
        <v>0</v>
      </c>
      <c r="Y14" s="472">
        <v>0</v>
      </c>
      <c r="Z14" s="471">
        <v>0</v>
      </c>
      <c r="AA14" s="471">
        <v>0</v>
      </c>
      <c r="AB14" s="471">
        <v>0</v>
      </c>
      <c r="AC14" s="471">
        <v>0</v>
      </c>
      <c r="AD14" s="471"/>
      <c r="AE14" s="471"/>
      <c r="AF14" s="506"/>
      <c r="AG14" s="509">
        <v>0</v>
      </c>
      <c r="AH14" s="481">
        <f t="shared" si="0"/>
        <v>2094.5099999999993</v>
      </c>
    </row>
    <row r="15" spans="1:114" s="459" customFormat="1" ht="15" customHeight="1">
      <c r="A15" s="482">
        <v>6</v>
      </c>
      <c r="B15" s="483">
        <f t="shared" si="1"/>
        <v>45535</v>
      </c>
      <c r="C15" s="498"/>
      <c r="D15" s="496">
        <v>0</v>
      </c>
      <c r="E15" s="496">
        <v>0</v>
      </c>
      <c r="F15" s="496">
        <v>0</v>
      </c>
      <c r="G15" s="498">
        <v>0</v>
      </c>
      <c r="H15" s="471">
        <v>3185.83</v>
      </c>
      <c r="I15" s="471">
        <v>2888.8</v>
      </c>
      <c r="J15" s="471">
        <v>188.36</v>
      </c>
      <c r="K15" s="471">
        <v>12.92</v>
      </c>
      <c r="L15" s="471">
        <v>0</v>
      </c>
      <c r="M15" s="471">
        <v>69.02</v>
      </c>
      <c r="N15" s="471">
        <v>39.22</v>
      </c>
      <c r="O15" s="471">
        <v>-3008.92</v>
      </c>
      <c r="P15" s="471">
        <v>0</v>
      </c>
      <c r="Q15" s="471">
        <v>0</v>
      </c>
      <c r="R15" s="471">
        <v>0</v>
      </c>
      <c r="S15" s="472">
        <v>0</v>
      </c>
      <c r="T15" s="472">
        <v>0</v>
      </c>
      <c r="U15" s="472">
        <v>0</v>
      </c>
      <c r="V15" s="471">
        <v>0</v>
      </c>
      <c r="W15" s="471">
        <v>0</v>
      </c>
      <c r="X15" s="472">
        <v>0</v>
      </c>
      <c r="Y15" s="472">
        <v>0</v>
      </c>
      <c r="Z15" s="471">
        <v>0</v>
      </c>
      <c r="AA15" s="471">
        <v>0</v>
      </c>
      <c r="AB15" s="471">
        <v>0</v>
      </c>
      <c r="AC15" s="471">
        <v>0</v>
      </c>
      <c r="AD15" s="471"/>
      <c r="AE15" s="471"/>
      <c r="AF15" s="506"/>
      <c r="AG15" s="509">
        <v>0</v>
      </c>
      <c r="AH15" s="481">
        <f t="shared" si="0"/>
        <v>3375.2300000000005</v>
      </c>
    </row>
    <row r="16" spans="1:114" s="459" customFormat="1" ht="15" customHeight="1">
      <c r="A16" s="482">
        <v>7</v>
      </c>
      <c r="B16" s="483">
        <f t="shared" si="1"/>
        <v>45504</v>
      </c>
      <c r="C16" s="498"/>
      <c r="D16" s="496">
        <v>0</v>
      </c>
      <c r="E16" s="496">
        <v>0</v>
      </c>
      <c r="F16" s="499">
        <v>0</v>
      </c>
      <c r="G16" s="496">
        <v>0</v>
      </c>
      <c r="H16" s="498">
        <v>0</v>
      </c>
      <c r="I16" s="471">
        <v>3833.49</v>
      </c>
      <c r="J16" s="471">
        <v>369.47</v>
      </c>
      <c r="K16" s="471">
        <v>0</v>
      </c>
      <c r="L16" s="471">
        <v>2.0699999999999998</v>
      </c>
      <c r="M16" s="471">
        <v>0</v>
      </c>
      <c r="N16" s="471">
        <v>127.65</v>
      </c>
      <c r="O16" s="471">
        <v>-39.01</v>
      </c>
      <c r="P16" s="471">
        <v>0</v>
      </c>
      <c r="Q16" s="471">
        <v>0</v>
      </c>
      <c r="R16" s="471">
        <v>214.26</v>
      </c>
      <c r="S16" s="472">
        <v>0</v>
      </c>
      <c r="T16" s="472">
        <v>0</v>
      </c>
      <c r="U16" s="472">
        <v>0</v>
      </c>
      <c r="V16" s="471">
        <v>0</v>
      </c>
      <c r="W16" s="471">
        <v>0</v>
      </c>
      <c r="X16" s="472">
        <v>0</v>
      </c>
      <c r="Y16" s="472">
        <v>0</v>
      </c>
      <c r="Z16" s="471">
        <v>0</v>
      </c>
      <c r="AA16" s="471">
        <v>0</v>
      </c>
      <c r="AB16" s="471">
        <v>0</v>
      </c>
      <c r="AC16" s="471">
        <v>0</v>
      </c>
      <c r="AD16" s="471"/>
      <c r="AE16" s="471"/>
      <c r="AF16" s="506"/>
      <c r="AG16" s="509">
        <v>0</v>
      </c>
      <c r="AH16" s="481">
        <f t="shared" si="0"/>
        <v>4507.9299999999994</v>
      </c>
    </row>
    <row r="17" spans="1:34" s="459" customFormat="1" ht="15" customHeight="1">
      <c r="A17" s="482">
        <v>8</v>
      </c>
      <c r="B17" s="483">
        <f t="shared" si="1"/>
        <v>45473</v>
      </c>
      <c r="C17" s="498"/>
      <c r="D17" s="496">
        <v>0</v>
      </c>
      <c r="E17" s="496">
        <v>0</v>
      </c>
      <c r="F17" s="496">
        <v>0</v>
      </c>
      <c r="G17" s="496">
        <v>0</v>
      </c>
      <c r="H17" s="496">
        <v>0</v>
      </c>
      <c r="I17" s="498">
        <v>0</v>
      </c>
      <c r="J17" s="471">
        <v>1621.43</v>
      </c>
      <c r="K17" s="471">
        <v>185.98</v>
      </c>
      <c r="L17" s="471">
        <v>192.93</v>
      </c>
      <c r="M17" s="471">
        <v>0</v>
      </c>
      <c r="N17" s="471">
        <v>248.81</v>
      </c>
      <c r="O17" s="471">
        <v>158.16</v>
      </c>
      <c r="P17" s="471">
        <v>0</v>
      </c>
      <c r="Q17" s="471">
        <v>0</v>
      </c>
      <c r="R17" s="471">
        <v>0</v>
      </c>
      <c r="S17" s="472">
        <v>0</v>
      </c>
      <c r="T17" s="472">
        <v>0</v>
      </c>
      <c r="U17" s="472">
        <v>0</v>
      </c>
      <c r="V17" s="471">
        <v>0</v>
      </c>
      <c r="W17" s="471">
        <v>0</v>
      </c>
      <c r="X17" s="472">
        <v>0</v>
      </c>
      <c r="Y17" s="472">
        <v>0</v>
      </c>
      <c r="Z17" s="471">
        <v>0</v>
      </c>
      <c r="AA17" s="471">
        <v>0</v>
      </c>
      <c r="AB17" s="471">
        <v>0</v>
      </c>
      <c r="AC17" s="471">
        <v>0</v>
      </c>
      <c r="AD17" s="471"/>
      <c r="AE17" s="471"/>
      <c r="AF17" s="506"/>
      <c r="AG17" s="509">
        <v>0</v>
      </c>
      <c r="AH17" s="481">
        <f t="shared" si="0"/>
        <v>2407.31</v>
      </c>
    </row>
    <row r="18" spans="1:34" s="459" customFormat="1" ht="15" customHeight="1">
      <c r="A18" s="482">
        <v>9</v>
      </c>
      <c r="B18" s="483">
        <f t="shared" si="1"/>
        <v>45443</v>
      </c>
      <c r="C18" s="498"/>
      <c r="D18" s="496">
        <v>0</v>
      </c>
      <c r="E18" s="496">
        <v>0</v>
      </c>
      <c r="F18" s="496">
        <v>0</v>
      </c>
      <c r="G18" s="496">
        <v>0</v>
      </c>
      <c r="H18" s="496">
        <v>0</v>
      </c>
      <c r="I18" s="496">
        <v>0</v>
      </c>
      <c r="J18" s="498">
        <v>0</v>
      </c>
      <c r="K18" s="471">
        <v>1917.29</v>
      </c>
      <c r="L18" s="471">
        <v>942.33</v>
      </c>
      <c r="M18" s="471">
        <v>176.11</v>
      </c>
      <c r="N18" s="471">
        <v>3580.75</v>
      </c>
      <c r="O18" s="471">
        <v>2483.1</v>
      </c>
      <c r="P18" s="471">
        <v>0</v>
      </c>
      <c r="Q18" s="471">
        <v>0</v>
      </c>
      <c r="R18" s="471">
        <v>0</v>
      </c>
      <c r="S18" s="472">
        <v>0</v>
      </c>
      <c r="T18" s="472">
        <v>0</v>
      </c>
      <c r="U18" s="472">
        <v>0</v>
      </c>
      <c r="V18" s="471">
        <v>0</v>
      </c>
      <c r="W18" s="471">
        <v>0</v>
      </c>
      <c r="X18" s="472">
        <v>0</v>
      </c>
      <c r="Y18" s="472">
        <v>0</v>
      </c>
      <c r="Z18" s="471">
        <v>0</v>
      </c>
      <c r="AA18" s="471">
        <v>0</v>
      </c>
      <c r="AB18" s="471">
        <v>0</v>
      </c>
      <c r="AC18" s="471">
        <v>0</v>
      </c>
      <c r="AD18" s="471"/>
      <c r="AE18" s="471"/>
      <c r="AF18" s="506"/>
      <c r="AG18" s="509">
        <v>0</v>
      </c>
      <c r="AH18" s="481">
        <f t="shared" si="0"/>
        <v>9099.58</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2678.96</v>
      </c>
      <c r="M19" s="471">
        <v>674.6</v>
      </c>
      <c r="N19" s="471">
        <v>4847.01</v>
      </c>
      <c r="O19" s="471">
        <v>820.67</v>
      </c>
      <c r="P19" s="471">
        <v>15.95</v>
      </c>
      <c r="Q19" s="471">
        <v>0</v>
      </c>
      <c r="R19" s="471">
        <v>0</v>
      </c>
      <c r="S19" s="472">
        <v>0</v>
      </c>
      <c r="T19" s="472">
        <v>0</v>
      </c>
      <c r="U19" s="472">
        <v>71.83</v>
      </c>
      <c r="V19" s="471">
        <v>0</v>
      </c>
      <c r="W19" s="471">
        <v>0</v>
      </c>
      <c r="X19" s="472">
        <v>0</v>
      </c>
      <c r="Y19" s="472">
        <v>0</v>
      </c>
      <c r="Z19" s="471">
        <v>0</v>
      </c>
      <c r="AA19" s="471">
        <v>0</v>
      </c>
      <c r="AB19" s="471">
        <v>0</v>
      </c>
      <c r="AC19" s="471">
        <v>0</v>
      </c>
      <c r="AD19" s="471"/>
      <c r="AE19" s="471"/>
      <c r="AF19" s="506"/>
      <c r="AG19" s="509">
        <v>0</v>
      </c>
      <c r="AH19" s="481">
        <f t="shared" si="0"/>
        <v>9109.02</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1079.71</v>
      </c>
      <c r="N20" s="471">
        <v>34.270000000000003</v>
      </c>
      <c r="O20" s="471">
        <v>-507.47</v>
      </c>
      <c r="P20" s="471">
        <v>0</v>
      </c>
      <c r="Q20" s="471">
        <v>0</v>
      </c>
      <c r="R20" s="471">
        <v>6.94</v>
      </c>
      <c r="S20" s="472">
        <v>0</v>
      </c>
      <c r="T20" s="472">
        <v>0</v>
      </c>
      <c r="U20" s="472">
        <v>0</v>
      </c>
      <c r="V20" s="471">
        <v>0</v>
      </c>
      <c r="W20" s="471">
        <v>0</v>
      </c>
      <c r="X20" s="472">
        <v>0</v>
      </c>
      <c r="Y20" s="472">
        <v>0</v>
      </c>
      <c r="Z20" s="471">
        <v>0</v>
      </c>
      <c r="AA20" s="471">
        <v>0</v>
      </c>
      <c r="AB20" s="471">
        <v>0</v>
      </c>
      <c r="AC20" s="471">
        <v>0</v>
      </c>
      <c r="AD20" s="471"/>
      <c r="AE20" s="471"/>
      <c r="AF20" s="506"/>
      <c r="AG20" s="509">
        <v>0</v>
      </c>
      <c r="AH20" s="481">
        <f t="shared" si="0"/>
        <v>613.45000000000005</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5558.36</v>
      </c>
      <c r="O21" s="471">
        <v>106824.36</v>
      </c>
      <c r="P21" s="471">
        <v>19.88</v>
      </c>
      <c r="Q21" s="471">
        <v>49.21</v>
      </c>
      <c r="R21" s="471">
        <v>102.57</v>
      </c>
      <c r="S21" s="472">
        <v>0</v>
      </c>
      <c r="T21" s="472">
        <v>0</v>
      </c>
      <c r="U21" s="472">
        <v>0</v>
      </c>
      <c r="V21" s="471">
        <v>0</v>
      </c>
      <c r="W21" s="471">
        <v>0</v>
      </c>
      <c r="X21" s="472">
        <v>0</v>
      </c>
      <c r="Y21" s="472">
        <v>0</v>
      </c>
      <c r="Z21" s="471">
        <v>0</v>
      </c>
      <c r="AA21" s="471">
        <v>0</v>
      </c>
      <c r="AB21" s="471">
        <v>0</v>
      </c>
      <c r="AC21" s="471">
        <v>0</v>
      </c>
      <c r="AD21" s="471"/>
      <c r="AE21" s="471"/>
      <c r="AF21" s="506"/>
      <c r="AG21" s="509">
        <v>0</v>
      </c>
      <c r="AH21" s="481">
        <f t="shared" si="0"/>
        <v>112554.38000000002</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189119.06</v>
      </c>
      <c r="P22" s="471">
        <v>0</v>
      </c>
      <c r="Q22" s="471">
        <v>258.64</v>
      </c>
      <c r="R22" s="471">
        <v>285.29000000000002</v>
      </c>
      <c r="S22" s="472">
        <v>0</v>
      </c>
      <c r="T22" s="472">
        <v>0.37</v>
      </c>
      <c r="U22" s="472">
        <v>200.32</v>
      </c>
      <c r="V22" s="471">
        <v>0</v>
      </c>
      <c r="W22" s="471">
        <v>0</v>
      </c>
      <c r="X22" s="472">
        <v>0</v>
      </c>
      <c r="Y22" s="472">
        <v>0</v>
      </c>
      <c r="Z22" s="471">
        <v>0</v>
      </c>
      <c r="AA22" s="471">
        <v>0</v>
      </c>
      <c r="AB22" s="471">
        <v>0</v>
      </c>
      <c r="AC22" s="471">
        <v>0</v>
      </c>
      <c r="AD22" s="471"/>
      <c r="AE22" s="471"/>
      <c r="AF22" s="506"/>
      <c r="AG22" s="509">
        <v>0</v>
      </c>
      <c r="AH22" s="481">
        <f t="shared" si="0"/>
        <v>189863.68000000002</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8.08</v>
      </c>
      <c r="Q23" s="471">
        <v>74.91</v>
      </c>
      <c r="R23" s="471">
        <v>470.49</v>
      </c>
      <c r="S23" s="472">
        <v>0</v>
      </c>
      <c r="T23" s="472">
        <v>16.489999999999998</v>
      </c>
      <c r="U23" s="472">
        <v>0</v>
      </c>
      <c r="V23" s="471">
        <v>0</v>
      </c>
      <c r="W23" s="471">
        <v>0</v>
      </c>
      <c r="X23" s="472">
        <v>0</v>
      </c>
      <c r="Y23" s="472">
        <v>0</v>
      </c>
      <c r="Z23" s="471">
        <v>0</v>
      </c>
      <c r="AA23" s="471">
        <v>0</v>
      </c>
      <c r="AB23" s="471">
        <v>0</v>
      </c>
      <c r="AC23" s="471">
        <v>0</v>
      </c>
      <c r="AD23" s="471"/>
      <c r="AE23" s="471"/>
      <c r="AF23" s="506"/>
      <c r="AG23" s="509">
        <v>0</v>
      </c>
      <c r="AH23" s="481">
        <f t="shared" si="0"/>
        <v>569.97</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0</v>
      </c>
      <c r="R24" s="471">
        <v>194.03</v>
      </c>
      <c r="S24" s="472">
        <v>0</v>
      </c>
      <c r="T24" s="472">
        <v>954.49</v>
      </c>
      <c r="U24" s="472">
        <v>1472.26</v>
      </c>
      <c r="V24" s="471">
        <v>104.35</v>
      </c>
      <c r="W24" s="471">
        <v>0</v>
      </c>
      <c r="X24" s="472">
        <v>0</v>
      </c>
      <c r="Y24" s="472">
        <v>0</v>
      </c>
      <c r="Z24" s="471">
        <v>0</v>
      </c>
      <c r="AA24" s="471">
        <v>0</v>
      </c>
      <c r="AB24" s="471">
        <v>0</v>
      </c>
      <c r="AC24" s="471">
        <v>0</v>
      </c>
      <c r="AD24" s="471"/>
      <c r="AE24" s="471"/>
      <c r="AF24" s="506"/>
      <c r="AG24" s="509">
        <v>0</v>
      </c>
      <c r="AH24" s="481">
        <f t="shared" si="0"/>
        <v>2725.1299999999997</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0</v>
      </c>
      <c r="S25" s="472">
        <v>11.26</v>
      </c>
      <c r="T25" s="472">
        <v>0</v>
      </c>
      <c r="U25" s="472">
        <v>0</v>
      </c>
      <c r="V25" s="471">
        <v>204.51</v>
      </c>
      <c r="W25" s="471">
        <v>0</v>
      </c>
      <c r="X25" s="472">
        <v>0</v>
      </c>
      <c r="Y25" s="472">
        <v>0</v>
      </c>
      <c r="Z25" s="471">
        <v>0</v>
      </c>
      <c r="AA25" s="471">
        <v>0</v>
      </c>
      <c r="AB25" s="471">
        <v>0</v>
      </c>
      <c r="AC25" s="471">
        <v>0</v>
      </c>
      <c r="AD25" s="471"/>
      <c r="AE25" s="471"/>
      <c r="AF25" s="506"/>
      <c r="AG25" s="509">
        <v>0</v>
      </c>
      <c r="AH25" s="481">
        <f t="shared" si="0"/>
        <v>215.76999999999998</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30</v>
      </c>
      <c r="T26" s="472">
        <v>40.17</v>
      </c>
      <c r="U26" s="472">
        <v>25.23</v>
      </c>
      <c r="V26" s="471">
        <v>163.38999999999999</v>
      </c>
      <c r="W26" s="471">
        <v>-9.17</v>
      </c>
      <c r="X26" s="472">
        <v>0</v>
      </c>
      <c r="Y26" s="472">
        <v>0</v>
      </c>
      <c r="Z26" s="471">
        <v>0</v>
      </c>
      <c r="AA26" s="471">
        <v>0</v>
      </c>
      <c r="AB26" s="471">
        <v>0</v>
      </c>
      <c r="AC26" s="471">
        <v>0</v>
      </c>
      <c r="AD26" s="471"/>
      <c r="AE26" s="471"/>
      <c r="AF26" s="514"/>
      <c r="AG26" s="509">
        <v>0</v>
      </c>
      <c r="AH26" s="481">
        <f t="shared" si="0"/>
        <v>249.61999999999998</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48.5</v>
      </c>
      <c r="U27" s="472">
        <v>462.72</v>
      </c>
      <c r="V27" s="471">
        <v>8.0299999999999994</v>
      </c>
      <c r="W27" s="471">
        <v>8.0299999999999994</v>
      </c>
      <c r="X27" s="472">
        <v>0</v>
      </c>
      <c r="Y27" s="472">
        <v>0</v>
      </c>
      <c r="Z27" s="471">
        <v>0</v>
      </c>
      <c r="AA27" s="471">
        <v>0</v>
      </c>
      <c r="AB27" s="471">
        <v>0</v>
      </c>
      <c r="AC27" s="471">
        <v>0</v>
      </c>
      <c r="AD27" s="471"/>
      <c r="AE27" s="471"/>
      <c r="AF27" s="506"/>
      <c r="AG27" s="515">
        <v>0</v>
      </c>
      <c r="AH27" s="481">
        <f t="shared" si="0"/>
        <v>527.28</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49.75</v>
      </c>
      <c r="V28" s="471">
        <v>89.4</v>
      </c>
      <c r="W28" s="471">
        <v>0</v>
      </c>
      <c r="X28" s="472">
        <v>83.5</v>
      </c>
      <c r="Y28" s="472">
        <v>0</v>
      </c>
      <c r="Z28" s="471">
        <v>0</v>
      </c>
      <c r="AA28" s="471">
        <v>0</v>
      </c>
      <c r="AB28" s="471">
        <v>0</v>
      </c>
      <c r="AC28" s="471">
        <v>0</v>
      </c>
      <c r="AD28" s="471"/>
      <c r="AE28" s="471"/>
      <c r="AF28" s="506"/>
      <c r="AG28" s="510">
        <v>0</v>
      </c>
      <c r="AH28" s="481">
        <f t="shared" si="0"/>
        <v>222.65</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1.51</v>
      </c>
      <c r="W29" s="471">
        <v>5.9</v>
      </c>
      <c r="X29" s="472">
        <v>88.66</v>
      </c>
      <c r="Y29" s="472">
        <v>0</v>
      </c>
      <c r="Z29" s="471">
        <v>0</v>
      </c>
      <c r="AA29" s="471">
        <v>0</v>
      </c>
      <c r="AB29" s="471">
        <v>0</v>
      </c>
      <c r="AC29" s="471">
        <v>0</v>
      </c>
      <c r="AD29" s="471"/>
      <c r="AE29" s="471"/>
      <c r="AF29" s="506"/>
      <c r="AG29" s="509">
        <v>44.95</v>
      </c>
      <c r="AH29" s="481">
        <f t="shared" si="0"/>
        <v>141.01999999999998</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13.63</v>
      </c>
      <c r="X30" s="472">
        <v>368.82</v>
      </c>
      <c r="Y30" s="472">
        <v>487.15</v>
      </c>
      <c r="Z30" s="471">
        <v>409.02</v>
      </c>
      <c r="AA30" s="471">
        <v>54.69</v>
      </c>
      <c r="AB30" s="471">
        <v>35.97</v>
      </c>
      <c r="AC30" s="471">
        <v>18.28</v>
      </c>
      <c r="AD30" s="471"/>
      <c r="AE30" s="471"/>
      <c r="AF30" s="506"/>
      <c r="AG30" s="509">
        <v>89.960000000000008</v>
      </c>
      <c r="AH30" s="481">
        <f t="shared" si="0"/>
        <v>1477.52</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57.29</v>
      </c>
      <c r="Y31" s="472">
        <v>3722.76</v>
      </c>
      <c r="Z31" s="471">
        <v>10.49</v>
      </c>
      <c r="AA31" s="471">
        <v>130.77000000000001</v>
      </c>
      <c r="AB31" s="471">
        <v>0</v>
      </c>
      <c r="AC31" s="471">
        <v>0</v>
      </c>
      <c r="AD31" s="471"/>
      <c r="AE31" s="471"/>
      <c r="AF31" s="506"/>
      <c r="AG31" s="509">
        <v>0</v>
      </c>
      <c r="AH31" s="481">
        <f t="shared" si="0"/>
        <v>3921.31</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10.24</v>
      </c>
      <c r="Z32" s="471">
        <v>13.96</v>
      </c>
      <c r="AA32" s="471">
        <v>10.82</v>
      </c>
      <c r="AB32" s="471">
        <v>62.31</v>
      </c>
      <c r="AC32" s="471">
        <v>0</v>
      </c>
      <c r="AD32" s="471"/>
      <c r="AE32" s="471"/>
      <c r="AF32" s="506"/>
      <c r="AG32" s="509">
        <v>44.96</v>
      </c>
      <c r="AH32" s="481">
        <f t="shared" si="0"/>
        <v>142.29000000000002</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5.9</v>
      </c>
      <c r="AA33" s="471">
        <v>0</v>
      </c>
      <c r="AB33" s="471">
        <v>0</v>
      </c>
      <c r="AC33" s="471">
        <v>290.89</v>
      </c>
      <c r="AD33" s="471"/>
      <c r="AE33" s="471"/>
      <c r="AF33" s="506"/>
      <c r="AG33" s="509">
        <v>45.98</v>
      </c>
      <c r="AH33" s="481">
        <f t="shared" si="0"/>
        <v>342.77</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5.9</v>
      </c>
      <c r="AB34" s="471">
        <v>41.09</v>
      </c>
      <c r="AC34" s="471">
        <v>158.83000000000001</v>
      </c>
      <c r="AD34" s="471"/>
      <c r="AE34" s="471"/>
      <c r="AF34" s="506"/>
      <c r="AG34" s="509">
        <v>151.12</v>
      </c>
      <c r="AH34" s="481">
        <f t="shared" si="0"/>
        <v>356.94000000000005</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3.72</v>
      </c>
      <c r="AC35" s="471">
        <v>6.99</v>
      </c>
      <c r="AD35" s="471"/>
      <c r="AE35" s="471"/>
      <c r="AF35" s="506"/>
      <c r="AG35" s="509">
        <v>0</v>
      </c>
      <c r="AH35" s="481">
        <f t="shared" si="0"/>
        <v>10.71</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99.01</v>
      </c>
      <c r="AD36" s="471"/>
      <c r="AE36" s="471"/>
      <c r="AF36" s="506"/>
      <c r="AG36" s="509">
        <v>237.03</v>
      </c>
      <c r="AH36" s="481">
        <f t="shared" si="0"/>
        <v>336.04</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0</v>
      </c>
      <c r="E41" s="961">
        <f t="shared" ref="E41:AC41" si="2">SUM(E10:E40)</f>
        <v>0</v>
      </c>
      <c r="F41" s="961">
        <f t="shared" si="2"/>
        <v>0</v>
      </c>
      <c r="G41" s="961">
        <f t="shared" si="2"/>
        <v>3786.61</v>
      </c>
      <c r="H41" s="961">
        <f t="shared" si="2"/>
        <v>3752.3999999999996</v>
      </c>
      <c r="I41" s="961">
        <f t="shared" si="2"/>
        <v>7050.3600000000006</v>
      </c>
      <c r="J41" s="961">
        <f t="shared" si="2"/>
        <v>2469.8900000000003</v>
      </c>
      <c r="K41" s="961">
        <f t="shared" si="2"/>
        <v>2116.19</v>
      </c>
      <c r="L41" s="961">
        <f t="shared" si="2"/>
        <v>3872.3900000000003</v>
      </c>
      <c r="M41" s="961">
        <f t="shared" si="2"/>
        <v>3264.15</v>
      </c>
      <c r="N41" s="961">
        <f t="shared" si="2"/>
        <v>14441.420000000002</v>
      </c>
      <c r="O41" s="961">
        <f t="shared" si="2"/>
        <v>283195.12</v>
      </c>
      <c r="P41" s="961">
        <f t="shared" si="2"/>
        <v>43.91</v>
      </c>
      <c r="Q41" s="961">
        <f t="shared" si="2"/>
        <v>382.76</v>
      </c>
      <c r="R41" s="961">
        <f t="shared" si="2"/>
        <v>1273.58</v>
      </c>
      <c r="S41" s="961">
        <f t="shared" si="2"/>
        <v>41.26</v>
      </c>
      <c r="T41" s="961">
        <f t="shared" si="2"/>
        <v>1060.02</v>
      </c>
      <c r="U41" s="961">
        <f t="shared" si="2"/>
        <v>2282.1099999999997</v>
      </c>
      <c r="V41" s="961">
        <f t="shared" si="2"/>
        <v>571.18999999999994</v>
      </c>
      <c r="W41" s="961">
        <f t="shared" si="2"/>
        <v>18.39</v>
      </c>
      <c r="X41" s="961">
        <f t="shared" si="2"/>
        <v>598.27</v>
      </c>
      <c r="Y41" s="961">
        <f t="shared" si="2"/>
        <v>4220.1499999999996</v>
      </c>
      <c r="Z41" s="961">
        <f t="shared" si="2"/>
        <v>439.36999999999995</v>
      </c>
      <c r="AA41" s="961">
        <f t="shared" si="2"/>
        <v>202.18</v>
      </c>
      <c r="AB41" s="961">
        <f t="shared" si="2"/>
        <v>143.09</v>
      </c>
      <c r="AC41" s="961">
        <f t="shared" si="2"/>
        <v>574</v>
      </c>
      <c r="AD41" s="961">
        <f>SUM(AD10:AD40)</f>
        <v>0</v>
      </c>
      <c r="AE41" s="961">
        <f>SUM(AE10:AE40)</f>
        <v>0</v>
      </c>
      <c r="AF41" s="961">
        <f>SUM(AF10:AF40)</f>
        <v>0</v>
      </c>
      <c r="AG41" s="519">
        <f>SUM(AG10:AG40)</f>
        <v>614</v>
      </c>
      <c r="AH41" s="962">
        <f>SUM(AH10:AH40)</f>
        <v>336412.81000000011</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73"/>
      <c r="D43" s="471"/>
      <c r="E43" s="471"/>
      <c r="F43" s="471"/>
      <c r="G43" s="474"/>
      <c r="H43" s="471"/>
      <c r="I43" s="471"/>
      <c r="J43" s="471"/>
      <c r="K43" s="471"/>
      <c r="L43" s="471"/>
      <c r="M43" s="471"/>
      <c r="N43" s="471"/>
      <c r="O43" s="472"/>
      <c r="P43" s="471"/>
      <c r="Q43" s="472"/>
      <c r="R43" s="471"/>
      <c r="S43" s="472"/>
      <c r="T43" s="472"/>
      <c r="U43" s="472"/>
      <c r="V43" s="471"/>
      <c r="W43" s="472"/>
      <c r="X43" s="472"/>
      <c r="Y43" s="472"/>
      <c r="Z43" s="471"/>
      <c r="AA43" s="472"/>
      <c r="AB43" s="471"/>
      <c r="AC43" s="472"/>
      <c r="AD43" s="472"/>
      <c r="AE43" s="471"/>
      <c r="AF43" s="529"/>
      <c r="AG43" s="474"/>
      <c r="AH43" s="481"/>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39.6">
      <c r="A45" s="485">
        <v>36</v>
      </c>
      <c r="B45" s="488" t="s">
        <v>1504</v>
      </c>
      <c r="C45" s="475">
        <f>SUM(C41:C44)</f>
        <v>0</v>
      </c>
      <c r="D45" s="475">
        <f>SUM(D41:D44)</f>
        <v>0</v>
      </c>
      <c r="E45" s="476">
        <f t="shared" ref="E45:AB45" si="3">SUM(E41:E44)</f>
        <v>0</v>
      </c>
      <c r="F45" s="476">
        <f>SUM(F41:F44)</f>
        <v>0</v>
      </c>
      <c r="G45" s="476">
        <f t="shared" si="3"/>
        <v>3786.61</v>
      </c>
      <c r="H45" s="476">
        <f t="shared" si="3"/>
        <v>3752.3999999999996</v>
      </c>
      <c r="I45" s="476">
        <f t="shared" si="3"/>
        <v>7050.3600000000006</v>
      </c>
      <c r="J45" s="476">
        <f t="shared" si="3"/>
        <v>2469.8900000000003</v>
      </c>
      <c r="K45" s="476">
        <f t="shared" si="3"/>
        <v>2116.19</v>
      </c>
      <c r="L45" s="476">
        <f t="shared" si="3"/>
        <v>3872.3900000000003</v>
      </c>
      <c r="M45" s="476">
        <f t="shared" si="3"/>
        <v>3264.15</v>
      </c>
      <c r="N45" s="476">
        <f t="shared" si="3"/>
        <v>14441.420000000002</v>
      </c>
      <c r="O45" s="476">
        <f t="shared" si="3"/>
        <v>283195.12</v>
      </c>
      <c r="P45" s="476">
        <f t="shared" si="3"/>
        <v>43.91</v>
      </c>
      <c r="Q45" s="476">
        <f t="shared" si="3"/>
        <v>382.76</v>
      </c>
      <c r="R45" s="476">
        <f t="shared" si="3"/>
        <v>1273.58</v>
      </c>
      <c r="S45" s="476">
        <f t="shared" si="3"/>
        <v>41.26</v>
      </c>
      <c r="T45" s="476">
        <f t="shared" si="3"/>
        <v>1060.02</v>
      </c>
      <c r="U45" s="476">
        <f t="shared" si="3"/>
        <v>2282.1099999999997</v>
      </c>
      <c r="V45" s="476">
        <f t="shared" si="3"/>
        <v>571.18999999999994</v>
      </c>
      <c r="W45" s="476">
        <f t="shared" si="3"/>
        <v>18.39</v>
      </c>
      <c r="X45" s="476">
        <f t="shared" si="3"/>
        <v>598.27</v>
      </c>
      <c r="Y45" s="476">
        <f t="shared" si="3"/>
        <v>4220.1499999999996</v>
      </c>
      <c r="Z45" s="476">
        <f t="shared" si="3"/>
        <v>439.36999999999995</v>
      </c>
      <c r="AA45" s="476">
        <f t="shared" si="3"/>
        <v>202.18</v>
      </c>
      <c r="AB45" s="476">
        <f t="shared" si="3"/>
        <v>143.09</v>
      </c>
      <c r="AC45" s="476">
        <f t="shared" ref="AC45:AH45" si="4">SUM(AC41:AC44)</f>
        <v>574</v>
      </c>
      <c r="AD45" s="476">
        <f t="shared" si="4"/>
        <v>0</v>
      </c>
      <c r="AE45" s="476">
        <f t="shared" si="4"/>
        <v>0</v>
      </c>
      <c r="AF45" s="476">
        <f t="shared" si="4"/>
        <v>0</v>
      </c>
      <c r="AG45" s="478">
        <f t="shared" si="4"/>
        <v>614</v>
      </c>
      <c r="AH45" s="477">
        <f t="shared" si="4"/>
        <v>336412.81000000011</v>
      </c>
    </row>
    <row r="46" spans="1:79" s="459" customFormat="1" ht="53.25" customHeight="1">
      <c r="A46" s="485">
        <v>37</v>
      </c>
      <c r="B46" s="488" t="s">
        <v>1505</v>
      </c>
      <c r="C46" s="473"/>
      <c r="D46" s="471">
        <v>0</v>
      </c>
      <c r="E46" s="471">
        <v>0</v>
      </c>
      <c r="F46" s="471">
        <v>0</v>
      </c>
      <c r="G46" s="474">
        <v>128.54426712483294</v>
      </c>
      <c r="H46" s="471">
        <v>106.06188317376099</v>
      </c>
      <c r="I46" s="471">
        <v>56.463663378165151</v>
      </c>
      <c r="J46" s="471">
        <v>22.486507256453667</v>
      </c>
      <c r="K46" s="471">
        <v>26.955999122852322</v>
      </c>
      <c r="L46" s="471">
        <v>10.667496804053384</v>
      </c>
      <c r="M46" s="471">
        <v>187.91762013727566</v>
      </c>
      <c r="N46" s="471">
        <v>100.64532457624732</v>
      </c>
      <c r="O46" s="472">
        <v>45.929236447779928</v>
      </c>
      <c r="P46" s="471">
        <v>0.3702149483341266</v>
      </c>
      <c r="Q46" s="472">
        <v>8.5368750635463231E-2</v>
      </c>
      <c r="R46" s="471">
        <v>1.1938701620522501E-12</v>
      </c>
      <c r="S46" s="472">
        <v>-2.4708815788853514E-14</v>
      </c>
      <c r="T46" s="472">
        <v>1.5248771485680362E-13</v>
      </c>
      <c r="U46" s="472">
        <v>0</v>
      </c>
      <c r="V46" s="471">
        <v>8.7382663278292264E-14</v>
      </c>
      <c r="W46" s="472">
        <v>-2.7766904186284711E-15</v>
      </c>
      <c r="X46" s="472">
        <v>0</v>
      </c>
      <c r="Y46" s="472">
        <v>0</v>
      </c>
      <c r="Z46" s="471">
        <v>-4.8112470592915143E-13</v>
      </c>
      <c r="AA46" s="472">
        <v>3.2653126762405196E-14</v>
      </c>
      <c r="AB46" s="471">
        <v>0</v>
      </c>
      <c r="AC46" s="472">
        <v>2.0146778790277689E-13</v>
      </c>
      <c r="AD46" s="472">
        <v>3.2653126762405196E-14</v>
      </c>
      <c r="AE46" s="471">
        <v>0</v>
      </c>
      <c r="AF46" s="529">
        <v>2.0146778790277689E-13</v>
      </c>
      <c r="AG46" s="474">
        <v>7.4963044574334943E-13</v>
      </c>
      <c r="AH46" s="477">
        <f>SUM(C46:AG46)</f>
        <v>686.12758172039321</v>
      </c>
    </row>
    <row r="47" spans="1:79" s="459" customFormat="1" ht="40.35" customHeight="1" thickBot="1">
      <c r="A47" s="489">
        <v>38</v>
      </c>
      <c r="B47" s="490" t="s">
        <v>1506</v>
      </c>
      <c r="C47" s="479">
        <f>SUM(C45:C46)</f>
        <v>0</v>
      </c>
      <c r="D47" s="479">
        <f t="shared" ref="D47:AC47" si="5">SUM(D45:D46)</f>
        <v>0</v>
      </c>
      <c r="E47" s="479">
        <f t="shared" si="5"/>
        <v>0</v>
      </c>
      <c r="F47" s="479">
        <f t="shared" si="5"/>
        <v>0</v>
      </c>
      <c r="G47" s="479">
        <f t="shared" si="5"/>
        <v>3915.154267124833</v>
      </c>
      <c r="H47" s="479">
        <f t="shared" si="5"/>
        <v>3858.4618831737607</v>
      </c>
      <c r="I47" s="479">
        <f t="shared" si="5"/>
        <v>7106.8236633781653</v>
      </c>
      <c r="J47" s="479">
        <f t="shared" si="5"/>
        <v>2492.3765072564538</v>
      </c>
      <c r="K47" s="479">
        <f t="shared" si="5"/>
        <v>2143.1459991228526</v>
      </c>
      <c r="L47" s="479">
        <f t="shared" si="5"/>
        <v>3883.0574968040537</v>
      </c>
      <c r="M47" s="479">
        <f t="shared" si="5"/>
        <v>3452.0676201372758</v>
      </c>
      <c r="N47" s="479">
        <f t="shared" si="5"/>
        <v>14542.06532457625</v>
      </c>
      <c r="O47" s="479">
        <f t="shared" si="5"/>
        <v>283241.04923644778</v>
      </c>
      <c r="P47" s="479">
        <f t="shared" si="5"/>
        <v>44.28021494833412</v>
      </c>
      <c r="Q47" s="479">
        <f t="shared" si="5"/>
        <v>382.84536875063543</v>
      </c>
      <c r="R47" s="479">
        <f t="shared" si="5"/>
        <v>1273.5800000000011</v>
      </c>
      <c r="S47" s="479">
        <f t="shared" si="5"/>
        <v>41.259999999999977</v>
      </c>
      <c r="T47" s="479">
        <f t="shared" si="5"/>
        <v>1060.0200000000002</v>
      </c>
      <c r="U47" s="479">
        <f t="shared" si="5"/>
        <v>2282.1099999999997</v>
      </c>
      <c r="V47" s="479">
        <f t="shared" si="5"/>
        <v>571.19000000000005</v>
      </c>
      <c r="W47" s="479">
        <f t="shared" si="5"/>
        <v>18.389999999999997</v>
      </c>
      <c r="X47" s="479">
        <f t="shared" si="5"/>
        <v>598.27</v>
      </c>
      <c r="Y47" s="479">
        <f t="shared" si="5"/>
        <v>4220.1499999999996</v>
      </c>
      <c r="Z47" s="479">
        <f t="shared" si="5"/>
        <v>439.36999999999949</v>
      </c>
      <c r="AA47" s="479">
        <f t="shared" si="5"/>
        <v>202.18000000000004</v>
      </c>
      <c r="AB47" s="479">
        <f t="shared" si="5"/>
        <v>143.09</v>
      </c>
      <c r="AC47" s="479">
        <f t="shared" si="5"/>
        <v>574.00000000000023</v>
      </c>
      <c r="AD47" s="479">
        <f>SUM(AD45:AD46)</f>
        <v>3.2653126762405196E-14</v>
      </c>
      <c r="AE47" s="479">
        <f>SUM(AE45:AE46)</f>
        <v>0</v>
      </c>
      <c r="AF47" s="479">
        <f>SUM(AF45:AF46)</f>
        <v>2.0146778790277689E-13</v>
      </c>
      <c r="AG47" s="507">
        <f>SUM(AG45:AG46)</f>
        <v>614.0000000000008</v>
      </c>
      <c r="AH47" s="480">
        <f>SUM(AH45:AH46)</f>
        <v>337098.93758172053</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DJ61"/>
  <sheetViews>
    <sheetView zoomScale="60" zoomScaleNormal="60" workbookViewId="0">
      <selection activeCell="V37" sqref="V37"/>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42578125" style="458" bestFit="1" customWidth="1"/>
    <col min="34" max="34" width="16.5703125" style="458" customWidth="1"/>
    <col min="35" max="16384" width="8" style="458"/>
  </cols>
  <sheetData>
    <row r="1" spans="1:114" ht="15.6">
      <c r="A1" s="427" t="s">
        <v>1510</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0</v>
      </c>
      <c r="E10" s="959">
        <v>0</v>
      </c>
      <c r="F10" s="959">
        <v>0</v>
      </c>
      <c r="G10" s="959">
        <v>254944.5</v>
      </c>
      <c r="H10" s="959">
        <v>224020.44</v>
      </c>
      <c r="I10" s="959">
        <v>106286.8</v>
      </c>
      <c r="J10" s="959">
        <v>108083.09</v>
      </c>
      <c r="K10" s="959">
        <v>171856.21</v>
      </c>
      <c r="L10" s="959">
        <v>108446.58</v>
      </c>
      <c r="M10" s="959">
        <v>92837.210000000094</v>
      </c>
      <c r="N10" s="959">
        <v>51445.39</v>
      </c>
      <c r="O10" s="959">
        <v>32216.69</v>
      </c>
      <c r="P10" s="959">
        <v>5835.94</v>
      </c>
      <c r="Q10" s="959">
        <v>874.19999999999902</v>
      </c>
      <c r="R10" s="959">
        <v>1593.96</v>
      </c>
      <c r="S10" s="959">
        <v>-16378.04</v>
      </c>
      <c r="T10" s="959">
        <v>1635.78</v>
      </c>
      <c r="U10" s="959">
        <v>0</v>
      </c>
      <c r="V10" s="959">
        <v>11955.4</v>
      </c>
      <c r="W10" s="959">
        <v>7026.15</v>
      </c>
      <c r="X10" s="959">
        <v>6913.91</v>
      </c>
      <c r="Y10" s="959">
        <v>6799.5</v>
      </c>
      <c r="Z10" s="959">
        <v>7026.15</v>
      </c>
      <c r="AA10" s="959">
        <v>0</v>
      </c>
      <c r="AB10" s="959">
        <v>-160</v>
      </c>
      <c r="AC10" s="959">
        <v>-160</v>
      </c>
      <c r="AD10" s="959"/>
      <c r="AE10" s="959"/>
      <c r="AF10" s="513"/>
      <c r="AG10" s="512">
        <v>0</v>
      </c>
      <c r="AH10" s="481">
        <f t="shared" ref="AH10:AH38" si="0">SUM(C10:AG10)</f>
        <v>1183099.8599999994</v>
      </c>
    </row>
    <row r="11" spans="1:114" s="460" customFormat="1">
      <c r="A11" s="482">
        <v>2</v>
      </c>
      <c r="B11" s="483">
        <f>'Schedule 2_Balance Sheet'!C4</f>
        <v>45657</v>
      </c>
      <c r="C11" s="498"/>
      <c r="D11" s="524">
        <v>0</v>
      </c>
      <c r="E11" s="524">
        <v>0</v>
      </c>
      <c r="F11" s="524">
        <v>0</v>
      </c>
      <c r="G11" s="524">
        <v>1884044.17</v>
      </c>
      <c r="H11" s="524">
        <v>184655.94</v>
      </c>
      <c r="I11" s="524">
        <v>104468.08000000002</v>
      </c>
      <c r="J11" s="524">
        <v>110866.89</v>
      </c>
      <c r="K11" s="524">
        <v>148113.04999999999</v>
      </c>
      <c r="L11" s="524">
        <v>91194.2</v>
      </c>
      <c r="M11" s="524">
        <v>133520.84</v>
      </c>
      <c r="N11" s="524">
        <v>57970.3</v>
      </c>
      <c r="O11" s="524">
        <v>35.270000000000898</v>
      </c>
      <c r="P11" s="524">
        <v>5721.35</v>
      </c>
      <c r="Q11" s="524">
        <v>-926.79</v>
      </c>
      <c r="R11" s="524">
        <v>43681.01</v>
      </c>
      <c r="S11" s="524">
        <v>7837.92</v>
      </c>
      <c r="T11" s="524">
        <v>5305.08</v>
      </c>
      <c r="U11" s="524">
        <v>11781.13</v>
      </c>
      <c r="V11" s="524">
        <v>6247.6</v>
      </c>
      <c r="W11" s="524">
        <v>6056.61</v>
      </c>
      <c r="X11" s="524">
        <v>9683.73</v>
      </c>
      <c r="Y11" s="524">
        <v>0</v>
      </c>
      <c r="Z11" s="524">
        <v>1240.05</v>
      </c>
      <c r="AA11" s="524">
        <v>0</v>
      </c>
      <c r="AB11" s="524">
        <v>0</v>
      </c>
      <c r="AC11" s="524">
        <v>4986.3</v>
      </c>
      <c r="AD11" s="524"/>
      <c r="AE11" s="524"/>
      <c r="AF11" s="514"/>
      <c r="AG11" s="510">
        <v>0</v>
      </c>
      <c r="AH11" s="481">
        <f t="shared" si="0"/>
        <v>2816482.7299999991</v>
      </c>
    </row>
    <row r="12" spans="1:114" s="459" customFormat="1" ht="15" customHeight="1">
      <c r="A12" s="482">
        <v>3</v>
      </c>
      <c r="B12" s="483">
        <f>EOMONTH(B11,-1)</f>
        <v>45626</v>
      </c>
      <c r="C12" s="498"/>
      <c r="D12" s="498">
        <v>0</v>
      </c>
      <c r="E12" s="471">
        <v>0</v>
      </c>
      <c r="F12" s="471">
        <v>0</v>
      </c>
      <c r="G12" s="471">
        <v>4330635.5899999598</v>
      </c>
      <c r="H12" s="471">
        <v>1831180.97</v>
      </c>
      <c r="I12" s="471">
        <v>77382.479999999894</v>
      </c>
      <c r="J12" s="471">
        <v>92689.149999999907</v>
      </c>
      <c r="K12" s="471">
        <v>89384.97</v>
      </c>
      <c r="L12" s="471">
        <v>78703.08</v>
      </c>
      <c r="M12" s="471">
        <v>45647.199999999997</v>
      </c>
      <c r="N12" s="471">
        <v>49408.29</v>
      </c>
      <c r="O12" s="471">
        <v>20143.29</v>
      </c>
      <c r="P12" s="471">
        <v>25490.94</v>
      </c>
      <c r="Q12" s="471">
        <v>37611.43</v>
      </c>
      <c r="R12" s="471">
        <v>22714.400000000001</v>
      </c>
      <c r="S12" s="471">
        <v>66021.78</v>
      </c>
      <c r="T12" s="471">
        <v>18871.46</v>
      </c>
      <c r="U12" s="471">
        <v>17650.150000000001</v>
      </c>
      <c r="V12" s="471">
        <v>6250.81</v>
      </c>
      <c r="W12" s="471">
        <v>-1.13686837721616E-13</v>
      </c>
      <c r="X12" s="471">
        <v>8345.8799999999992</v>
      </c>
      <c r="Y12" s="471">
        <v>6177.95</v>
      </c>
      <c r="Z12" s="471">
        <v>-614.44000000000096</v>
      </c>
      <c r="AA12" s="471">
        <v>-212.31</v>
      </c>
      <c r="AB12" s="471">
        <v>2165.19</v>
      </c>
      <c r="AC12" s="471">
        <v>-1481.48</v>
      </c>
      <c r="AD12" s="471"/>
      <c r="AE12" s="471"/>
      <c r="AF12" s="506"/>
      <c r="AG12" s="510">
        <v>1073.3500000000008</v>
      </c>
      <c r="AH12" s="481">
        <f t="shared" si="0"/>
        <v>6825240.1299999589</v>
      </c>
    </row>
    <row r="13" spans="1:114" s="459" customFormat="1" ht="15" customHeight="1">
      <c r="A13" s="482">
        <v>4</v>
      </c>
      <c r="B13" s="483">
        <f t="shared" ref="B13:B39" si="1">EOMONTH(B12,-1)</f>
        <v>45596</v>
      </c>
      <c r="C13" s="498"/>
      <c r="D13" s="496">
        <v>0</v>
      </c>
      <c r="E13" s="498">
        <v>0</v>
      </c>
      <c r="F13" s="471">
        <v>0</v>
      </c>
      <c r="G13" s="471">
        <v>14739566.6300009</v>
      </c>
      <c r="H13" s="471">
        <v>4586705.8199999798</v>
      </c>
      <c r="I13" s="471">
        <v>664560.63</v>
      </c>
      <c r="J13" s="471">
        <v>113953.35</v>
      </c>
      <c r="K13" s="471">
        <v>118613.82</v>
      </c>
      <c r="L13" s="471">
        <v>79632.830000000016</v>
      </c>
      <c r="M13" s="471">
        <v>92673.31</v>
      </c>
      <c r="N13" s="471">
        <v>116220.71</v>
      </c>
      <c r="O13" s="471">
        <v>96780.46</v>
      </c>
      <c r="P13" s="471">
        <v>12807.23</v>
      </c>
      <c r="Q13" s="471">
        <v>8463.26</v>
      </c>
      <c r="R13" s="471">
        <v>23756.23</v>
      </c>
      <c r="S13" s="472">
        <v>-10210</v>
      </c>
      <c r="T13" s="472">
        <v>-1278.3399999999999</v>
      </c>
      <c r="U13" s="472">
        <v>19564.86</v>
      </c>
      <c r="V13" s="471">
        <v>799.4</v>
      </c>
      <c r="W13" s="471">
        <v>9548.52</v>
      </c>
      <c r="X13" s="472">
        <v>325.76</v>
      </c>
      <c r="Y13" s="472">
        <v>0</v>
      </c>
      <c r="Z13" s="471">
        <v>-41.05</v>
      </c>
      <c r="AA13" s="471">
        <v>-25</v>
      </c>
      <c r="AB13" s="471">
        <v>-25</v>
      </c>
      <c r="AC13" s="471">
        <v>-25</v>
      </c>
      <c r="AD13" s="471"/>
      <c r="AE13" s="471"/>
      <c r="AF13" s="506"/>
      <c r="AG13" s="508">
        <v>2394.8799999999997</v>
      </c>
      <c r="AH13" s="481">
        <f t="shared" si="0"/>
        <v>20674763.310000882</v>
      </c>
    </row>
    <row r="14" spans="1:114" s="459" customFormat="1" ht="15" customHeight="1">
      <c r="A14" s="482">
        <v>5</v>
      </c>
      <c r="B14" s="483">
        <f t="shared" si="1"/>
        <v>45565</v>
      </c>
      <c r="C14" s="498"/>
      <c r="D14" s="496">
        <v>0</v>
      </c>
      <c r="E14" s="496">
        <v>0</v>
      </c>
      <c r="F14" s="498">
        <v>0</v>
      </c>
      <c r="G14" s="471">
        <v>7429968.1000001999</v>
      </c>
      <c r="H14" s="471">
        <v>12373492.330000801</v>
      </c>
      <c r="I14" s="471">
        <v>6675901.4499999704</v>
      </c>
      <c r="J14" s="471">
        <v>540200.46</v>
      </c>
      <c r="K14" s="471">
        <v>182731.8</v>
      </c>
      <c r="L14" s="471">
        <v>173992.2</v>
      </c>
      <c r="M14" s="471">
        <v>108496.69</v>
      </c>
      <c r="N14" s="471">
        <v>75783.960000000094</v>
      </c>
      <c r="O14" s="471">
        <v>49956.45</v>
      </c>
      <c r="P14" s="471">
        <v>680.74999999998795</v>
      </c>
      <c r="Q14" s="471">
        <v>26059.24</v>
      </c>
      <c r="R14" s="471">
        <v>39782.54</v>
      </c>
      <c r="S14" s="472">
        <v>10290.780000000001</v>
      </c>
      <c r="T14" s="472">
        <v>18384.169999999998</v>
      </c>
      <c r="U14" s="472">
        <v>-2327.9499999999998</v>
      </c>
      <c r="V14" s="471">
        <v>-922.62000000000103</v>
      </c>
      <c r="W14" s="471">
        <v>16814.36</v>
      </c>
      <c r="X14" s="472">
        <v>-1787.77</v>
      </c>
      <c r="Y14" s="472">
        <v>-1735.8</v>
      </c>
      <c r="Z14" s="471">
        <v>-2010.58</v>
      </c>
      <c r="AA14" s="471">
        <v>805.46</v>
      </c>
      <c r="AB14" s="471">
        <v>-1826.14</v>
      </c>
      <c r="AC14" s="471">
        <v>-1594</v>
      </c>
      <c r="AD14" s="471"/>
      <c r="AE14" s="471"/>
      <c r="AF14" s="506"/>
      <c r="AG14" s="509">
        <v>0</v>
      </c>
      <c r="AH14" s="481">
        <f t="shared" si="0"/>
        <v>27711135.880000975</v>
      </c>
    </row>
    <row r="15" spans="1:114" s="459" customFormat="1" ht="15" customHeight="1">
      <c r="A15" s="482">
        <v>6</v>
      </c>
      <c r="B15" s="483">
        <f t="shared" si="1"/>
        <v>45535</v>
      </c>
      <c r="C15" s="498"/>
      <c r="D15" s="496">
        <v>0</v>
      </c>
      <c r="E15" s="496">
        <v>0</v>
      </c>
      <c r="F15" s="496">
        <v>0</v>
      </c>
      <c r="G15" s="498">
        <v>0</v>
      </c>
      <c r="H15" s="471">
        <v>8692291.8900002502</v>
      </c>
      <c r="I15" s="471">
        <v>14887986.400001399</v>
      </c>
      <c r="J15" s="471">
        <v>7001655.0299999798</v>
      </c>
      <c r="K15" s="471">
        <v>1038615.84</v>
      </c>
      <c r="L15" s="471">
        <v>239218.5</v>
      </c>
      <c r="M15" s="471">
        <v>114234.65</v>
      </c>
      <c r="N15" s="471">
        <v>107635.99</v>
      </c>
      <c r="O15" s="471">
        <v>214810.95</v>
      </c>
      <c r="P15" s="471">
        <v>72137.879999999903</v>
      </c>
      <c r="Q15" s="471">
        <v>88639.000000000102</v>
      </c>
      <c r="R15" s="471">
        <v>29408.22</v>
      </c>
      <c r="S15" s="472">
        <v>24049.5</v>
      </c>
      <c r="T15" s="472">
        <v>30412.93</v>
      </c>
      <c r="U15" s="472">
        <v>14588.78</v>
      </c>
      <c r="V15" s="471">
        <v>6563.4</v>
      </c>
      <c r="W15" s="471">
        <v>2765.23</v>
      </c>
      <c r="X15" s="472">
        <v>2545.75</v>
      </c>
      <c r="Y15" s="472">
        <v>1058.79</v>
      </c>
      <c r="Z15" s="471">
        <v>1882.01</v>
      </c>
      <c r="AA15" s="471">
        <v>-5914.59</v>
      </c>
      <c r="AB15" s="471">
        <v>9138.41</v>
      </c>
      <c r="AC15" s="471">
        <v>796.41</v>
      </c>
      <c r="AD15" s="471"/>
      <c r="AE15" s="471"/>
      <c r="AF15" s="506"/>
      <c r="AG15" s="509">
        <v>50015.51</v>
      </c>
      <c r="AH15" s="481">
        <f t="shared" si="0"/>
        <v>32624536.480001625</v>
      </c>
    </row>
    <row r="16" spans="1:114" s="459" customFormat="1" ht="15" customHeight="1">
      <c r="A16" s="482">
        <v>7</v>
      </c>
      <c r="B16" s="483">
        <f t="shared" si="1"/>
        <v>45504</v>
      </c>
      <c r="C16" s="498"/>
      <c r="D16" s="496">
        <v>0</v>
      </c>
      <c r="E16" s="496">
        <v>0</v>
      </c>
      <c r="F16" s="499">
        <v>0</v>
      </c>
      <c r="G16" s="496">
        <v>0</v>
      </c>
      <c r="H16" s="498">
        <v>0</v>
      </c>
      <c r="I16" s="471">
        <v>6990581.640000131</v>
      </c>
      <c r="J16" s="471">
        <v>11487141.6900011</v>
      </c>
      <c r="K16" s="471">
        <v>6062377.0400000103</v>
      </c>
      <c r="L16" s="471">
        <v>1632542.71</v>
      </c>
      <c r="M16" s="471">
        <v>658387.56000000099</v>
      </c>
      <c r="N16" s="471">
        <v>571825.66000000096</v>
      </c>
      <c r="O16" s="471">
        <v>439315.14000000199</v>
      </c>
      <c r="P16" s="471">
        <v>5030.1399999999803</v>
      </c>
      <c r="Q16" s="471">
        <v>-7718.89</v>
      </c>
      <c r="R16" s="471">
        <v>50206.86</v>
      </c>
      <c r="S16" s="472">
        <v>1078.53</v>
      </c>
      <c r="T16" s="472">
        <v>1427.54</v>
      </c>
      <c r="U16" s="472">
        <v>2082.96</v>
      </c>
      <c r="V16" s="471">
        <v>587.479999999999</v>
      </c>
      <c r="W16" s="471">
        <v>-4724.3599999999997</v>
      </c>
      <c r="X16" s="472">
        <v>-1852.74</v>
      </c>
      <c r="Y16" s="472">
        <v>-1234.8</v>
      </c>
      <c r="Z16" s="471">
        <v>-1180.97</v>
      </c>
      <c r="AA16" s="471">
        <v>-1587.3</v>
      </c>
      <c r="AB16" s="471">
        <v>-2472.13</v>
      </c>
      <c r="AC16" s="471">
        <v>7840.93</v>
      </c>
      <c r="AD16" s="471"/>
      <c r="AE16" s="471"/>
      <c r="AF16" s="506"/>
      <c r="AG16" s="509">
        <v>-4660.0300000000007</v>
      </c>
      <c r="AH16" s="481">
        <f t="shared" si="0"/>
        <v>27884994.660001248</v>
      </c>
    </row>
    <row r="17" spans="1:34" s="459" customFormat="1" ht="15" customHeight="1">
      <c r="A17" s="482">
        <v>8</v>
      </c>
      <c r="B17" s="483">
        <f t="shared" si="1"/>
        <v>45473</v>
      </c>
      <c r="C17" s="498"/>
      <c r="D17" s="496">
        <v>0</v>
      </c>
      <c r="E17" s="496">
        <v>0</v>
      </c>
      <c r="F17" s="496">
        <v>0</v>
      </c>
      <c r="G17" s="496">
        <v>0</v>
      </c>
      <c r="H17" s="496">
        <v>0</v>
      </c>
      <c r="I17" s="498">
        <v>0</v>
      </c>
      <c r="J17" s="471">
        <v>7780552.2800002201</v>
      </c>
      <c r="K17" s="471">
        <v>11087900.850000899</v>
      </c>
      <c r="L17" s="471">
        <v>5420210.4099999797</v>
      </c>
      <c r="M17" s="471">
        <v>535522.84</v>
      </c>
      <c r="N17" s="471">
        <v>107527.59</v>
      </c>
      <c r="O17" s="471">
        <v>24430</v>
      </c>
      <c r="P17" s="471">
        <v>41486.46</v>
      </c>
      <c r="Q17" s="471">
        <v>33020.699999999997</v>
      </c>
      <c r="R17" s="471">
        <v>36665.730000000003</v>
      </c>
      <c r="S17" s="472">
        <v>18304.28</v>
      </c>
      <c r="T17" s="472">
        <v>5849.89</v>
      </c>
      <c r="U17" s="472">
        <v>-1181.1299999999992</v>
      </c>
      <c r="V17" s="471">
        <v>26964.41</v>
      </c>
      <c r="W17" s="471">
        <v>15768.11</v>
      </c>
      <c r="X17" s="472">
        <v>3788.61</v>
      </c>
      <c r="Y17" s="472">
        <v>-7641.96</v>
      </c>
      <c r="Z17" s="471">
        <v>0</v>
      </c>
      <c r="AA17" s="471">
        <v>20.2</v>
      </c>
      <c r="AB17" s="471">
        <v>2693.04</v>
      </c>
      <c r="AC17" s="471">
        <v>10601.74</v>
      </c>
      <c r="AD17" s="471"/>
      <c r="AE17" s="471"/>
      <c r="AF17" s="506"/>
      <c r="AG17" s="509">
        <v>-8073.050000000002</v>
      </c>
      <c r="AH17" s="481">
        <f t="shared" si="0"/>
        <v>25134411.000001099</v>
      </c>
    </row>
    <row r="18" spans="1:34" s="459" customFormat="1" ht="15" customHeight="1">
      <c r="A18" s="482">
        <v>9</v>
      </c>
      <c r="B18" s="483">
        <f t="shared" si="1"/>
        <v>45443</v>
      </c>
      <c r="C18" s="498"/>
      <c r="D18" s="496">
        <v>0</v>
      </c>
      <c r="E18" s="496">
        <v>0</v>
      </c>
      <c r="F18" s="496">
        <v>0</v>
      </c>
      <c r="G18" s="496">
        <v>0</v>
      </c>
      <c r="H18" s="496">
        <v>0</v>
      </c>
      <c r="I18" s="496">
        <v>0</v>
      </c>
      <c r="J18" s="498">
        <v>0</v>
      </c>
      <c r="K18" s="471">
        <v>8690629.2900003102</v>
      </c>
      <c r="L18" s="471">
        <v>14129136.2700013</v>
      </c>
      <c r="M18" s="471">
        <v>6677567.52999995</v>
      </c>
      <c r="N18" s="471">
        <v>2150954.02</v>
      </c>
      <c r="O18" s="471">
        <v>405098.13</v>
      </c>
      <c r="P18" s="471">
        <v>111065.23</v>
      </c>
      <c r="Q18" s="471">
        <v>33433.589999999997</v>
      </c>
      <c r="R18" s="471">
        <v>4578.6699999999901</v>
      </c>
      <c r="S18" s="472">
        <v>43594.41</v>
      </c>
      <c r="T18" s="472">
        <v>9730.66</v>
      </c>
      <c r="U18" s="472">
        <v>45368.47</v>
      </c>
      <c r="V18" s="471">
        <v>22843.360000000001</v>
      </c>
      <c r="W18" s="471">
        <v>13801.27</v>
      </c>
      <c r="X18" s="472">
        <v>22177.05</v>
      </c>
      <c r="Y18" s="472">
        <v>20059.78</v>
      </c>
      <c r="Z18" s="471">
        <v>12042.05</v>
      </c>
      <c r="AA18" s="471">
        <v>12579.3</v>
      </c>
      <c r="AB18" s="471">
        <v>7535.75</v>
      </c>
      <c r="AC18" s="471">
        <v>19135.1099999988</v>
      </c>
      <c r="AD18" s="471"/>
      <c r="AE18" s="471"/>
      <c r="AF18" s="506"/>
      <c r="AG18" s="509">
        <v>-48279.869999999995</v>
      </c>
      <c r="AH18" s="481">
        <f t="shared" si="0"/>
        <v>32383050.070001561</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5696063.6999999397</v>
      </c>
      <c r="M19" s="471">
        <v>9996813.7400006093</v>
      </c>
      <c r="N19" s="471">
        <v>5074921</v>
      </c>
      <c r="O19" s="471">
        <v>2079424.49</v>
      </c>
      <c r="P19" s="471">
        <v>71818.860000000102</v>
      </c>
      <c r="Q19" s="471">
        <v>48791.6</v>
      </c>
      <c r="R19" s="471">
        <v>30418.7</v>
      </c>
      <c r="S19" s="472">
        <v>27407.93</v>
      </c>
      <c r="T19" s="472">
        <v>24439.38</v>
      </c>
      <c r="U19" s="472">
        <v>38911.5</v>
      </c>
      <c r="V19" s="471">
        <v>39804.51</v>
      </c>
      <c r="W19" s="471">
        <v>17502.060000000001</v>
      </c>
      <c r="X19" s="472">
        <v>14791.84</v>
      </c>
      <c r="Y19" s="472">
        <v>24554.1</v>
      </c>
      <c r="Z19" s="471">
        <v>27078</v>
      </c>
      <c r="AA19" s="471">
        <v>25501.75</v>
      </c>
      <c r="AB19" s="471">
        <v>14948.59</v>
      </c>
      <c r="AC19" s="471">
        <v>8830.2999999999993</v>
      </c>
      <c r="AD19" s="471"/>
      <c r="AE19" s="471"/>
      <c r="AF19" s="506"/>
      <c r="AG19" s="509">
        <v>-27342.35</v>
      </c>
      <c r="AH19" s="481">
        <f t="shared" si="0"/>
        <v>23234679.700000547</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7066266.0799998501</v>
      </c>
      <c r="N20" s="471">
        <v>11195991.800000301</v>
      </c>
      <c r="O20" s="471">
        <v>4857908.1999999797</v>
      </c>
      <c r="P20" s="471">
        <v>222401.24000000101</v>
      </c>
      <c r="Q20" s="471">
        <v>117705.75</v>
      </c>
      <c r="R20" s="471">
        <v>109233.06</v>
      </c>
      <c r="S20" s="472">
        <v>62618.03</v>
      </c>
      <c r="T20" s="472">
        <v>41040.85</v>
      </c>
      <c r="U20" s="472">
        <v>49302.86</v>
      </c>
      <c r="V20" s="471">
        <v>58837.64</v>
      </c>
      <c r="W20" s="471">
        <v>45089.440000000002</v>
      </c>
      <c r="X20" s="472">
        <v>31487.41</v>
      </c>
      <c r="Y20" s="472">
        <v>37436.42</v>
      </c>
      <c r="Z20" s="471">
        <v>20945.099999999999</v>
      </c>
      <c r="AA20" s="471">
        <v>25819.97</v>
      </c>
      <c r="AB20" s="471">
        <v>50503.89</v>
      </c>
      <c r="AC20" s="471">
        <v>29279.05</v>
      </c>
      <c r="AD20" s="471"/>
      <c r="AE20" s="471"/>
      <c r="AF20" s="506"/>
      <c r="AG20" s="509">
        <v>107521.98000000001</v>
      </c>
      <c r="AH20" s="481">
        <f t="shared" si="0"/>
        <v>24129388.770000141</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7672561.2199997501</v>
      </c>
      <c r="O21" s="471">
        <v>12607421.470000802</v>
      </c>
      <c r="P21" s="471">
        <v>5708036.7799999798</v>
      </c>
      <c r="Q21" s="471">
        <v>521896.79000000103</v>
      </c>
      <c r="R21" s="471">
        <v>324279.37</v>
      </c>
      <c r="S21" s="472">
        <v>278938.08</v>
      </c>
      <c r="T21" s="472">
        <v>71956.899999999994</v>
      </c>
      <c r="U21" s="472">
        <v>120679.59</v>
      </c>
      <c r="V21" s="471">
        <v>85806.16</v>
      </c>
      <c r="W21" s="471">
        <v>74870.69</v>
      </c>
      <c r="X21" s="472">
        <v>33847.15</v>
      </c>
      <c r="Y21" s="472">
        <v>28491.7</v>
      </c>
      <c r="Z21" s="471">
        <v>32940.080000000002</v>
      </c>
      <c r="AA21" s="471">
        <v>9891.16</v>
      </c>
      <c r="AB21" s="471">
        <v>7981.9</v>
      </c>
      <c r="AC21" s="471">
        <v>1913.54</v>
      </c>
      <c r="AD21" s="471"/>
      <c r="AE21" s="471"/>
      <c r="AF21" s="506"/>
      <c r="AG21" s="509">
        <v>58096.989999998797</v>
      </c>
      <c r="AH21" s="481">
        <f t="shared" si="0"/>
        <v>27639609.570000526</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5189564.7399999201</v>
      </c>
      <c r="P22" s="471">
        <v>12660586.380000601</v>
      </c>
      <c r="Q22" s="471">
        <v>4569880.1900000498</v>
      </c>
      <c r="R22" s="471">
        <v>430556.86000000098</v>
      </c>
      <c r="S22" s="472">
        <v>79436.440000000293</v>
      </c>
      <c r="T22" s="472">
        <v>80454.92</v>
      </c>
      <c r="U22" s="472">
        <v>68658.210000000006</v>
      </c>
      <c r="V22" s="471">
        <v>93497.279999999999</v>
      </c>
      <c r="W22" s="471">
        <v>113056.11</v>
      </c>
      <c r="X22" s="472">
        <v>63990.639999999898</v>
      </c>
      <c r="Y22" s="472">
        <v>71145.75</v>
      </c>
      <c r="Z22" s="471">
        <v>49755.15</v>
      </c>
      <c r="AA22" s="471">
        <v>23591.55</v>
      </c>
      <c r="AB22" s="471">
        <v>16652.64</v>
      </c>
      <c r="AC22" s="471">
        <v>19176</v>
      </c>
      <c r="AD22" s="471"/>
      <c r="AE22" s="471"/>
      <c r="AF22" s="506"/>
      <c r="AG22" s="509">
        <v>47281.11</v>
      </c>
      <c r="AH22" s="481">
        <f t="shared" si="0"/>
        <v>23577283.970000573</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7588141.4199999403</v>
      </c>
      <c r="Q23" s="471">
        <v>14931890.180000704</v>
      </c>
      <c r="R23" s="471">
        <v>5901921.8799999803</v>
      </c>
      <c r="S23" s="472">
        <v>396816.40000000101</v>
      </c>
      <c r="T23" s="472">
        <v>102065.94000000029</v>
      </c>
      <c r="U23" s="472">
        <v>148432.29999999999</v>
      </c>
      <c r="V23" s="471">
        <v>72085.850000000006</v>
      </c>
      <c r="W23" s="471">
        <v>55209.99</v>
      </c>
      <c r="X23" s="472">
        <v>68291.839999999997</v>
      </c>
      <c r="Y23" s="472">
        <v>63512.49</v>
      </c>
      <c r="Z23" s="471">
        <v>51464.43</v>
      </c>
      <c r="AA23" s="471">
        <v>36314.089999999997</v>
      </c>
      <c r="AB23" s="471">
        <v>30325.07</v>
      </c>
      <c r="AC23" s="471">
        <v>24774.92</v>
      </c>
      <c r="AD23" s="471"/>
      <c r="AE23" s="471"/>
      <c r="AF23" s="506"/>
      <c r="AG23" s="509">
        <v>95883.32</v>
      </c>
      <c r="AH23" s="481">
        <f t="shared" si="0"/>
        <v>29567130.120000627</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3966083.6100000003</v>
      </c>
      <c r="R24" s="471">
        <v>13171599.6900008</v>
      </c>
      <c r="S24" s="472">
        <v>6375983.0700000003</v>
      </c>
      <c r="T24" s="472">
        <v>1108358.1100000001</v>
      </c>
      <c r="U24" s="472">
        <v>206338.81</v>
      </c>
      <c r="V24" s="471">
        <v>188095.9</v>
      </c>
      <c r="W24" s="471">
        <v>127783.96</v>
      </c>
      <c r="X24" s="472">
        <v>245529.3</v>
      </c>
      <c r="Y24" s="472">
        <v>56713.88</v>
      </c>
      <c r="Z24" s="471">
        <v>143994.84</v>
      </c>
      <c r="AA24" s="471">
        <v>238674</v>
      </c>
      <c r="AB24" s="471">
        <v>5112.2299999999996</v>
      </c>
      <c r="AC24" s="471">
        <v>34977.130000000005</v>
      </c>
      <c r="AD24" s="471"/>
      <c r="AE24" s="471"/>
      <c r="AF24" s="506"/>
      <c r="AG24" s="509">
        <v>28358.399999999998</v>
      </c>
      <c r="AH24" s="481">
        <f t="shared" si="0"/>
        <v>25897602.930000797</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5366188.5199999996</v>
      </c>
      <c r="S25" s="472">
        <v>10577026.220000301</v>
      </c>
      <c r="T25" s="472">
        <v>6087655.42000004</v>
      </c>
      <c r="U25" s="472">
        <v>1033139.39</v>
      </c>
      <c r="V25" s="471">
        <v>425519.50999999902</v>
      </c>
      <c r="W25" s="471">
        <v>442358.25999999902</v>
      </c>
      <c r="X25" s="472">
        <v>352959.04999999498</v>
      </c>
      <c r="Y25" s="472">
        <v>123437.52</v>
      </c>
      <c r="Z25" s="471">
        <v>140836.54999999999</v>
      </c>
      <c r="AA25" s="471">
        <v>75295.63</v>
      </c>
      <c r="AB25" s="471">
        <v>84228.6</v>
      </c>
      <c r="AC25" s="471">
        <v>67585.27</v>
      </c>
      <c r="AD25" s="471"/>
      <c r="AE25" s="471"/>
      <c r="AF25" s="506"/>
      <c r="AG25" s="509">
        <v>27468.480000000003</v>
      </c>
      <c r="AH25" s="481">
        <f t="shared" si="0"/>
        <v>24803698.42000033</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6493047.5099999001</v>
      </c>
      <c r="T26" s="472">
        <v>11851495.970000999</v>
      </c>
      <c r="U26" s="472">
        <v>5668101.3800000297</v>
      </c>
      <c r="V26" s="471">
        <v>311988.50000000099</v>
      </c>
      <c r="W26" s="471">
        <v>139201.21</v>
      </c>
      <c r="X26" s="472">
        <v>133469.78</v>
      </c>
      <c r="Y26" s="472">
        <v>169254</v>
      </c>
      <c r="Z26" s="471">
        <v>193658.45</v>
      </c>
      <c r="AA26" s="471">
        <v>108548.8</v>
      </c>
      <c r="AB26" s="471">
        <v>143069.54999999999</v>
      </c>
      <c r="AC26" s="471">
        <v>62116.57</v>
      </c>
      <c r="AD26" s="471"/>
      <c r="AE26" s="471"/>
      <c r="AF26" s="514"/>
      <c r="AG26" s="509">
        <v>84096.260000000009</v>
      </c>
      <c r="AH26" s="481">
        <f t="shared" si="0"/>
        <v>25358047.980000932</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4976692.7900000401</v>
      </c>
      <c r="U27" s="472">
        <v>10995306.920000499</v>
      </c>
      <c r="V27" s="471">
        <v>4266537.6799999904</v>
      </c>
      <c r="W27" s="471">
        <v>370375.25000000099</v>
      </c>
      <c r="X27" s="472">
        <v>260186.1</v>
      </c>
      <c r="Y27" s="472">
        <v>72308.740000000005</v>
      </c>
      <c r="Z27" s="471">
        <v>131471.74</v>
      </c>
      <c r="AA27" s="471">
        <v>92527.42</v>
      </c>
      <c r="AB27" s="471">
        <v>79520.94</v>
      </c>
      <c r="AC27" s="471">
        <v>15564.83</v>
      </c>
      <c r="AD27" s="471"/>
      <c r="AE27" s="471"/>
      <c r="AF27" s="506"/>
      <c r="AG27" s="515">
        <v>52578.93</v>
      </c>
      <c r="AH27" s="481">
        <f t="shared" si="0"/>
        <v>21313071.340000529</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6440553.4699999299</v>
      </c>
      <c r="V28" s="471">
        <v>11288380.4600004</v>
      </c>
      <c r="W28" s="471">
        <v>6628254.7200000202</v>
      </c>
      <c r="X28" s="472">
        <v>669106.34000000102</v>
      </c>
      <c r="Y28" s="472">
        <v>189524.21</v>
      </c>
      <c r="Z28" s="471">
        <v>290330.32</v>
      </c>
      <c r="AA28" s="471">
        <v>266204.15000000002</v>
      </c>
      <c r="AB28" s="471">
        <v>103123.62</v>
      </c>
      <c r="AC28" s="471">
        <v>49447.41</v>
      </c>
      <c r="AD28" s="471"/>
      <c r="AE28" s="471"/>
      <c r="AF28" s="506"/>
      <c r="AG28" s="510">
        <v>159706</v>
      </c>
      <c r="AH28" s="481">
        <f t="shared" si="0"/>
        <v>26084630.700000349</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6458435.8599998597</v>
      </c>
      <c r="W29" s="471">
        <v>11571369.510000801</v>
      </c>
      <c r="X29" s="472">
        <v>6608059.3100000303</v>
      </c>
      <c r="Y29" s="472">
        <v>1072492.27</v>
      </c>
      <c r="Z29" s="471">
        <v>192334.87</v>
      </c>
      <c r="AA29" s="471">
        <v>127004.3</v>
      </c>
      <c r="AB29" s="471">
        <v>130239.36</v>
      </c>
      <c r="AC29" s="471">
        <v>47099.13</v>
      </c>
      <c r="AD29" s="471"/>
      <c r="AE29" s="471"/>
      <c r="AF29" s="506"/>
      <c r="AG29" s="509">
        <v>350821.91000000003</v>
      </c>
      <c r="AH29" s="481">
        <f t="shared" si="0"/>
        <v>26557856.520000692</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4763936.4899999695</v>
      </c>
      <c r="X30" s="472">
        <v>9743051.6400004402</v>
      </c>
      <c r="Y30" s="472">
        <v>5272797.3200000897</v>
      </c>
      <c r="Z30" s="471">
        <v>383795.94000000099</v>
      </c>
      <c r="AA30" s="471">
        <v>83173.589999999895</v>
      </c>
      <c r="AB30" s="471">
        <v>42641.31</v>
      </c>
      <c r="AC30" s="471">
        <v>52664.62</v>
      </c>
      <c r="AD30" s="471"/>
      <c r="AE30" s="471"/>
      <c r="AF30" s="506"/>
      <c r="AG30" s="509">
        <v>351682.49000000005</v>
      </c>
      <c r="AH30" s="481">
        <f t="shared" si="0"/>
        <v>20693743.400000498</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5409288.1199998707</v>
      </c>
      <c r="Y31" s="472">
        <v>10561717.120000931</v>
      </c>
      <c r="Z31" s="471">
        <v>6579582.0100000603</v>
      </c>
      <c r="AA31" s="471">
        <v>2505238.7200000002</v>
      </c>
      <c r="AB31" s="471">
        <v>375245.82</v>
      </c>
      <c r="AC31" s="471">
        <v>116233.56</v>
      </c>
      <c r="AD31" s="471"/>
      <c r="AE31" s="471"/>
      <c r="AF31" s="506"/>
      <c r="AG31" s="509">
        <v>224050.19</v>
      </c>
      <c r="AH31" s="481">
        <f t="shared" si="0"/>
        <v>25771355.54000086</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4249646.1000000201</v>
      </c>
      <c r="Z32" s="471">
        <v>8770526.7600005101</v>
      </c>
      <c r="AA32" s="471">
        <v>3746086.8</v>
      </c>
      <c r="AB32" s="471">
        <v>1715969.28</v>
      </c>
      <c r="AC32" s="471">
        <v>286943.38</v>
      </c>
      <c r="AD32" s="471"/>
      <c r="AE32" s="471"/>
      <c r="AF32" s="506"/>
      <c r="AG32" s="509">
        <v>292507.84000000032</v>
      </c>
      <c r="AH32" s="481">
        <f t="shared" si="0"/>
        <v>19061680.160000529</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5574948.2399999695</v>
      </c>
      <c r="AA33" s="471">
        <v>7689310.1700001899</v>
      </c>
      <c r="AB33" s="471">
        <v>4638337.4900000198</v>
      </c>
      <c r="AC33" s="471">
        <v>1314465.01</v>
      </c>
      <c r="AD33" s="471"/>
      <c r="AE33" s="471"/>
      <c r="AF33" s="506"/>
      <c r="AG33" s="509">
        <v>174795.26</v>
      </c>
      <c r="AH33" s="481">
        <f t="shared" si="0"/>
        <v>19391856.170000184</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5732860.0199999297</v>
      </c>
      <c r="AB34" s="471">
        <v>9920355.0299988594</v>
      </c>
      <c r="AC34" s="471">
        <v>4998075.8500001002</v>
      </c>
      <c r="AD34" s="471"/>
      <c r="AE34" s="471"/>
      <c r="AF34" s="506"/>
      <c r="AG34" s="509">
        <v>322840.83000000019</v>
      </c>
      <c r="AH34" s="481">
        <f t="shared" si="0"/>
        <v>20974131.72999889</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4329423.7000000905</v>
      </c>
      <c r="AC35" s="471">
        <v>8023070.5599991102</v>
      </c>
      <c r="AD35" s="471"/>
      <c r="AE35" s="471"/>
      <c r="AF35" s="506"/>
      <c r="AG35" s="509">
        <v>267948.19999999995</v>
      </c>
      <c r="AH35" s="481">
        <f t="shared" si="0"/>
        <v>12620442.4599992</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3528227.8000000501</v>
      </c>
      <c r="AD36" s="471"/>
      <c r="AE36" s="471"/>
      <c r="AF36" s="506"/>
      <c r="AG36" s="509">
        <v>789802.91999999993</v>
      </c>
      <c r="AH36" s="481">
        <f t="shared" si="0"/>
        <v>4318030.72000005</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0</v>
      </c>
      <c r="E41" s="961">
        <f t="shared" ref="E41:AC41" si="2">SUM(E10:E40)</f>
        <v>0</v>
      </c>
      <c r="F41" s="961">
        <f t="shared" si="2"/>
        <v>0</v>
      </c>
      <c r="G41" s="961">
        <f t="shared" si="2"/>
        <v>28639158.99000106</v>
      </c>
      <c r="H41" s="961">
        <f t="shared" si="2"/>
        <v>27892347.390001033</v>
      </c>
      <c r="I41" s="961">
        <f t="shared" si="2"/>
        <v>29507167.480001502</v>
      </c>
      <c r="J41" s="961">
        <f t="shared" si="2"/>
        <v>27235141.940001301</v>
      </c>
      <c r="K41" s="961">
        <f t="shared" si="2"/>
        <v>27590222.870001219</v>
      </c>
      <c r="L41" s="961">
        <f t="shared" si="2"/>
        <v>27649140.480001219</v>
      </c>
      <c r="M41" s="961">
        <f t="shared" si="2"/>
        <v>25521967.650000408</v>
      </c>
      <c r="N41" s="961">
        <f t="shared" si="2"/>
        <v>27232245.930000052</v>
      </c>
      <c r="O41" s="961">
        <f t="shared" si="2"/>
        <v>26017105.280000702</v>
      </c>
      <c r="P41" s="961">
        <f t="shared" si="2"/>
        <v>26531240.600000523</v>
      </c>
      <c r="Q41" s="961">
        <f t="shared" si="2"/>
        <v>24375703.860000752</v>
      </c>
      <c r="R41" s="961">
        <f t="shared" si="2"/>
        <v>25586585.700000782</v>
      </c>
      <c r="S41" s="961">
        <f t="shared" si="2"/>
        <v>24435862.840000205</v>
      </c>
      <c r="T41" s="961">
        <f t="shared" si="2"/>
        <v>24434499.45000108</v>
      </c>
      <c r="U41" s="961">
        <f t="shared" si="2"/>
        <v>24876951.700000457</v>
      </c>
      <c r="V41" s="961">
        <f t="shared" si="2"/>
        <v>23370278.590000249</v>
      </c>
      <c r="W41" s="961">
        <f t="shared" si="2"/>
        <v>24416063.580000792</v>
      </c>
      <c r="X41" s="961">
        <f t="shared" si="2"/>
        <v>23684198.700000338</v>
      </c>
      <c r="Y41" s="961">
        <f t="shared" si="2"/>
        <v>22016515.080001041</v>
      </c>
      <c r="Z41" s="961">
        <f t="shared" si="2"/>
        <v>22602005.700000539</v>
      </c>
      <c r="AA41" s="961">
        <f t="shared" si="2"/>
        <v>20791707.880000118</v>
      </c>
      <c r="AB41" s="961">
        <f t="shared" si="2"/>
        <v>21704728.139998972</v>
      </c>
      <c r="AC41" s="961">
        <f t="shared" si="2"/>
        <v>18720544.93999926</v>
      </c>
      <c r="AD41" s="961">
        <f>SUM(AD10:AD40)</f>
        <v>0</v>
      </c>
      <c r="AE41" s="961">
        <f>SUM(AE10:AE40)</f>
        <v>0</v>
      </c>
      <c r="AF41" s="961">
        <f>SUM(AF10:AF40)</f>
        <v>0</v>
      </c>
      <c r="AG41" s="519">
        <f>SUM(AG10:AG40)</f>
        <v>3400569.5499999989</v>
      </c>
      <c r="AH41" s="962">
        <f>SUM(AH10:AH40)</f>
        <v>578231954.32001352</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39.6">
      <c r="A45" s="485">
        <v>36</v>
      </c>
      <c r="B45" s="488" t="s">
        <v>1504</v>
      </c>
      <c r="C45" s="475">
        <f>SUM(C41:C44)</f>
        <v>0</v>
      </c>
      <c r="D45" s="475">
        <f>SUM(D41:D44)</f>
        <v>0</v>
      </c>
      <c r="E45" s="476">
        <f t="shared" ref="E45:AB45" si="3">SUM(E41:E44)</f>
        <v>0</v>
      </c>
      <c r="F45" s="476">
        <f>SUM(F41:F44)</f>
        <v>0</v>
      </c>
      <c r="G45" s="476">
        <f t="shared" si="3"/>
        <v>28639158.99000106</v>
      </c>
      <c r="H45" s="476">
        <f t="shared" si="3"/>
        <v>27892347.390001033</v>
      </c>
      <c r="I45" s="476">
        <f t="shared" si="3"/>
        <v>29507167.480001502</v>
      </c>
      <c r="J45" s="476">
        <f t="shared" si="3"/>
        <v>27235141.940001301</v>
      </c>
      <c r="K45" s="476">
        <f t="shared" si="3"/>
        <v>27590222.870001219</v>
      </c>
      <c r="L45" s="476">
        <f t="shared" si="3"/>
        <v>27649140.480001219</v>
      </c>
      <c r="M45" s="476">
        <f t="shared" si="3"/>
        <v>25521967.650000408</v>
      </c>
      <c r="N45" s="476">
        <f t="shared" si="3"/>
        <v>27232245.930000052</v>
      </c>
      <c r="O45" s="476">
        <f t="shared" si="3"/>
        <v>26017105.280000702</v>
      </c>
      <c r="P45" s="476">
        <f t="shared" si="3"/>
        <v>26531240.600000523</v>
      </c>
      <c r="Q45" s="476">
        <f t="shared" si="3"/>
        <v>24375703.860000752</v>
      </c>
      <c r="R45" s="476">
        <f t="shared" si="3"/>
        <v>25586585.700000782</v>
      </c>
      <c r="S45" s="476">
        <f t="shared" si="3"/>
        <v>24435862.840000205</v>
      </c>
      <c r="T45" s="476">
        <f t="shared" si="3"/>
        <v>24434499.45000108</v>
      </c>
      <c r="U45" s="476">
        <f t="shared" si="3"/>
        <v>24876951.700000457</v>
      </c>
      <c r="V45" s="476">
        <f t="shared" si="3"/>
        <v>23370278.590000249</v>
      </c>
      <c r="W45" s="476">
        <f t="shared" si="3"/>
        <v>24416063.580000792</v>
      </c>
      <c r="X45" s="476">
        <f t="shared" si="3"/>
        <v>23684198.700000338</v>
      </c>
      <c r="Y45" s="476">
        <f t="shared" si="3"/>
        <v>22016515.080001041</v>
      </c>
      <c r="Z45" s="476">
        <f t="shared" si="3"/>
        <v>22602005.700000539</v>
      </c>
      <c r="AA45" s="476">
        <f t="shared" si="3"/>
        <v>20791707.880000118</v>
      </c>
      <c r="AB45" s="476">
        <f t="shared" si="3"/>
        <v>21704728.139998972</v>
      </c>
      <c r="AC45" s="476">
        <f t="shared" ref="AC45:AH45" si="4">SUM(AC41:AC44)</f>
        <v>18720544.93999926</v>
      </c>
      <c r="AD45" s="476">
        <f t="shared" si="4"/>
        <v>0</v>
      </c>
      <c r="AE45" s="476">
        <f t="shared" si="4"/>
        <v>0</v>
      </c>
      <c r="AF45" s="476">
        <f t="shared" si="4"/>
        <v>0</v>
      </c>
      <c r="AG45" s="478">
        <f t="shared" si="4"/>
        <v>3400569.5499999989</v>
      </c>
      <c r="AH45" s="477">
        <f t="shared" si="4"/>
        <v>578231954.32001352</v>
      </c>
    </row>
    <row r="46" spans="1:79" s="459" customFormat="1" ht="53.25" customHeight="1">
      <c r="A46" s="485">
        <v>37</v>
      </c>
      <c r="B46" s="488" t="s">
        <v>1505</v>
      </c>
      <c r="C46" s="473"/>
      <c r="D46" s="471">
        <v>0</v>
      </c>
      <c r="E46" s="471">
        <v>0</v>
      </c>
      <c r="F46" s="471">
        <v>0</v>
      </c>
      <c r="G46" s="474">
        <v>587993.82775606285</v>
      </c>
      <c r="H46" s="471">
        <v>485153.74556372012</v>
      </c>
      <c r="I46" s="471">
        <v>258279.00614669514</v>
      </c>
      <c r="J46" s="471">
        <v>154294.64086374803</v>
      </c>
      <c r="K46" s="471">
        <v>184962.74927669429</v>
      </c>
      <c r="L46" s="471">
        <v>73196.676101141042</v>
      </c>
      <c r="M46" s="471">
        <v>42694.650211504901</v>
      </c>
      <c r="N46" s="471">
        <v>22866.492908260778</v>
      </c>
      <c r="O46" s="472">
        <v>10435.06555259153</v>
      </c>
      <c r="P46" s="471">
        <v>5051.8286165771779</v>
      </c>
      <c r="Q46" s="472">
        <v>1164.9132466483925</v>
      </c>
      <c r="R46" s="471">
        <v>1.6291150522884564E-8</v>
      </c>
      <c r="S46" s="472">
        <v>-1.3979924746570628E-8</v>
      </c>
      <c r="T46" s="472">
        <v>3.3421380007854762E-9</v>
      </c>
      <c r="U46" s="472">
        <v>0</v>
      </c>
      <c r="V46" s="471">
        <v>3.3968263874144125E-9</v>
      </c>
      <c r="W46" s="472">
        <v>-3.4817892729049645E-9</v>
      </c>
      <c r="X46" s="472">
        <v>0</v>
      </c>
      <c r="Y46" s="472">
        <v>0</v>
      </c>
      <c r="Z46" s="471">
        <v>-2.3418559376334341E-8</v>
      </c>
      <c r="AA46" s="472">
        <v>3.1826042280635658E-9</v>
      </c>
      <c r="AB46" s="471">
        <v>0</v>
      </c>
      <c r="AC46" s="472">
        <v>6.2404830764925619E-9</v>
      </c>
      <c r="AD46" s="472">
        <v>3.1826042280635658E-9</v>
      </c>
      <c r="AE46" s="471">
        <v>0</v>
      </c>
      <c r="AF46" s="529">
        <v>6.2404830764925619E-9</v>
      </c>
      <c r="AG46" s="474">
        <v>2.0038184624241706E-8</v>
      </c>
      <c r="AH46" s="477">
        <f>SUM(C46:AG46)</f>
        <v>1826093.5962436658</v>
      </c>
    </row>
    <row r="47" spans="1:79" s="459" customFormat="1" ht="40.35" customHeight="1" thickBot="1">
      <c r="A47" s="489">
        <v>38</v>
      </c>
      <c r="B47" s="490" t="s">
        <v>1506</v>
      </c>
      <c r="C47" s="479">
        <f>SUM(C45:C46)</f>
        <v>0</v>
      </c>
      <c r="D47" s="479">
        <f t="shared" ref="D47:AC47" si="5">SUM(D45:D46)</f>
        <v>0</v>
      </c>
      <c r="E47" s="479">
        <f t="shared" si="5"/>
        <v>0</v>
      </c>
      <c r="F47" s="479">
        <f t="shared" si="5"/>
        <v>0</v>
      </c>
      <c r="G47" s="479">
        <f t="shared" si="5"/>
        <v>29227152.817757122</v>
      </c>
      <c r="H47" s="479">
        <f t="shared" si="5"/>
        <v>28377501.135564752</v>
      </c>
      <c r="I47" s="479">
        <f t="shared" si="5"/>
        <v>29765446.486148197</v>
      </c>
      <c r="J47" s="479">
        <f t="shared" si="5"/>
        <v>27389436.580865048</v>
      </c>
      <c r="K47" s="479">
        <f t="shared" si="5"/>
        <v>27775185.619277913</v>
      </c>
      <c r="L47" s="479">
        <f t="shared" si="5"/>
        <v>27722337.156102359</v>
      </c>
      <c r="M47" s="479">
        <f t="shared" si="5"/>
        <v>25564662.300211914</v>
      </c>
      <c r="N47" s="479">
        <f t="shared" si="5"/>
        <v>27255112.422908314</v>
      </c>
      <c r="O47" s="479">
        <f t="shared" si="5"/>
        <v>26027540.345553294</v>
      </c>
      <c r="P47" s="479">
        <f t="shared" si="5"/>
        <v>26536292.428617101</v>
      </c>
      <c r="Q47" s="479">
        <f t="shared" si="5"/>
        <v>24376868.773247402</v>
      </c>
      <c r="R47" s="479">
        <f t="shared" si="5"/>
        <v>25586585.700000796</v>
      </c>
      <c r="S47" s="479">
        <f t="shared" si="5"/>
        <v>24435862.84000019</v>
      </c>
      <c r="T47" s="479">
        <f t="shared" si="5"/>
        <v>24434499.450001083</v>
      </c>
      <c r="U47" s="479">
        <f t="shared" si="5"/>
        <v>24876951.700000457</v>
      </c>
      <c r="V47" s="479">
        <f t="shared" si="5"/>
        <v>23370278.590000253</v>
      </c>
      <c r="W47" s="479">
        <f t="shared" si="5"/>
        <v>24416063.580000788</v>
      </c>
      <c r="X47" s="479">
        <f t="shared" si="5"/>
        <v>23684198.700000338</v>
      </c>
      <c r="Y47" s="479">
        <f t="shared" si="5"/>
        <v>22016515.080001041</v>
      </c>
      <c r="Z47" s="479">
        <f t="shared" si="5"/>
        <v>22602005.700000517</v>
      </c>
      <c r="AA47" s="479">
        <f t="shared" si="5"/>
        <v>20791707.880000122</v>
      </c>
      <c r="AB47" s="479">
        <f t="shared" si="5"/>
        <v>21704728.139998972</v>
      </c>
      <c r="AC47" s="479">
        <f t="shared" si="5"/>
        <v>18720544.939999267</v>
      </c>
      <c r="AD47" s="479">
        <f>SUM(AD45:AD46)</f>
        <v>3.1826042280635658E-9</v>
      </c>
      <c r="AE47" s="479">
        <f>SUM(AE45:AE46)</f>
        <v>0</v>
      </c>
      <c r="AF47" s="479">
        <f>SUM(AF45:AF46)</f>
        <v>6.2404830764925619E-9</v>
      </c>
      <c r="AG47" s="507">
        <f>SUM(AG45:AG46)</f>
        <v>3400569.5500000189</v>
      </c>
      <c r="AH47" s="480">
        <f>SUM(AH45:AH46)</f>
        <v>580058047.91625714</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4">
    <pageSetUpPr fitToPage="1"/>
  </sheetPr>
  <dimension ref="A1:E19"/>
  <sheetViews>
    <sheetView tabSelected="1" zoomScale="90" zoomScaleNormal="90" workbookViewId="0">
      <selection activeCell="J12" sqref="J12"/>
    </sheetView>
  </sheetViews>
  <sheetFormatPr defaultRowHeight="13.15"/>
  <cols>
    <col min="1" max="1" width="20.42578125" customWidth="1"/>
    <col min="3" max="3" width="29.42578125" customWidth="1"/>
    <col min="5" max="5" width="14.42578125" customWidth="1"/>
  </cols>
  <sheetData>
    <row r="1" spans="1:5" ht="17.45">
      <c r="A1" s="101" t="s">
        <v>1511</v>
      </c>
      <c r="B1" s="102"/>
      <c r="C1" s="102"/>
      <c r="E1" s="40"/>
    </row>
    <row r="2" spans="1:5" ht="17.45">
      <c r="A2" s="34"/>
    </row>
    <row r="3" spans="1:5" ht="15.6">
      <c r="A3" s="17" t="s">
        <v>1512</v>
      </c>
    </row>
    <row r="5" spans="1:5">
      <c r="C5" s="35"/>
    </row>
    <row r="6" spans="1:5" ht="24.6">
      <c r="A6" s="39"/>
    </row>
    <row r="7" spans="1:5" ht="15.6" thickBot="1">
      <c r="A7" s="36" t="s">
        <v>1513</v>
      </c>
      <c r="B7" s="36"/>
      <c r="C7" s="963" t="str">
        <f>'Schedule 2_Balance Sheet'!C2</f>
        <v>Tufts Associated Health Plans, Inc. (TAHMO)</v>
      </c>
      <c r="D7" s="963"/>
      <c r="E7" s="964"/>
    </row>
    <row r="8" spans="1:5" ht="15.6" thickBot="1">
      <c r="A8" s="36" t="s">
        <v>1514</v>
      </c>
      <c r="B8" s="36"/>
      <c r="C8" s="965" t="str">
        <f>'Schedule 2_Balance Sheet'!C3</f>
        <v>01/01/2024 - 12/31/2024</v>
      </c>
      <c r="D8" s="963"/>
      <c r="E8" s="964"/>
    </row>
    <row r="9" spans="1:5" ht="15">
      <c r="A9" s="37"/>
    </row>
    <row r="11" spans="1:5" ht="44.25" customHeight="1">
      <c r="A11" s="817" t="s">
        <v>1515</v>
      </c>
      <c r="B11" s="818"/>
      <c r="C11" s="818"/>
      <c r="D11" s="818"/>
      <c r="E11" s="818"/>
    </row>
    <row r="12" spans="1:5" ht="96.75" customHeight="1">
      <c r="A12" s="817" t="s">
        <v>1516</v>
      </c>
      <c r="B12" s="818"/>
      <c r="C12" s="818"/>
      <c r="D12" s="818"/>
      <c r="E12" s="818"/>
    </row>
    <row r="14" spans="1:5" ht="13.9" thickBot="1">
      <c r="A14" s="38" t="s">
        <v>1517</v>
      </c>
      <c r="B14" s="966" t="s">
        <v>1518</v>
      </c>
      <c r="C14" s="966"/>
      <c r="D14" s="38"/>
      <c r="E14" s="700">
        <v>45867</v>
      </c>
    </row>
    <row r="15" spans="1:5">
      <c r="A15" s="38"/>
      <c r="B15" s="38" t="s">
        <v>1519</v>
      </c>
      <c r="C15" s="38"/>
      <c r="D15" s="38"/>
      <c r="E15" s="38" t="s">
        <v>1520</v>
      </c>
    </row>
    <row r="16" spans="1:5">
      <c r="A16" s="38"/>
      <c r="B16" s="38"/>
      <c r="C16" s="38"/>
      <c r="D16" s="38"/>
      <c r="E16" s="38"/>
    </row>
    <row r="17" spans="2:5">
      <c r="B17" s="38"/>
      <c r="C17" s="38"/>
      <c r="D17" s="38"/>
      <c r="E17" s="38"/>
    </row>
    <row r="18" spans="2:5" ht="14.45" thickBot="1">
      <c r="B18" s="967" t="s">
        <v>1521</v>
      </c>
      <c r="C18" s="966"/>
      <c r="D18" s="38"/>
      <c r="E18" s="701" t="s">
        <v>1522</v>
      </c>
    </row>
    <row r="19" spans="2:5">
      <c r="B19" s="38" t="s">
        <v>1523</v>
      </c>
      <c r="C19" s="38"/>
      <c r="D19" s="38"/>
      <c r="E19" s="38" t="s">
        <v>1524</v>
      </c>
    </row>
  </sheetData>
  <protectedRanges>
    <protectedRange password="CC6C" sqref="C7:E8" name="Schedule 10_Plan Name"/>
  </protectedRanges>
  <mergeCells count="2">
    <mergeCell ref="A12:E12"/>
    <mergeCell ref="A11:E11"/>
  </mergeCells>
  <phoneticPr fontId="33" type="noConversion"/>
  <conditionalFormatting sqref="C7:D8">
    <cfRule type="cellIs" dxfId="0" priority="1" stopIfTrue="1" operator="equal">
      <formula>0</formula>
    </cfRule>
  </conditionalFormatting>
  <pageMargins left="0.75" right="0.75" top="1" bottom="1" header="0.5" footer="0.5"/>
  <pageSetup orientation="landscape" r:id="rId1"/>
  <headerFooter alignWithMargins="0">
    <oddFooter>&amp;CPage &amp;P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N130"/>
  <sheetViews>
    <sheetView zoomScale="80" zoomScaleNormal="80" workbookViewId="0">
      <selection activeCell="I58" sqref="I58"/>
    </sheetView>
  </sheetViews>
  <sheetFormatPr defaultColWidth="9.42578125" defaultRowHeight="13.15"/>
  <cols>
    <col min="1" max="1" width="66.42578125" style="136" customWidth="1"/>
    <col min="2" max="5" width="32.5703125" style="136" customWidth="1"/>
    <col min="6" max="16384" width="9.42578125" style="136"/>
  </cols>
  <sheetData>
    <row r="1" spans="1:14" ht="15.6">
      <c r="A1" s="249" t="s">
        <v>1525</v>
      </c>
    </row>
    <row r="5" spans="1:14">
      <c r="A5" s="243" t="s">
        <v>1526</v>
      </c>
      <c r="B5" s="244"/>
      <c r="C5" s="245" t="s">
        <v>1527</v>
      </c>
      <c r="D5" s="246" t="str">
        <f>'Schedule 2_Balance Sheet'!C2</f>
        <v>Tufts Associated Health Plans, Inc. (TAHMO)</v>
      </c>
      <c r="E5" s="246"/>
    </row>
    <row r="6" spans="1:14">
      <c r="A6" s="42"/>
      <c r="B6" s="43"/>
      <c r="C6" s="240"/>
      <c r="D6" s="819"/>
      <c r="E6" s="820"/>
    </row>
    <row r="7" spans="1:14" ht="13.9" thickBot="1"/>
    <row r="8" spans="1:14" ht="31.5" customHeight="1" thickTop="1">
      <c r="A8" s="821" t="s">
        <v>1528</v>
      </c>
      <c r="B8" s="822"/>
      <c r="C8" s="822"/>
      <c r="D8" s="822"/>
      <c r="E8" s="823"/>
      <c r="F8" s="714"/>
      <c r="G8" s="714"/>
      <c r="H8" s="714"/>
      <c r="I8" s="714"/>
      <c r="J8" s="714"/>
      <c r="K8" s="714"/>
      <c r="L8" s="714"/>
      <c r="M8" s="714"/>
      <c r="N8" s="714"/>
    </row>
    <row r="9" spans="1:14">
      <c r="A9" s="248"/>
      <c r="B9" s="241"/>
      <c r="C9" s="241"/>
      <c r="D9" s="241"/>
      <c r="E9" s="242"/>
    </row>
    <row r="10" spans="1:14">
      <c r="A10" s="833" t="s">
        <v>1529</v>
      </c>
      <c r="B10" s="824"/>
      <c r="C10" s="825"/>
      <c r="D10" s="825"/>
      <c r="E10" s="826"/>
    </row>
    <row r="11" spans="1:14">
      <c r="A11" s="834"/>
      <c r="B11" s="827"/>
      <c r="C11" s="828"/>
      <c r="D11" s="828"/>
      <c r="E11" s="829"/>
    </row>
    <row r="12" spans="1:14">
      <c r="A12" s="834"/>
      <c r="B12" s="827"/>
      <c r="C12" s="828"/>
      <c r="D12" s="828"/>
      <c r="E12" s="829"/>
    </row>
    <row r="13" spans="1:14">
      <c r="A13" s="834"/>
      <c r="B13" s="827"/>
      <c r="C13" s="828"/>
      <c r="D13" s="828"/>
      <c r="E13" s="829"/>
    </row>
    <row r="14" spans="1:14">
      <c r="A14" s="834"/>
      <c r="B14" s="827"/>
      <c r="C14" s="828"/>
      <c r="D14" s="828"/>
      <c r="E14" s="829"/>
    </row>
    <row r="15" spans="1:14">
      <c r="A15" s="834"/>
      <c r="B15" s="827"/>
      <c r="C15" s="828"/>
      <c r="D15" s="828"/>
      <c r="E15" s="829"/>
    </row>
    <row r="16" spans="1:14">
      <c r="A16" s="834"/>
      <c r="B16" s="827"/>
      <c r="C16" s="828"/>
      <c r="D16" s="828"/>
      <c r="E16" s="829"/>
    </row>
    <row r="17" spans="1:5">
      <c r="A17" s="834"/>
      <c r="B17" s="827"/>
      <c r="C17" s="828"/>
      <c r="D17" s="828"/>
      <c r="E17" s="829"/>
    </row>
    <row r="18" spans="1:5">
      <c r="A18" s="834"/>
      <c r="B18" s="827"/>
      <c r="C18" s="828"/>
      <c r="D18" s="828"/>
      <c r="E18" s="829"/>
    </row>
    <row r="19" spans="1:5">
      <c r="A19" s="834"/>
      <c r="B19" s="827"/>
      <c r="C19" s="828"/>
      <c r="D19" s="828"/>
      <c r="E19" s="829"/>
    </row>
    <row r="20" spans="1:5">
      <c r="A20" s="835"/>
      <c r="B20" s="830"/>
      <c r="C20" s="831"/>
      <c r="D20" s="831"/>
      <c r="E20" s="832"/>
    </row>
    <row r="21" spans="1:5">
      <c r="A21" s="833" t="s">
        <v>1530</v>
      </c>
      <c r="B21" s="836" t="s">
        <v>1531</v>
      </c>
      <c r="C21" s="837"/>
      <c r="D21" s="837"/>
      <c r="E21" s="838"/>
    </row>
    <row r="22" spans="1:5">
      <c r="A22" s="834"/>
      <c r="B22" s="839"/>
      <c r="C22" s="840"/>
      <c r="D22" s="840"/>
      <c r="E22" s="841"/>
    </row>
    <row r="23" spans="1:5">
      <c r="A23" s="834"/>
      <c r="B23" s="839"/>
      <c r="C23" s="840"/>
      <c r="D23" s="840"/>
      <c r="E23" s="841"/>
    </row>
    <row r="24" spans="1:5">
      <c r="A24" s="834"/>
      <c r="B24" s="839"/>
      <c r="C24" s="840"/>
      <c r="D24" s="840"/>
      <c r="E24" s="841"/>
    </row>
    <row r="25" spans="1:5">
      <c r="A25" s="834"/>
      <c r="B25" s="839"/>
      <c r="C25" s="840"/>
      <c r="D25" s="840"/>
      <c r="E25" s="841"/>
    </row>
    <row r="26" spans="1:5">
      <c r="A26" s="834"/>
      <c r="B26" s="839"/>
      <c r="C26" s="840"/>
      <c r="D26" s="840"/>
      <c r="E26" s="841"/>
    </row>
    <row r="27" spans="1:5">
      <c r="A27" s="834"/>
      <c r="B27" s="839"/>
      <c r="C27" s="840"/>
      <c r="D27" s="840"/>
      <c r="E27" s="841"/>
    </row>
    <row r="28" spans="1:5">
      <c r="A28" s="834"/>
      <c r="B28" s="839"/>
      <c r="C28" s="840"/>
      <c r="D28" s="840"/>
      <c r="E28" s="841"/>
    </row>
    <row r="29" spans="1:5">
      <c r="A29" s="834"/>
      <c r="B29" s="839"/>
      <c r="C29" s="840"/>
      <c r="D29" s="840"/>
      <c r="E29" s="841"/>
    </row>
    <row r="30" spans="1:5">
      <c r="A30" s="834"/>
      <c r="B30" s="839"/>
      <c r="C30" s="840"/>
      <c r="D30" s="840"/>
      <c r="E30" s="841"/>
    </row>
    <row r="31" spans="1:5">
      <c r="A31" s="835"/>
      <c r="B31" s="842"/>
      <c r="C31" s="843"/>
      <c r="D31" s="843"/>
      <c r="E31" s="844"/>
    </row>
    <row r="32" spans="1:5">
      <c r="A32" s="833" t="s">
        <v>1532</v>
      </c>
      <c r="B32" s="845" t="s">
        <v>1533</v>
      </c>
      <c r="C32" s="846"/>
      <c r="D32" s="846"/>
      <c r="E32" s="847"/>
    </row>
    <row r="33" spans="1:5">
      <c r="A33" s="834"/>
      <c r="B33" s="848"/>
      <c r="C33" s="849"/>
      <c r="D33" s="849"/>
      <c r="E33" s="850"/>
    </row>
    <row r="34" spans="1:5">
      <c r="A34" s="834"/>
      <c r="B34" s="848"/>
      <c r="C34" s="849"/>
      <c r="D34" s="849"/>
      <c r="E34" s="850"/>
    </row>
    <row r="35" spans="1:5">
      <c r="A35" s="834"/>
      <c r="B35" s="848"/>
      <c r="C35" s="849"/>
      <c r="D35" s="849"/>
      <c r="E35" s="850"/>
    </row>
    <row r="36" spans="1:5">
      <c r="A36" s="834"/>
      <c r="B36" s="848"/>
      <c r="C36" s="849"/>
      <c r="D36" s="849"/>
      <c r="E36" s="850"/>
    </row>
    <row r="37" spans="1:5">
      <c r="A37" s="834"/>
      <c r="B37" s="848"/>
      <c r="C37" s="849"/>
      <c r="D37" s="849"/>
      <c r="E37" s="850"/>
    </row>
    <row r="38" spans="1:5">
      <c r="A38" s="834"/>
      <c r="B38" s="848"/>
      <c r="C38" s="849"/>
      <c r="D38" s="849"/>
      <c r="E38" s="850"/>
    </row>
    <row r="39" spans="1:5">
      <c r="A39" s="834"/>
      <c r="B39" s="848"/>
      <c r="C39" s="849"/>
      <c r="D39" s="849"/>
      <c r="E39" s="850"/>
    </row>
    <row r="40" spans="1:5">
      <c r="A40" s="834"/>
      <c r="B40" s="848"/>
      <c r="C40" s="849"/>
      <c r="D40" s="849"/>
      <c r="E40" s="850"/>
    </row>
    <row r="41" spans="1:5">
      <c r="A41" s="834"/>
      <c r="B41" s="848"/>
      <c r="C41" s="849"/>
      <c r="D41" s="849"/>
      <c r="E41" s="850"/>
    </row>
    <row r="42" spans="1:5">
      <c r="A42" s="835"/>
      <c r="B42" s="851"/>
      <c r="C42" s="852"/>
      <c r="D42" s="852"/>
      <c r="E42" s="853"/>
    </row>
    <row r="43" spans="1:5">
      <c r="A43" s="833" t="s">
        <v>1534</v>
      </c>
      <c r="B43" s="824"/>
      <c r="C43" s="825"/>
      <c r="D43" s="825"/>
      <c r="E43" s="826"/>
    </row>
    <row r="44" spans="1:5">
      <c r="A44" s="834"/>
      <c r="B44" s="827"/>
      <c r="C44" s="828"/>
      <c r="D44" s="828"/>
      <c r="E44" s="829"/>
    </row>
    <row r="45" spans="1:5">
      <c r="A45" s="834"/>
      <c r="B45" s="827"/>
      <c r="C45" s="828"/>
      <c r="D45" s="828"/>
      <c r="E45" s="829"/>
    </row>
    <row r="46" spans="1:5">
      <c r="A46" s="834"/>
      <c r="B46" s="827"/>
      <c r="C46" s="828"/>
      <c r="D46" s="828"/>
      <c r="E46" s="829"/>
    </row>
    <row r="47" spans="1:5">
      <c r="A47" s="834"/>
      <c r="B47" s="827"/>
      <c r="C47" s="828"/>
      <c r="D47" s="828"/>
      <c r="E47" s="829"/>
    </row>
    <row r="48" spans="1:5">
      <c r="A48" s="834"/>
      <c r="B48" s="827"/>
      <c r="C48" s="828"/>
      <c r="D48" s="828"/>
      <c r="E48" s="829"/>
    </row>
    <row r="49" spans="1:5">
      <c r="A49" s="834"/>
      <c r="B49" s="827"/>
      <c r="C49" s="828"/>
      <c r="D49" s="828"/>
      <c r="E49" s="829"/>
    </row>
    <row r="50" spans="1:5">
      <c r="A50" s="834"/>
      <c r="B50" s="827"/>
      <c r="C50" s="828"/>
      <c r="D50" s="828"/>
      <c r="E50" s="829"/>
    </row>
    <row r="51" spans="1:5">
      <c r="A51" s="834"/>
      <c r="B51" s="827"/>
      <c r="C51" s="828"/>
      <c r="D51" s="828"/>
      <c r="E51" s="829"/>
    </row>
    <row r="52" spans="1:5">
      <c r="A52" s="834"/>
      <c r="B52" s="827"/>
      <c r="C52" s="828"/>
      <c r="D52" s="828"/>
      <c r="E52" s="829"/>
    </row>
    <row r="53" spans="1:5">
      <c r="A53" s="835"/>
      <c r="B53" s="830"/>
      <c r="C53" s="831"/>
      <c r="D53" s="831"/>
      <c r="E53" s="832"/>
    </row>
    <row r="54" spans="1:5" ht="12.6" customHeight="1">
      <c r="A54" s="833" t="s">
        <v>1535</v>
      </c>
      <c r="B54" s="824"/>
      <c r="C54" s="825"/>
      <c r="D54" s="825"/>
      <c r="E54" s="826"/>
    </row>
    <row r="55" spans="1:5">
      <c r="A55" s="834"/>
      <c r="B55" s="827"/>
      <c r="C55" s="828"/>
      <c r="D55" s="828"/>
      <c r="E55" s="829"/>
    </row>
    <row r="56" spans="1:5">
      <c r="A56" s="834"/>
      <c r="B56" s="827"/>
      <c r="C56" s="828"/>
      <c r="D56" s="828"/>
      <c r="E56" s="829"/>
    </row>
    <row r="57" spans="1:5">
      <c r="A57" s="834"/>
      <c r="B57" s="827"/>
      <c r="C57" s="828"/>
      <c r="D57" s="828"/>
      <c r="E57" s="829"/>
    </row>
    <row r="58" spans="1:5">
      <c r="A58" s="834"/>
      <c r="B58" s="827"/>
      <c r="C58" s="828"/>
      <c r="D58" s="828"/>
      <c r="E58" s="829"/>
    </row>
    <row r="59" spans="1:5">
      <c r="A59" s="834"/>
      <c r="B59" s="827"/>
      <c r="C59" s="828"/>
      <c r="D59" s="828"/>
      <c r="E59" s="829"/>
    </row>
    <row r="60" spans="1:5">
      <c r="A60" s="834"/>
      <c r="B60" s="827"/>
      <c r="C60" s="828"/>
      <c r="D60" s="828"/>
      <c r="E60" s="829"/>
    </row>
    <row r="61" spans="1:5">
      <c r="A61" s="834"/>
      <c r="B61" s="827"/>
      <c r="C61" s="828"/>
      <c r="D61" s="828"/>
      <c r="E61" s="829"/>
    </row>
    <row r="62" spans="1:5">
      <c r="A62" s="834"/>
      <c r="B62" s="827"/>
      <c r="C62" s="828"/>
      <c r="D62" s="828"/>
      <c r="E62" s="829"/>
    </row>
    <row r="63" spans="1:5">
      <c r="A63" s="834"/>
      <c r="B63" s="827"/>
      <c r="C63" s="828"/>
      <c r="D63" s="828"/>
      <c r="E63" s="829"/>
    </row>
    <row r="64" spans="1:5">
      <c r="A64" s="835"/>
      <c r="B64" s="830"/>
      <c r="C64" s="831"/>
      <c r="D64" s="831"/>
      <c r="E64" s="832"/>
    </row>
    <row r="65" spans="1:5">
      <c r="A65" s="833" t="s">
        <v>1536</v>
      </c>
      <c r="B65" s="836" t="s">
        <v>1537</v>
      </c>
      <c r="C65" s="854"/>
      <c r="D65" s="854"/>
      <c r="E65" s="855"/>
    </row>
    <row r="66" spans="1:5">
      <c r="A66" s="834"/>
      <c r="B66" s="856"/>
      <c r="C66" s="857"/>
      <c r="D66" s="857"/>
      <c r="E66" s="858"/>
    </row>
    <row r="67" spans="1:5">
      <c r="A67" s="834"/>
      <c r="B67" s="856"/>
      <c r="C67" s="857"/>
      <c r="D67" s="857"/>
      <c r="E67" s="858"/>
    </row>
    <row r="68" spans="1:5">
      <c r="A68" s="834"/>
      <c r="B68" s="856"/>
      <c r="C68" s="857"/>
      <c r="D68" s="857"/>
      <c r="E68" s="858"/>
    </row>
    <row r="69" spans="1:5">
      <c r="A69" s="834"/>
      <c r="B69" s="856"/>
      <c r="C69" s="857"/>
      <c r="D69" s="857"/>
      <c r="E69" s="858"/>
    </row>
    <row r="70" spans="1:5">
      <c r="A70" s="834"/>
      <c r="B70" s="856"/>
      <c r="C70" s="857"/>
      <c r="D70" s="857"/>
      <c r="E70" s="858"/>
    </row>
    <row r="71" spans="1:5">
      <c r="A71" s="834"/>
      <c r="B71" s="856"/>
      <c r="C71" s="857"/>
      <c r="D71" s="857"/>
      <c r="E71" s="858"/>
    </row>
    <row r="72" spans="1:5">
      <c r="A72" s="834"/>
      <c r="B72" s="856"/>
      <c r="C72" s="857"/>
      <c r="D72" s="857"/>
      <c r="E72" s="858"/>
    </row>
    <row r="73" spans="1:5">
      <c r="A73" s="834"/>
      <c r="B73" s="856"/>
      <c r="C73" s="857"/>
      <c r="D73" s="857"/>
      <c r="E73" s="858"/>
    </row>
    <row r="74" spans="1:5">
      <c r="A74" s="834"/>
      <c r="B74" s="856"/>
      <c r="C74" s="857"/>
      <c r="D74" s="857"/>
      <c r="E74" s="858"/>
    </row>
    <row r="75" spans="1:5">
      <c r="A75" s="835"/>
      <c r="B75" s="859"/>
      <c r="C75" s="860"/>
      <c r="D75" s="860"/>
      <c r="E75" s="861"/>
    </row>
    <row r="76" spans="1:5">
      <c r="A76" s="833" t="s">
        <v>1538</v>
      </c>
      <c r="B76" s="824"/>
      <c r="C76" s="825"/>
      <c r="D76" s="825"/>
      <c r="E76" s="826"/>
    </row>
    <row r="77" spans="1:5">
      <c r="A77" s="834"/>
      <c r="B77" s="827"/>
      <c r="C77" s="828"/>
      <c r="D77" s="828"/>
      <c r="E77" s="829"/>
    </row>
    <row r="78" spans="1:5">
      <c r="A78" s="834"/>
      <c r="B78" s="827"/>
      <c r="C78" s="828"/>
      <c r="D78" s="828"/>
      <c r="E78" s="829"/>
    </row>
    <row r="79" spans="1:5">
      <c r="A79" s="834"/>
      <c r="B79" s="827"/>
      <c r="C79" s="828"/>
      <c r="D79" s="828"/>
      <c r="E79" s="829"/>
    </row>
    <row r="80" spans="1:5">
      <c r="A80" s="834"/>
      <c r="B80" s="827"/>
      <c r="C80" s="828"/>
      <c r="D80" s="828"/>
      <c r="E80" s="829"/>
    </row>
    <row r="81" spans="1:5">
      <c r="A81" s="834"/>
      <c r="B81" s="827"/>
      <c r="C81" s="828"/>
      <c r="D81" s="828"/>
      <c r="E81" s="829"/>
    </row>
    <row r="82" spans="1:5">
      <c r="A82" s="834"/>
      <c r="B82" s="827"/>
      <c r="C82" s="828"/>
      <c r="D82" s="828"/>
      <c r="E82" s="829"/>
    </row>
    <row r="83" spans="1:5">
      <c r="A83" s="834"/>
      <c r="B83" s="827"/>
      <c r="C83" s="828"/>
      <c r="D83" s="828"/>
      <c r="E83" s="829"/>
    </row>
    <row r="84" spans="1:5">
      <c r="A84" s="834"/>
      <c r="B84" s="827"/>
      <c r="C84" s="828"/>
      <c r="D84" s="828"/>
      <c r="E84" s="829"/>
    </row>
    <row r="85" spans="1:5">
      <c r="A85" s="834"/>
      <c r="B85" s="827"/>
      <c r="C85" s="828"/>
      <c r="D85" s="828"/>
      <c r="E85" s="829"/>
    </row>
    <row r="86" spans="1:5">
      <c r="A86" s="835"/>
      <c r="B86" s="830"/>
      <c r="C86" s="831"/>
      <c r="D86" s="831"/>
      <c r="E86" s="832"/>
    </row>
    <row r="87" spans="1:5">
      <c r="A87" s="833" t="s">
        <v>1539</v>
      </c>
      <c r="B87" s="824"/>
      <c r="C87" s="825"/>
      <c r="D87" s="825"/>
      <c r="E87" s="826"/>
    </row>
    <row r="88" spans="1:5">
      <c r="A88" s="834"/>
      <c r="B88" s="827"/>
      <c r="C88" s="828"/>
      <c r="D88" s="828"/>
      <c r="E88" s="829"/>
    </row>
    <row r="89" spans="1:5">
      <c r="A89" s="834"/>
      <c r="B89" s="827"/>
      <c r="C89" s="828"/>
      <c r="D89" s="828"/>
      <c r="E89" s="829"/>
    </row>
    <row r="90" spans="1:5">
      <c r="A90" s="834"/>
      <c r="B90" s="827"/>
      <c r="C90" s="828"/>
      <c r="D90" s="828"/>
      <c r="E90" s="829"/>
    </row>
    <row r="91" spans="1:5">
      <c r="A91" s="834"/>
      <c r="B91" s="827"/>
      <c r="C91" s="828"/>
      <c r="D91" s="828"/>
      <c r="E91" s="829"/>
    </row>
    <row r="92" spans="1:5">
      <c r="A92" s="834"/>
      <c r="B92" s="827"/>
      <c r="C92" s="828"/>
      <c r="D92" s="828"/>
      <c r="E92" s="829"/>
    </row>
    <row r="93" spans="1:5">
      <c r="A93" s="834"/>
      <c r="B93" s="827"/>
      <c r="C93" s="828"/>
      <c r="D93" s="828"/>
      <c r="E93" s="829"/>
    </row>
    <row r="94" spans="1:5">
      <c r="A94" s="834"/>
      <c r="B94" s="827"/>
      <c r="C94" s="828"/>
      <c r="D94" s="828"/>
      <c r="E94" s="829"/>
    </row>
    <row r="95" spans="1:5">
      <c r="A95" s="834"/>
      <c r="B95" s="827"/>
      <c r="C95" s="828"/>
      <c r="D95" s="828"/>
      <c r="E95" s="829"/>
    </row>
    <row r="96" spans="1:5">
      <c r="A96" s="834"/>
      <c r="B96" s="827"/>
      <c r="C96" s="828"/>
      <c r="D96" s="828"/>
      <c r="E96" s="829"/>
    </row>
    <row r="97" spans="1:5">
      <c r="A97" s="835"/>
      <c r="B97" s="830"/>
      <c r="C97" s="831"/>
      <c r="D97" s="831"/>
      <c r="E97" s="832"/>
    </row>
    <row r="98" spans="1:5">
      <c r="A98" s="833" t="s">
        <v>1540</v>
      </c>
      <c r="B98" s="824"/>
      <c r="C98" s="825"/>
      <c r="D98" s="825"/>
      <c r="E98" s="826"/>
    </row>
    <row r="99" spans="1:5">
      <c r="A99" s="834"/>
      <c r="B99" s="827"/>
      <c r="C99" s="828"/>
      <c r="D99" s="828"/>
      <c r="E99" s="829"/>
    </row>
    <row r="100" spans="1:5">
      <c r="A100" s="834"/>
      <c r="B100" s="827"/>
      <c r="C100" s="828"/>
      <c r="D100" s="828"/>
      <c r="E100" s="829"/>
    </row>
    <row r="101" spans="1:5">
      <c r="A101" s="834"/>
      <c r="B101" s="827"/>
      <c r="C101" s="828"/>
      <c r="D101" s="828"/>
      <c r="E101" s="829"/>
    </row>
    <row r="102" spans="1:5">
      <c r="A102" s="834"/>
      <c r="B102" s="827"/>
      <c r="C102" s="828"/>
      <c r="D102" s="828"/>
      <c r="E102" s="829"/>
    </row>
    <row r="103" spans="1:5">
      <c r="A103" s="834"/>
      <c r="B103" s="827"/>
      <c r="C103" s="828"/>
      <c r="D103" s="828"/>
      <c r="E103" s="829"/>
    </row>
    <row r="104" spans="1:5">
      <c r="A104" s="834"/>
      <c r="B104" s="827"/>
      <c r="C104" s="828"/>
      <c r="D104" s="828"/>
      <c r="E104" s="829"/>
    </row>
    <row r="105" spans="1:5">
      <c r="A105" s="834"/>
      <c r="B105" s="827"/>
      <c r="C105" s="828"/>
      <c r="D105" s="828"/>
      <c r="E105" s="829"/>
    </row>
    <row r="106" spans="1:5">
      <c r="A106" s="834"/>
      <c r="B106" s="827"/>
      <c r="C106" s="828"/>
      <c r="D106" s="828"/>
      <c r="E106" s="829"/>
    </row>
    <row r="107" spans="1:5">
      <c r="A107" s="834"/>
      <c r="B107" s="827"/>
      <c r="C107" s="828"/>
      <c r="D107" s="828"/>
      <c r="E107" s="829"/>
    </row>
    <row r="108" spans="1:5">
      <c r="A108" s="835"/>
      <c r="B108" s="830"/>
      <c r="C108" s="831"/>
      <c r="D108" s="831"/>
      <c r="E108" s="832"/>
    </row>
    <row r="109" spans="1:5">
      <c r="A109" s="833" t="s">
        <v>1541</v>
      </c>
      <c r="B109" s="824"/>
      <c r="C109" s="825"/>
      <c r="D109" s="825"/>
      <c r="E109" s="826"/>
    </row>
    <row r="110" spans="1:5">
      <c r="A110" s="834"/>
      <c r="B110" s="827"/>
      <c r="C110" s="828"/>
      <c r="D110" s="828"/>
      <c r="E110" s="829"/>
    </row>
    <row r="111" spans="1:5">
      <c r="A111" s="834"/>
      <c r="B111" s="827"/>
      <c r="C111" s="828"/>
      <c r="D111" s="828"/>
      <c r="E111" s="829"/>
    </row>
    <row r="112" spans="1:5">
      <c r="A112" s="834"/>
      <c r="B112" s="827"/>
      <c r="C112" s="828"/>
      <c r="D112" s="828"/>
      <c r="E112" s="829"/>
    </row>
    <row r="113" spans="1:5">
      <c r="A113" s="834"/>
      <c r="B113" s="827"/>
      <c r="C113" s="828"/>
      <c r="D113" s="828"/>
      <c r="E113" s="829"/>
    </row>
    <row r="114" spans="1:5">
      <c r="A114" s="834"/>
      <c r="B114" s="827"/>
      <c r="C114" s="828"/>
      <c r="D114" s="828"/>
      <c r="E114" s="829"/>
    </row>
    <row r="115" spans="1:5">
      <c r="A115" s="834"/>
      <c r="B115" s="827"/>
      <c r="C115" s="828"/>
      <c r="D115" s="828"/>
      <c r="E115" s="829"/>
    </row>
    <row r="116" spans="1:5">
      <c r="A116" s="834"/>
      <c r="B116" s="827"/>
      <c r="C116" s="828"/>
      <c r="D116" s="828"/>
      <c r="E116" s="829"/>
    </row>
    <row r="117" spans="1:5">
      <c r="A117" s="834"/>
      <c r="B117" s="827"/>
      <c r="C117" s="828"/>
      <c r="D117" s="828"/>
      <c r="E117" s="829"/>
    </row>
    <row r="118" spans="1:5">
      <c r="A118" s="834"/>
      <c r="B118" s="827"/>
      <c r="C118" s="828"/>
      <c r="D118" s="828"/>
      <c r="E118" s="829"/>
    </row>
    <row r="119" spans="1:5">
      <c r="A119" s="835"/>
      <c r="B119" s="830"/>
      <c r="C119" s="831"/>
      <c r="D119" s="831"/>
      <c r="E119" s="832"/>
    </row>
    <row r="120" spans="1:5">
      <c r="A120" s="833" t="s">
        <v>1542</v>
      </c>
      <c r="B120" s="824"/>
      <c r="C120" s="825"/>
      <c r="D120" s="825"/>
      <c r="E120" s="826"/>
    </row>
    <row r="121" spans="1:5">
      <c r="A121" s="834"/>
      <c r="B121" s="827"/>
      <c r="C121" s="828"/>
      <c r="D121" s="828"/>
      <c r="E121" s="829"/>
    </row>
    <row r="122" spans="1:5">
      <c r="A122" s="834"/>
      <c r="B122" s="827"/>
      <c r="C122" s="828"/>
      <c r="D122" s="828"/>
      <c r="E122" s="829"/>
    </row>
    <row r="123" spans="1:5">
      <c r="A123" s="834"/>
      <c r="B123" s="827"/>
      <c r="C123" s="828"/>
      <c r="D123" s="828"/>
      <c r="E123" s="829"/>
    </row>
    <row r="124" spans="1:5">
      <c r="A124" s="834"/>
      <c r="B124" s="827"/>
      <c r="C124" s="828"/>
      <c r="D124" s="828"/>
      <c r="E124" s="829"/>
    </row>
    <row r="125" spans="1:5">
      <c r="A125" s="834"/>
      <c r="B125" s="827"/>
      <c r="C125" s="828"/>
      <c r="D125" s="828"/>
      <c r="E125" s="829"/>
    </row>
    <row r="126" spans="1:5">
      <c r="A126" s="834"/>
      <c r="B126" s="827"/>
      <c r="C126" s="828"/>
      <c r="D126" s="828"/>
      <c r="E126" s="829"/>
    </row>
    <row r="127" spans="1:5">
      <c r="A127" s="834"/>
      <c r="B127" s="827"/>
      <c r="C127" s="828"/>
      <c r="D127" s="828"/>
      <c r="E127" s="829"/>
    </row>
    <row r="128" spans="1:5">
      <c r="A128" s="834"/>
      <c r="B128" s="827"/>
      <c r="C128" s="828"/>
      <c r="D128" s="828"/>
      <c r="E128" s="829"/>
    </row>
    <row r="129" spans="1:5">
      <c r="A129" s="834"/>
      <c r="B129" s="827"/>
      <c r="C129" s="828"/>
      <c r="D129" s="828"/>
      <c r="E129" s="829"/>
    </row>
    <row r="130" spans="1:5">
      <c r="A130" s="835"/>
      <c r="B130" s="830"/>
      <c r="C130" s="831"/>
      <c r="D130" s="831"/>
      <c r="E130" s="832"/>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8" type="noConversion"/>
  <printOptions horizontalCentered="1"/>
  <pageMargins left="0.75" right="0.75" top="1" bottom="1" header="0.5" footer="0.5"/>
  <pageSetup scale="6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D14"/>
  <sheetViews>
    <sheetView zoomScale="60" zoomScaleNormal="60" workbookViewId="0">
      <selection activeCell="D14" sqref="D14"/>
    </sheetView>
  </sheetViews>
  <sheetFormatPr defaultColWidth="8.7109375" defaultRowHeight="13.15"/>
  <cols>
    <col min="1" max="1" width="11.42578125" style="668" customWidth="1"/>
    <col min="2" max="2" width="12.5703125" style="668" customWidth="1"/>
    <col min="3" max="3" width="15.28515625" style="668" bestFit="1" customWidth="1"/>
    <col min="4" max="4" width="97.7109375" style="668" customWidth="1"/>
    <col min="5" max="16384" width="8.7109375" style="668"/>
  </cols>
  <sheetData>
    <row r="1" spans="1:4">
      <c r="A1" s="968" t="s">
        <v>1543</v>
      </c>
      <c r="B1" s="968"/>
      <c r="C1" s="968"/>
      <c r="D1" s="968"/>
    </row>
    <row r="2" spans="1:4">
      <c r="A2" s="227"/>
      <c r="B2" s="665"/>
      <c r="C2" s="665"/>
      <c r="D2" s="665"/>
    </row>
    <row r="3" spans="1:4" ht="26.45">
      <c r="A3" s="666" t="s">
        <v>1544</v>
      </c>
      <c r="B3" s="667" t="s">
        <v>1545</v>
      </c>
      <c r="C3" s="667" t="s">
        <v>1546</v>
      </c>
      <c r="D3" s="667" t="s">
        <v>1547</v>
      </c>
    </row>
    <row r="4" spans="1:4">
      <c r="A4" s="125" t="s">
        <v>437</v>
      </c>
      <c r="B4" s="669"/>
      <c r="C4" s="669"/>
      <c r="D4" s="670"/>
    </row>
    <row r="5" spans="1:4" ht="26.45">
      <c r="A5" s="671">
        <v>1.1000000000000001</v>
      </c>
      <c r="B5" s="672">
        <v>44708</v>
      </c>
      <c r="C5" s="674" t="s">
        <v>1548</v>
      </c>
      <c r="D5" s="673" t="s">
        <v>1549</v>
      </c>
    </row>
    <row r="6" spans="1:4">
      <c r="A6" s="969"/>
      <c r="B6" s="968"/>
      <c r="C6" s="683" t="s">
        <v>1529</v>
      </c>
      <c r="D6" s="683" t="s">
        <v>1550</v>
      </c>
    </row>
    <row r="7" spans="1:4" ht="118.9">
      <c r="A7" s="969"/>
      <c r="B7" s="968"/>
      <c r="C7" s="683" t="s">
        <v>1532</v>
      </c>
      <c r="D7" s="970" t="s">
        <v>1551</v>
      </c>
    </row>
    <row r="8" spans="1:4" ht="118.9">
      <c r="A8" s="969"/>
      <c r="B8" s="968"/>
      <c r="C8" s="683" t="s">
        <v>1536</v>
      </c>
      <c r="D8" s="970" t="s">
        <v>1552</v>
      </c>
    </row>
    <row r="9" spans="1:4" ht="26.45">
      <c r="A9" s="969"/>
      <c r="B9" s="968"/>
      <c r="C9" s="683" t="s">
        <v>1539</v>
      </c>
      <c r="D9" s="970" t="s">
        <v>1553</v>
      </c>
    </row>
    <row r="10" spans="1:4">
      <c r="A10" s="969"/>
      <c r="B10" s="968"/>
      <c r="C10" s="683" t="s">
        <v>1541</v>
      </c>
      <c r="D10" s="683" t="s">
        <v>1554</v>
      </c>
    </row>
    <row r="11" spans="1:4">
      <c r="A11" s="969"/>
      <c r="B11" s="968"/>
      <c r="C11" s="683" t="s">
        <v>1542</v>
      </c>
      <c r="D11" s="683" t="s">
        <v>1554</v>
      </c>
    </row>
    <row r="12" spans="1:4" ht="66">
      <c r="A12" s="971">
        <v>1.2</v>
      </c>
      <c r="B12" s="972">
        <v>44930</v>
      </c>
      <c r="C12" s="684" t="s">
        <v>1548</v>
      </c>
      <c r="D12" s="687" t="s">
        <v>1555</v>
      </c>
    </row>
    <row r="13" spans="1:4">
      <c r="A13" s="968"/>
      <c r="B13" s="683"/>
      <c r="C13" s="683" t="s">
        <v>1529</v>
      </c>
      <c r="D13" s="685" t="s">
        <v>1556</v>
      </c>
    </row>
    <row r="14" spans="1:4" ht="39.6">
      <c r="A14" s="968"/>
      <c r="B14" s="682"/>
      <c r="C14" s="682" t="s">
        <v>1532</v>
      </c>
      <c r="D14" s="686" t="s">
        <v>1557</v>
      </c>
    </row>
  </sheetData>
  <sheetProtection algorithmName="SHA-512" hashValue="Fm8boKge9OaqHfc8krX3IY0jiByVM+JhzXE+hN86NeYkHer8lcR7cu+35xLX7cHaU6uCBKe/l8f/eIc1UA9zdA==" saltValue="Ppx7C/AiGazgwz4mbSIVpQ==" spinCount="100000" sheet="1" objects="1" scenarios="1"/>
  <pageMargins left="0.7" right="0.7" top="0.75" bottom="0.75" header="0.3" footer="0.3"/>
  <pageSetup scale="70"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28"/>
  <sheetViews>
    <sheetView workbookViewId="0"/>
  </sheetViews>
  <sheetFormatPr defaultRowHeight="13.15"/>
  <cols>
    <col min="4" max="4" width="31.5703125" customWidth="1"/>
    <col min="5" max="5" width="16.42578125" customWidth="1"/>
    <col min="6" max="6" width="13.5703125" bestFit="1" customWidth="1"/>
    <col min="7" max="7" width="12" bestFit="1" customWidth="1"/>
  </cols>
  <sheetData>
    <row r="1" spans="2:5">
      <c r="B1" s="1" t="s">
        <v>1558</v>
      </c>
      <c r="C1" s="2"/>
      <c r="D1" s="2"/>
      <c r="E1" s="41"/>
    </row>
    <row r="2" spans="2:5">
      <c r="E2" s="3"/>
    </row>
    <row r="3" spans="2:5">
      <c r="B3" s="4" t="s">
        <v>1559</v>
      </c>
      <c r="C3" s="2"/>
      <c r="D3" s="2"/>
      <c r="E3" s="5">
        <v>1500000</v>
      </c>
    </row>
    <row r="7" spans="2:5">
      <c r="B7" s="4" t="s">
        <v>1560</v>
      </c>
      <c r="C7" s="2"/>
      <c r="D7" s="6"/>
      <c r="E7" s="2"/>
    </row>
    <row r="9" spans="2:5">
      <c r="B9" s="7" t="s">
        <v>1561</v>
      </c>
      <c r="C9" s="136"/>
      <c r="D9" s="136"/>
    </row>
    <row r="10" spans="2:5">
      <c r="B10" s="136"/>
      <c r="C10" s="136"/>
      <c r="D10" s="136"/>
    </row>
    <row r="11" spans="2:5">
      <c r="B11" s="136" t="s">
        <v>1562</v>
      </c>
      <c r="C11" s="136"/>
      <c r="D11" s="3">
        <v>310</v>
      </c>
    </row>
    <row r="12" spans="2:5">
      <c r="B12" s="136" t="s">
        <v>1563</v>
      </c>
      <c r="C12" s="136"/>
      <c r="D12" s="973">
        <v>134408.60215053763</v>
      </c>
    </row>
    <row r="13" spans="2:5">
      <c r="B13" s="136"/>
      <c r="C13" s="136"/>
      <c r="D13" s="136"/>
    </row>
    <row r="14" spans="2:5">
      <c r="B14" s="136" t="s">
        <v>1564</v>
      </c>
      <c r="C14" s="136"/>
      <c r="D14" s="136"/>
      <c r="E14" s="3">
        <f>D11*D12</f>
        <v>41666666.666666664</v>
      </c>
    </row>
    <row r="15" spans="2:5">
      <c r="B15" s="136"/>
      <c r="C15" s="136"/>
      <c r="D15" s="136"/>
    </row>
    <row r="16" spans="2:5">
      <c r="B16" s="136" t="s">
        <v>1565</v>
      </c>
      <c r="C16" s="136"/>
      <c r="D16" s="136"/>
      <c r="E16" s="3">
        <f>E14*1.5</f>
        <v>62500000</v>
      </c>
    </row>
    <row r="18" spans="1:256" ht="13.9" thickBot="1">
      <c r="A18" s="8"/>
      <c r="B18" s="136" t="s">
        <v>1566</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9" thickTop="1">
      <c r="A19" s="8"/>
      <c r="B19" s="136"/>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36" t="s">
        <v>1567</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36"/>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9" thickBot="1">
      <c r="A22" s="8"/>
      <c r="B22" s="4" t="s">
        <v>1568</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9" thickTop="1">
      <c r="A23" s="8"/>
      <c r="B23" s="136"/>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1569</v>
      </c>
    </row>
    <row r="26" spans="1:256">
      <c r="B26" s="136" t="s">
        <v>1570</v>
      </c>
    </row>
    <row r="27" spans="1:256">
      <c r="B27" s="136" t="s">
        <v>1571</v>
      </c>
    </row>
    <row r="28" spans="1:256">
      <c r="B28" s="136" t="s">
        <v>1572</v>
      </c>
    </row>
  </sheetData>
  <phoneticPr fontId="8" type="noConversion"/>
  <pageMargins left="0.7" right="0.7" top="0.75" bottom="0.75" header="0.3" footer="0.3"/>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14"/>
  <sheetViews>
    <sheetView zoomScale="60" zoomScaleNormal="60" workbookViewId="0"/>
  </sheetViews>
  <sheetFormatPr defaultColWidth="9.42578125" defaultRowHeight="13.15"/>
  <cols>
    <col min="1" max="1" width="17.5703125" style="262" customWidth="1"/>
    <col min="2" max="2" width="63.5703125" style="260" customWidth="1"/>
    <col min="3" max="3" width="84" style="260" customWidth="1"/>
    <col min="4" max="16384" width="9.42578125" style="260"/>
  </cols>
  <sheetData>
    <row r="1" spans="1:3" s="257" customFormat="1" ht="27" thickBot="1">
      <c r="A1" s="254" t="s">
        <v>36</v>
      </c>
      <c r="B1" s="255" t="s">
        <v>37</v>
      </c>
      <c r="C1" s="256" t="s">
        <v>38</v>
      </c>
    </row>
    <row r="2" spans="1:3" ht="40.15" thickBot="1">
      <c r="A2" s="85"/>
      <c r="B2" s="258" t="s">
        <v>39</v>
      </c>
      <c r="C2" s="259" t="s">
        <v>40</v>
      </c>
    </row>
    <row r="3" spans="1:3" ht="39.6">
      <c r="A3" s="263" t="s">
        <v>41</v>
      </c>
      <c r="B3" s="875" t="s">
        <v>42</v>
      </c>
      <c r="C3" s="264" t="s">
        <v>43</v>
      </c>
    </row>
    <row r="4" spans="1:3" ht="39.6">
      <c r="A4" s="263" t="s">
        <v>44</v>
      </c>
      <c r="B4" s="875" t="s">
        <v>45</v>
      </c>
      <c r="C4" s="264" t="s">
        <v>46</v>
      </c>
    </row>
    <row r="5" spans="1:3" ht="39.6">
      <c r="A5" s="263" t="s">
        <v>47</v>
      </c>
      <c r="B5" s="875" t="s">
        <v>48</v>
      </c>
      <c r="C5" s="264" t="s">
        <v>49</v>
      </c>
    </row>
    <row r="6" spans="1:3" ht="26.45">
      <c r="A6" s="263">
        <v>1</v>
      </c>
      <c r="B6" s="875" t="s">
        <v>50</v>
      </c>
      <c r="C6" s="264" t="s">
        <v>51</v>
      </c>
    </row>
    <row r="7" spans="1:3" ht="26.45">
      <c r="A7" s="263">
        <v>2</v>
      </c>
      <c r="B7" s="875" t="s">
        <v>52</v>
      </c>
      <c r="C7" s="264" t="s">
        <v>53</v>
      </c>
    </row>
    <row r="8" spans="1:3" ht="27" thickBot="1">
      <c r="A8" s="263">
        <v>3</v>
      </c>
      <c r="B8" s="875" t="s">
        <v>54</v>
      </c>
      <c r="C8" s="264" t="s">
        <v>55</v>
      </c>
    </row>
    <row r="9" spans="1:3" ht="27" thickBot="1">
      <c r="A9" s="85"/>
      <c r="B9" s="258" t="s">
        <v>56</v>
      </c>
      <c r="C9" s="259" t="s">
        <v>57</v>
      </c>
    </row>
    <row r="10" spans="1:3">
      <c r="A10" s="252"/>
      <c r="B10" s="876" t="s">
        <v>58</v>
      </c>
      <c r="C10" s="877"/>
    </row>
    <row r="11" spans="1:3" ht="39.6">
      <c r="A11" s="265">
        <f>'Schedule 2_Balance Sheet'!B11</f>
        <v>1</v>
      </c>
      <c r="B11" s="878" t="s">
        <v>59</v>
      </c>
      <c r="C11" s="143" t="s">
        <v>60</v>
      </c>
    </row>
    <row r="12" spans="1:3" ht="52.9">
      <c r="A12" s="266">
        <f>'Schedule 2_Balance Sheet'!B12</f>
        <v>2</v>
      </c>
      <c r="B12" s="878" t="s">
        <v>61</v>
      </c>
      <c r="C12" s="879" t="s">
        <v>62</v>
      </c>
    </row>
    <row r="13" spans="1:3">
      <c r="A13" s="266">
        <f>'Schedule 2_Balance Sheet'!B13</f>
        <v>3</v>
      </c>
      <c r="B13" s="878" t="s">
        <v>63</v>
      </c>
      <c r="C13" s="879" t="s">
        <v>64</v>
      </c>
    </row>
    <row r="14" spans="1:3">
      <c r="A14" s="266">
        <f>'Schedule 2_Balance Sheet'!B14</f>
        <v>4</v>
      </c>
      <c r="B14" s="878" t="s">
        <v>65</v>
      </c>
      <c r="C14" s="879" t="s">
        <v>66</v>
      </c>
    </row>
    <row r="15" spans="1:3" ht="26.45">
      <c r="A15" s="266">
        <f>'Schedule 2_Balance Sheet'!B15</f>
        <v>5</v>
      </c>
      <c r="B15" s="878" t="s">
        <v>67</v>
      </c>
      <c r="C15" s="879" t="s">
        <v>68</v>
      </c>
    </row>
    <row r="16" spans="1:3">
      <c r="A16" s="266">
        <f>'Schedule 2_Balance Sheet'!B16</f>
        <v>6</v>
      </c>
      <c r="B16" s="878" t="s">
        <v>69</v>
      </c>
      <c r="C16" s="880" t="s">
        <v>70</v>
      </c>
    </row>
    <row r="17" spans="1:3">
      <c r="A17" s="267" t="s">
        <v>71</v>
      </c>
      <c r="B17" s="878" t="s">
        <v>72</v>
      </c>
      <c r="C17" s="879" t="s">
        <v>73</v>
      </c>
    </row>
    <row r="18" spans="1:3">
      <c r="A18" s="268">
        <v>11</v>
      </c>
      <c r="B18" s="875" t="s">
        <v>74</v>
      </c>
      <c r="C18" s="881" t="s">
        <v>75</v>
      </c>
    </row>
    <row r="19" spans="1:3">
      <c r="A19" s="266">
        <v>12</v>
      </c>
      <c r="B19" s="878" t="s">
        <v>76</v>
      </c>
      <c r="C19" s="879" t="s">
        <v>77</v>
      </c>
    </row>
    <row r="20" spans="1:3" ht="39.6">
      <c r="A20" s="266">
        <v>13</v>
      </c>
      <c r="B20" s="878" t="s">
        <v>78</v>
      </c>
      <c r="C20" s="880" t="s">
        <v>79</v>
      </c>
    </row>
    <row r="21" spans="1:3">
      <c r="A21" s="266">
        <v>14</v>
      </c>
      <c r="B21" s="878" t="s">
        <v>80</v>
      </c>
      <c r="C21" s="880" t="s">
        <v>81</v>
      </c>
    </row>
    <row r="22" spans="1:3">
      <c r="A22" s="266">
        <v>15</v>
      </c>
      <c r="B22" s="878" t="s">
        <v>82</v>
      </c>
      <c r="C22" s="880" t="s">
        <v>83</v>
      </c>
    </row>
    <row r="23" spans="1:3">
      <c r="A23" s="266">
        <v>16</v>
      </c>
      <c r="B23" s="878" t="s">
        <v>84</v>
      </c>
      <c r="C23" s="880" t="s">
        <v>85</v>
      </c>
    </row>
    <row r="24" spans="1:3" ht="39.6">
      <c r="A24" s="266">
        <v>17</v>
      </c>
      <c r="B24" s="878" t="s">
        <v>86</v>
      </c>
      <c r="C24" s="880" t="s">
        <v>87</v>
      </c>
    </row>
    <row r="25" spans="1:3">
      <c r="A25" s="266" t="s">
        <v>88</v>
      </c>
      <c r="B25" s="878" t="s">
        <v>89</v>
      </c>
      <c r="C25" s="880" t="s">
        <v>90</v>
      </c>
    </row>
    <row r="26" spans="1:3">
      <c r="A26" s="268">
        <v>21</v>
      </c>
      <c r="B26" s="875" t="s">
        <v>91</v>
      </c>
      <c r="C26" s="881" t="s">
        <v>92</v>
      </c>
    </row>
    <row r="27" spans="1:3">
      <c r="A27" s="266">
        <v>22</v>
      </c>
      <c r="B27" s="878" t="s">
        <v>93</v>
      </c>
      <c r="C27" s="880" t="s">
        <v>94</v>
      </c>
    </row>
    <row r="28" spans="1:3" ht="39.6">
      <c r="A28" s="266">
        <v>23</v>
      </c>
      <c r="B28" s="878" t="s">
        <v>95</v>
      </c>
      <c r="C28" s="880" t="s">
        <v>96</v>
      </c>
    </row>
    <row r="29" spans="1:3" ht="39.6">
      <c r="A29" s="266">
        <v>24</v>
      </c>
      <c r="B29" s="878" t="s">
        <v>97</v>
      </c>
      <c r="C29" s="882" t="s">
        <v>98</v>
      </c>
    </row>
    <row r="30" spans="1:3" ht="39" customHeight="1">
      <c r="A30" s="266">
        <v>25</v>
      </c>
      <c r="B30" s="878" t="s">
        <v>99</v>
      </c>
      <c r="C30" s="880" t="s">
        <v>100</v>
      </c>
    </row>
    <row r="31" spans="1:3" ht="16.899999999999999" customHeight="1">
      <c r="A31" s="266">
        <v>26</v>
      </c>
      <c r="B31" s="878" t="s">
        <v>101</v>
      </c>
      <c r="C31" s="880" t="s">
        <v>102</v>
      </c>
    </row>
    <row r="32" spans="1:3" ht="28.9" customHeight="1">
      <c r="A32" s="266" t="s">
        <v>103</v>
      </c>
      <c r="B32" s="878" t="s">
        <v>104</v>
      </c>
      <c r="C32" s="880" t="s">
        <v>105</v>
      </c>
    </row>
    <row r="33" spans="1:3">
      <c r="A33" s="268">
        <v>30</v>
      </c>
      <c r="B33" s="875" t="s">
        <v>106</v>
      </c>
      <c r="C33" s="882" t="s">
        <v>107</v>
      </c>
    </row>
    <row r="34" spans="1:3">
      <c r="A34" s="266">
        <v>31</v>
      </c>
      <c r="B34" s="878" t="s">
        <v>108</v>
      </c>
      <c r="C34" s="880" t="s">
        <v>109</v>
      </c>
    </row>
    <row r="35" spans="1:3">
      <c r="A35" s="253"/>
      <c r="B35" s="86" t="s">
        <v>110</v>
      </c>
      <c r="C35" s="883"/>
    </row>
    <row r="36" spans="1:3" ht="39.6">
      <c r="A36" s="266">
        <v>32</v>
      </c>
      <c r="B36" s="878" t="s">
        <v>111</v>
      </c>
      <c r="C36" s="880" t="s">
        <v>112</v>
      </c>
    </row>
    <row r="37" spans="1:3">
      <c r="A37" s="266">
        <v>33</v>
      </c>
      <c r="B37" s="878" t="s">
        <v>113</v>
      </c>
      <c r="C37" s="880" t="s">
        <v>114</v>
      </c>
    </row>
    <row r="38" spans="1:3">
      <c r="A38" s="266">
        <v>34</v>
      </c>
      <c r="B38" s="878" t="s">
        <v>115</v>
      </c>
      <c r="C38" s="880" t="s">
        <v>116</v>
      </c>
    </row>
    <row r="39" spans="1:3">
      <c r="A39" s="266">
        <v>35</v>
      </c>
      <c r="B39" s="878" t="s">
        <v>117</v>
      </c>
      <c r="C39" s="880" t="s">
        <v>118</v>
      </c>
    </row>
    <row r="40" spans="1:3">
      <c r="A40" s="266">
        <v>36</v>
      </c>
      <c r="B40" s="878" t="s">
        <v>119</v>
      </c>
      <c r="C40" s="880" t="s">
        <v>120</v>
      </c>
    </row>
    <row r="41" spans="1:3">
      <c r="A41" s="266">
        <v>37</v>
      </c>
      <c r="B41" s="878" t="s">
        <v>121</v>
      </c>
      <c r="C41" s="880" t="s">
        <v>122</v>
      </c>
    </row>
    <row r="42" spans="1:3" ht="26.45">
      <c r="A42" s="266">
        <v>38</v>
      </c>
      <c r="B42" s="878" t="s">
        <v>123</v>
      </c>
      <c r="C42" s="880" t="s">
        <v>124</v>
      </c>
    </row>
    <row r="43" spans="1:3">
      <c r="A43" s="266">
        <v>39</v>
      </c>
      <c r="B43" s="878" t="s">
        <v>125</v>
      </c>
      <c r="C43" s="880" t="s">
        <v>126</v>
      </c>
    </row>
    <row r="44" spans="1:3" ht="39.6">
      <c r="A44" s="266">
        <v>40</v>
      </c>
      <c r="B44" s="878" t="s">
        <v>127</v>
      </c>
      <c r="C44" s="880" t="s">
        <v>128</v>
      </c>
    </row>
    <row r="45" spans="1:3">
      <c r="A45" s="266" t="s">
        <v>129</v>
      </c>
      <c r="B45" s="878" t="s">
        <v>130</v>
      </c>
      <c r="C45" s="880" t="s">
        <v>131</v>
      </c>
    </row>
    <row r="46" spans="1:3">
      <c r="A46" s="266">
        <v>45</v>
      </c>
      <c r="B46" s="878" t="s">
        <v>132</v>
      </c>
      <c r="C46" s="880" t="s">
        <v>133</v>
      </c>
    </row>
    <row r="47" spans="1:3" ht="39.6">
      <c r="A47" s="266">
        <v>46</v>
      </c>
      <c r="B47" s="878" t="s">
        <v>134</v>
      </c>
      <c r="C47" s="880" t="s">
        <v>135</v>
      </c>
    </row>
    <row r="48" spans="1:3" ht="39.6">
      <c r="A48" s="266">
        <v>47</v>
      </c>
      <c r="B48" s="878" t="s">
        <v>136</v>
      </c>
      <c r="C48" s="880" t="s">
        <v>137</v>
      </c>
    </row>
    <row r="49" spans="1:3">
      <c r="A49" s="266" t="s">
        <v>138</v>
      </c>
      <c r="B49" s="878" t="s">
        <v>139</v>
      </c>
      <c r="C49" s="880" t="s">
        <v>140</v>
      </c>
    </row>
    <row r="50" spans="1:3">
      <c r="A50" s="266">
        <v>52</v>
      </c>
      <c r="B50" s="878" t="s">
        <v>141</v>
      </c>
      <c r="C50" s="880" t="s">
        <v>142</v>
      </c>
    </row>
    <row r="51" spans="1:3">
      <c r="A51" s="266">
        <v>53</v>
      </c>
      <c r="B51" s="878" t="s">
        <v>143</v>
      </c>
      <c r="C51" s="880" t="s">
        <v>144</v>
      </c>
    </row>
    <row r="52" spans="1:3">
      <c r="A52" s="253"/>
      <c r="B52" s="86" t="s">
        <v>145</v>
      </c>
      <c r="C52" s="883"/>
    </row>
    <row r="53" spans="1:3" ht="26.45">
      <c r="A53" s="266">
        <v>54</v>
      </c>
      <c r="B53" s="878" t="s">
        <v>146</v>
      </c>
      <c r="C53" s="880" t="s">
        <v>147</v>
      </c>
    </row>
    <row r="54" spans="1:3">
      <c r="A54" s="266">
        <v>55</v>
      </c>
      <c r="B54" s="878" t="s">
        <v>148</v>
      </c>
      <c r="C54" s="880" t="s">
        <v>149</v>
      </c>
    </row>
    <row r="55" spans="1:3" ht="52.9">
      <c r="A55" s="266">
        <v>56</v>
      </c>
      <c r="B55" s="878" t="s">
        <v>150</v>
      </c>
      <c r="C55" s="880" t="s">
        <v>151</v>
      </c>
    </row>
    <row r="56" spans="1:3">
      <c r="A56" s="266">
        <v>57</v>
      </c>
      <c r="B56" s="878" t="s">
        <v>152</v>
      </c>
      <c r="C56" s="882" t="s">
        <v>153</v>
      </c>
    </row>
    <row r="57" spans="1:3">
      <c r="A57" s="266" t="s">
        <v>154</v>
      </c>
      <c r="B57" s="878" t="s">
        <v>155</v>
      </c>
      <c r="C57" s="882" t="s">
        <v>156</v>
      </c>
    </row>
    <row r="58" spans="1:3" ht="26.45">
      <c r="A58" s="266">
        <v>62</v>
      </c>
      <c r="B58" s="878" t="s">
        <v>157</v>
      </c>
      <c r="C58" s="880" t="s">
        <v>158</v>
      </c>
    </row>
    <row r="59" spans="1:3" ht="28.35" customHeight="1">
      <c r="A59" s="268">
        <v>63</v>
      </c>
      <c r="B59" s="875" t="s">
        <v>159</v>
      </c>
      <c r="C59" s="882" t="s">
        <v>160</v>
      </c>
    </row>
    <row r="60" spans="1:3" ht="28.35" customHeight="1">
      <c r="A60" s="268">
        <v>64</v>
      </c>
      <c r="B60" s="875" t="s">
        <v>161</v>
      </c>
      <c r="C60" s="882" t="s">
        <v>162</v>
      </c>
    </row>
    <row r="61" spans="1:3">
      <c r="A61" s="268">
        <v>65</v>
      </c>
      <c r="B61" s="875" t="s">
        <v>163</v>
      </c>
      <c r="C61" s="882" t="s">
        <v>164</v>
      </c>
    </row>
    <row r="62" spans="1:3" ht="27.6" customHeight="1" thickBot="1">
      <c r="A62" s="269">
        <v>66</v>
      </c>
      <c r="B62" s="884" t="s">
        <v>165</v>
      </c>
      <c r="C62" s="885" t="s">
        <v>166</v>
      </c>
    </row>
    <row r="63" spans="1:3" ht="40.15" thickBot="1">
      <c r="A63" s="85"/>
      <c r="B63" s="261" t="s">
        <v>167</v>
      </c>
      <c r="C63" s="523" t="s">
        <v>168</v>
      </c>
    </row>
    <row r="64" spans="1:3">
      <c r="A64" s="253"/>
      <c r="B64" s="86" t="s">
        <v>169</v>
      </c>
      <c r="C64" s="634" t="s">
        <v>170</v>
      </c>
    </row>
    <row r="65" spans="1:3" ht="26.45">
      <c r="A65" s="266">
        <v>1</v>
      </c>
      <c r="B65" s="141" t="s">
        <v>171</v>
      </c>
      <c r="C65" s="142" t="s">
        <v>172</v>
      </c>
    </row>
    <row r="66" spans="1:3" ht="52.9">
      <c r="A66" s="266">
        <v>2</v>
      </c>
      <c r="B66" s="141" t="s">
        <v>173</v>
      </c>
      <c r="C66" s="142" t="s">
        <v>174</v>
      </c>
    </row>
    <row r="67" spans="1:3" ht="26.45">
      <c r="A67" s="266">
        <v>3</v>
      </c>
      <c r="B67" s="141" t="s">
        <v>175</v>
      </c>
      <c r="C67" s="142" t="s">
        <v>176</v>
      </c>
    </row>
    <row r="68" spans="1:3" ht="26.45">
      <c r="A68" s="266">
        <v>4</v>
      </c>
      <c r="B68" s="141" t="s">
        <v>177</v>
      </c>
      <c r="C68" s="142" t="s">
        <v>178</v>
      </c>
    </row>
    <row r="69" spans="1:3">
      <c r="A69" s="266">
        <v>5</v>
      </c>
      <c r="B69" s="141" t="s">
        <v>179</v>
      </c>
      <c r="C69" s="142" t="s">
        <v>180</v>
      </c>
    </row>
    <row r="70" spans="1:3" ht="26.45">
      <c r="A70" s="266">
        <v>6</v>
      </c>
      <c r="B70" s="141" t="s">
        <v>181</v>
      </c>
      <c r="C70" s="142" t="s">
        <v>182</v>
      </c>
    </row>
    <row r="71" spans="1:3" ht="26.45">
      <c r="A71" s="266">
        <v>7</v>
      </c>
      <c r="B71" s="141" t="s">
        <v>183</v>
      </c>
      <c r="C71" s="879" t="s">
        <v>184</v>
      </c>
    </row>
    <row r="72" spans="1:3">
      <c r="A72" s="266">
        <v>8</v>
      </c>
      <c r="B72" s="141" t="s">
        <v>185</v>
      </c>
      <c r="C72" s="879" t="s">
        <v>186</v>
      </c>
    </row>
    <row r="73" spans="1:3" ht="26.45">
      <c r="A73" s="266">
        <v>9</v>
      </c>
      <c r="B73" s="141" t="s">
        <v>187</v>
      </c>
      <c r="C73" s="574" t="s">
        <v>188</v>
      </c>
    </row>
    <row r="74" spans="1:3">
      <c r="A74" s="266">
        <v>10</v>
      </c>
      <c r="B74" s="141" t="s">
        <v>189</v>
      </c>
      <c r="C74" s="142" t="s">
        <v>190</v>
      </c>
    </row>
    <row r="75" spans="1:3">
      <c r="A75" s="266">
        <v>11</v>
      </c>
      <c r="B75" s="141" t="s">
        <v>191</v>
      </c>
      <c r="C75" s="142" t="s">
        <v>192</v>
      </c>
    </row>
    <row r="76" spans="1:3">
      <c r="A76" s="270">
        <v>12</v>
      </c>
      <c r="B76" s="141" t="s">
        <v>193</v>
      </c>
      <c r="C76" s="142" t="s">
        <v>194</v>
      </c>
    </row>
    <row r="77" spans="1:3">
      <c r="A77" s="253"/>
      <c r="B77" s="87" t="s">
        <v>195</v>
      </c>
      <c r="C77" s="634" t="s">
        <v>196</v>
      </c>
    </row>
    <row r="78" spans="1:3">
      <c r="A78" s="263">
        <v>13</v>
      </c>
      <c r="B78" s="140" t="s">
        <v>197</v>
      </c>
      <c r="C78" s="142" t="s">
        <v>198</v>
      </c>
    </row>
    <row r="79" spans="1:3">
      <c r="A79" s="268">
        <v>14</v>
      </c>
      <c r="B79" s="140" t="s">
        <v>199</v>
      </c>
      <c r="C79" s="142" t="s">
        <v>198</v>
      </c>
    </row>
    <row r="80" spans="1:3">
      <c r="A80" s="268">
        <v>15</v>
      </c>
      <c r="B80" s="875" t="s">
        <v>200</v>
      </c>
      <c r="C80" s="142" t="s">
        <v>198</v>
      </c>
    </row>
    <row r="81" spans="1:3">
      <c r="A81" s="268">
        <v>16</v>
      </c>
      <c r="B81" s="875" t="s">
        <v>201</v>
      </c>
      <c r="C81" s="142" t="s">
        <v>198</v>
      </c>
    </row>
    <row r="82" spans="1:3">
      <c r="A82" s="268">
        <v>17</v>
      </c>
      <c r="B82" s="875" t="s">
        <v>202</v>
      </c>
      <c r="C82" s="142" t="s">
        <v>198</v>
      </c>
    </row>
    <row r="83" spans="1:3">
      <c r="A83" s="268">
        <v>18</v>
      </c>
      <c r="B83" s="875" t="s">
        <v>203</v>
      </c>
      <c r="C83" s="271" t="s">
        <v>198</v>
      </c>
    </row>
    <row r="84" spans="1:3">
      <c r="A84" s="268">
        <v>19</v>
      </c>
      <c r="B84" s="875" t="s">
        <v>204</v>
      </c>
      <c r="C84" s="271" t="s">
        <v>198</v>
      </c>
    </row>
    <row r="85" spans="1:3">
      <c r="A85" s="268">
        <v>20</v>
      </c>
      <c r="B85" s="875" t="s">
        <v>205</v>
      </c>
      <c r="C85" s="271" t="s">
        <v>198</v>
      </c>
    </row>
    <row r="86" spans="1:3">
      <c r="A86" s="268">
        <v>21</v>
      </c>
      <c r="B86" s="140" t="s">
        <v>206</v>
      </c>
      <c r="C86" s="271" t="s">
        <v>198</v>
      </c>
    </row>
    <row r="87" spans="1:3">
      <c r="A87" s="268">
        <v>22</v>
      </c>
      <c r="B87" s="140" t="s">
        <v>207</v>
      </c>
      <c r="C87" s="271" t="s">
        <v>208</v>
      </c>
    </row>
    <row r="88" spans="1:3">
      <c r="A88" s="268">
        <v>23</v>
      </c>
      <c r="B88" s="140" t="s">
        <v>209</v>
      </c>
      <c r="C88" s="271" t="s">
        <v>210</v>
      </c>
    </row>
    <row r="89" spans="1:3">
      <c r="A89" s="268">
        <v>24</v>
      </c>
      <c r="B89" s="140" t="s">
        <v>211</v>
      </c>
      <c r="C89" s="271" t="s">
        <v>208</v>
      </c>
    </row>
    <row r="90" spans="1:3">
      <c r="A90" s="268">
        <v>25</v>
      </c>
      <c r="B90" s="140" t="s">
        <v>212</v>
      </c>
      <c r="C90" s="271" t="s">
        <v>210</v>
      </c>
    </row>
    <row r="91" spans="1:3">
      <c r="A91" s="268">
        <v>26</v>
      </c>
      <c r="B91" s="875" t="s">
        <v>213</v>
      </c>
      <c r="C91" s="271" t="s">
        <v>198</v>
      </c>
    </row>
    <row r="92" spans="1:3">
      <c r="A92" s="268">
        <v>27</v>
      </c>
      <c r="B92" s="875" t="s">
        <v>214</v>
      </c>
      <c r="C92" s="271" t="s">
        <v>198</v>
      </c>
    </row>
    <row r="93" spans="1:3">
      <c r="A93" s="268">
        <v>28</v>
      </c>
      <c r="B93" s="875" t="s">
        <v>215</v>
      </c>
      <c r="C93" s="271" t="s">
        <v>198</v>
      </c>
    </row>
    <row r="94" spans="1:3">
      <c r="A94" s="268">
        <v>29</v>
      </c>
      <c r="B94" s="875" t="s">
        <v>216</v>
      </c>
      <c r="C94" s="271" t="s">
        <v>198</v>
      </c>
    </row>
    <row r="95" spans="1:3">
      <c r="A95" s="268">
        <v>30</v>
      </c>
      <c r="B95" s="875" t="s">
        <v>217</v>
      </c>
      <c r="C95" s="271" t="s">
        <v>198</v>
      </c>
    </row>
    <row r="96" spans="1:3">
      <c r="A96" s="268">
        <v>31</v>
      </c>
      <c r="B96" s="875" t="s">
        <v>218</v>
      </c>
      <c r="C96" s="271" t="s">
        <v>198</v>
      </c>
    </row>
    <row r="97" spans="1:3">
      <c r="A97" s="268">
        <v>32</v>
      </c>
      <c r="B97" s="875" t="s">
        <v>219</v>
      </c>
      <c r="C97" s="271" t="s">
        <v>198</v>
      </c>
    </row>
    <row r="98" spans="1:3">
      <c r="A98" s="268">
        <v>33</v>
      </c>
      <c r="B98" s="875" t="s">
        <v>220</v>
      </c>
      <c r="C98" s="271" t="s">
        <v>198</v>
      </c>
    </row>
    <row r="99" spans="1:3">
      <c r="A99" s="268">
        <v>34</v>
      </c>
      <c r="B99" s="875" t="s">
        <v>221</v>
      </c>
      <c r="C99" s="271" t="s">
        <v>198</v>
      </c>
    </row>
    <row r="100" spans="1:3">
      <c r="A100" s="268">
        <v>35</v>
      </c>
      <c r="B100" s="875" t="s">
        <v>222</v>
      </c>
      <c r="C100" s="271" t="s">
        <v>198</v>
      </c>
    </row>
    <row r="101" spans="1:3">
      <c r="A101" s="268">
        <v>36</v>
      </c>
      <c r="B101" s="875" t="s">
        <v>223</v>
      </c>
      <c r="C101" s="271" t="s">
        <v>198</v>
      </c>
    </row>
    <row r="102" spans="1:3">
      <c r="A102" s="268">
        <v>37</v>
      </c>
      <c r="B102" s="875" t="s">
        <v>224</v>
      </c>
      <c r="C102" s="271" t="s">
        <v>198</v>
      </c>
    </row>
    <row r="103" spans="1:3">
      <c r="A103" s="886">
        <v>38</v>
      </c>
      <c r="B103" s="875" t="s">
        <v>225</v>
      </c>
      <c r="C103" s="887" t="s">
        <v>198</v>
      </c>
    </row>
    <row r="104" spans="1:3">
      <c r="A104" s="886">
        <v>39</v>
      </c>
      <c r="B104" s="875" t="s">
        <v>226</v>
      </c>
      <c r="C104" s="887" t="s">
        <v>198</v>
      </c>
    </row>
    <row r="105" spans="1:3" ht="26.45">
      <c r="A105" s="886">
        <v>40</v>
      </c>
      <c r="B105" s="875" t="s">
        <v>227</v>
      </c>
      <c r="C105" s="887" t="s">
        <v>228</v>
      </c>
    </row>
    <row r="106" spans="1:3" ht="26.45">
      <c r="A106" s="886">
        <v>41</v>
      </c>
      <c r="B106" s="875" t="s">
        <v>229</v>
      </c>
      <c r="C106" s="887" t="s">
        <v>230</v>
      </c>
    </row>
    <row r="107" spans="1:3" ht="26.45">
      <c r="A107" s="886">
        <v>42</v>
      </c>
      <c r="B107" s="875" t="s">
        <v>231</v>
      </c>
      <c r="C107" s="142" t="s">
        <v>232</v>
      </c>
    </row>
    <row r="108" spans="1:3">
      <c r="A108" s="886">
        <v>43</v>
      </c>
      <c r="B108" s="875" t="s">
        <v>233</v>
      </c>
      <c r="C108" s="887" t="s">
        <v>234</v>
      </c>
    </row>
    <row r="109" spans="1:3">
      <c r="A109" s="253"/>
      <c r="B109" s="86" t="s">
        <v>235</v>
      </c>
      <c r="C109" s="883"/>
    </row>
    <row r="110" spans="1:3">
      <c r="A110" s="886">
        <v>44</v>
      </c>
      <c r="B110" s="140" t="s">
        <v>236</v>
      </c>
      <c r="C110" s="271" t="s">
        <v>237</v>
      </c>
    </row>
    <row r="111" spans="1:3" ht="26.45">
      <c r="A111" s="886">
        <v>45</v>
      </c>
      <c r="B111" s="140" t="s">
        <v>238</v>
      </c>
      <c r="C111" s="271" t="s">
        <v>239</v>
      </c>
    </row>
    <row r="112" spans="1:3" ht="26.45">
      <c r="A112" s="268">
        <v>46</v>
      </c>
      <c r="B112" s="140" t="s">
        <v>224</v>
      </c>
      <c r="C112" s="271" t="s">
        <v>240</v>
      </c>
    </row>
    <row r="113" spans="1:3" ht="39.6">
      <c r="A113" s="263">
        <v>47</v>
      </c>
      <c r="B113" s="140" t="s">
        <v>241</v>
      </c>
      <c r="C113" s="271" t="s">
        <v>242</v>
      </c>
    </row>
    <row r="114" spans="1:3">
      <c r="A114" s="253"/>
      <c r="B114" s="86" t="s">
        <v>243</v>
      </c>
      <c r="C114" s="883"/>
    </row>
    <row r="115" spans="1:3" ht="39.6">
      <c r="A115" s="886">
        <v>48</v>
      </c>
      <c r="B115" s="140" t="s">
        <v>244</v>
      </c>
      <c r="C115" s="271" t="s">
        <v>245</v>
      </c>
    </row>
    <row r="116" spans="1:3" ht="52.9">
      <c r="A116" s="886">
        <v>49</v>
      </c>
      <c r="B116" s="140" t="s">
        <v>246</v>
      </c>
      <c r="C116" s="271" t="s">
        <v>247</v>
      </c>
    </row>
    <row r="117" spans="1:3">
      <c r="A117" s="886">
        <v>50</v>
      </c>
      <c r="B117" s="140" t="s">
        <v>248</v>
      </c>
      <c r="C117" s="271" t="s">
        <v>249</v>
      </c>
    </row>
    <row r="118" spans="1:3" ht="52.9">
      <c r="A118" s="886">
        <v>51</v>
      </c>
      <c r="B118" s="140" t="s">
        <v>250</v>
      </c>
      <c r="C118" s="271" t="s">
        <v>251</v>
      </c>
    </row>
    <row r="119" spans="1:3" ht="39.6">
      <c r="A119" s="886">
        <v>52</v>
      </c>
      <c r="B119" s="140" t="s">
        <v>252</v>
      </c>
      <c r="C119" s="271" t="s">
        <v>253</v>
      </c>
    </row>
    <row r="120" spans="1:3" ht="52.9">
      <c r="A120" s="886">
        <v>53</v>
      </c>
      <c r="B120" s="140" t="s">
        <v>254</v>
      </c>
      <c r="C120" s="271" t="s">
        <v>255</v>
      </c>
    </row>
    <row r="121" spans="1:3" ht="26.45">
      <c r="A121" s="886">
        <v>54</v>
      </c>
      <c r="B121" s="140" t="s">
        <v>256</v>
      </c>
      <c r="C121" s="271" t="s">
        <v>257</v>
      </c>
    </row>
    <row r="122" spans="1:3">
      <c r="A122" s="886">
        <v>55</v>
      </c>
      <c r="B122" s="140" t="s">
        <v>258</v>
      </c>
      <c r="C122" s="271" t="s">
        <v>259</v>
      </c>
    </row>
    <row r="123" spans="1:3">
      <c r="A123" s="886">
        <v>56</v>
      </c>
      <c r="B123" s="140" t="s">
        <v>260</v>
      </c>
      <c r="C123" s="271" t="s">
        <v>261</v>
      </c>
    </row>
    <row r="124" spans="1:3">
      <c r="A124" s="886">
        <v>57</v>
      </c>
      <c r="B124" s="140" t="s">
        <v>262</v>
      </c>
      <c r="C124" s="271" t="s">
        <v>263</v>
      </c>
    </row>
    <row r="125" spans="1:3" ht="39.6">
      <c r="A125" s="886">
        <v>58</v>
      </c>
      <c r="B125" s="140" t="s">
        <v>264</v>
      </c>
      <c r="C125" s="271" t="s">
        <v>265</v>
      </c>
    </row>
    <row r="126" spans="1:3">
      <c r="A126" s="886">
        <v>59</v>
      </c>
      <c r="B126" s="140" t="s">
        <v>266</v>
      </c>
      <c r="C126" s="271" t="s">
        <v>267</v>
      </c>
    </row>
    <row r="127" spans="1:3" ht="39.6">
      <c r="A127" s="886">
        <v>60</v>
      </c>
      <c r="B127" s="140" t="s">
        <v>268</v>
      </c>
      <c r="C127" s="271" t="s">
        <v>269</v>
      </c>
    </row>
    <row r="128" spans="1:3">
      <c r="A128" s="886">
        <v>61</v>
      </c>
      <c r="B128" s="144" t="s">
        <v>270</v>
      </c>
      <c r="C128" s="651" t="s">
        <v>271</v>
      </c>
    </row>
    <row r="129" spans="1:3" ht="26.45">
      <c r="A129" s="886">
        <v>62</v>
      </c>
      <c r="B129" s="140" t="s">
        <v>272</v>
      </c>
      <c r="C129" s="271" t="s">
        <v>273</v>
      </c>
    </row>
    <row r="130" spans="1:3" ht="39.6">
      <c r="A130" s="886">
        <v>63</v>
      </c>
      <c r="B130" s="140" t="s">
        <v>274</v>
      </c>
      <c r="C130" s="271" t="s">
        <v>275</v>
      </c>
    </row>
    <row r="131" spans="1:3" ht="26.45">
      <c r="A131" s="886">
        <v>64</v>
      </c>
      <c r="B131" s="135" t="s">
        <v>276</v>
      </c>
      <c r="C131" s="271" t="s">
        <v>277</v>
      </c>
    </row>
    <row r="132" spans="1:3" ht="27" thickBot="1">
      <c r="A132" s="886">
        <v>65</v>
      </c>
      <c r="B132" s="140" t="s">
        <v>278</v>
      </c>
      <c r="C132" s="271" t="s">
        <v>279</v>
      </c>
    </row>
    <row r="133" spans="1:3" ht="40.15" thickBot="1">
      <c r="A133" s="85"/>
      <c r="B133" s="258" t="s">
        <v>280</v>
      </c>
      <c r="C133" s="259" t="s">
        <v>281</v>
      </c>
    </row>
    <row r="134" spans="1:3" ht="26.45">
      <c r="A134" s="531" t="s">
        <v>282</v>
      </c>
      <c r="B134" s="888" t="s">
        <v>283</v>
      </c>
      <c r="C134" s="889" t="s">
        <v>284</v>
      </c>
    </row>
    <row r="135" spans="1:3" ht="118.9">
      <c r="A135" s="532" t="s">
        <v>285</v>
      </c>
      <c r="B135" s="890" t="s">
        <v>286</v>
      </c>
      <c r="C135" s="882" t="s">
        <v>287</v>
      </c>
    </row>
    <row r="136" spans="1:3" ht="116.1" customHeight="1">
      <c r="A136" s="532" t="s">
        <v>288</v>
      </c>
      <c r="B136" s="890" t="s">
        <v>289</v>
      </c>
      <c r="C136" s="891" t="s">
        <v>290</v>
      </c>
    </row>
    <row r="137" spans="1:3" ht="26.45">
      <c r="A137" s="532" t="s">
        <v>291</v>
      </c>
      <c r="B137" s="890" t="s">
        <v>292</v>
      </c>
      <c r="C137" s="882" t="s">
        <v>293</v>
      </c>
    </row>
    <row r="138" spans="1:3" ht="52.9">
      <c r="A138" s="532" t="s">
        <v>294</v>
      </c>
      <c r="B138" s="890" t="s">
        <v>295</v>
      </c>
      <c r="C138" s="882" t="s">
        <v>296</v>
      </c>
    </row>
    <row r="139" spans="1:3" ht="52.9">
      <c r="A139" s="532" t="s">
        <v>297</v>
      </c>
      <c r="B139" s="890" t="s">
        <v>298</v>
      </c>
      <c r="C139" s="882" t="s">
        <v>299</v>
      </c>
    </row>
    <row r="140" spans="1:3" ht="52.9">
      <c r="A140" s="532" t="s">
        <v>300</v>
      </c>
      <c r="B140" s="890" t="s">
        <v>301</v>
      </c>
      <c r="C140" s="882" t="s">
        <v>302</v>
      </c>
    </row>
    <row r="141" spans="1:3" ht="26.45">
      <c r="A141" s="532" t="s">
        <v>303</v>
      </c>
      <c r="B141" s="890" t="s">
        <v>304</v>
      </c>
      <c r="C141" s="882" t="s">
        <v>305</v>
      </c>
    </row>
    <row r="142" spans="1:3" ht="39.6">
      <c r="A142" s="532" t="s">
        <v>306</v>
      </c>
      <c r="B142" s="890" t="s">
        <v>307</v>
      </c>
      <c r="C142" s="882" t="s">
        <v>308</v>
      </c>
    </row>
    <row r="143" spans="1:3" ht="39.6">
      <c r="A143" s="532" t="s">
        <v>309</v>
      </c>
      <c r="B143" s="890" t="s">
        <v>310</v>
      </c>
      <c r="C143" s="882" t="s">
        <v>311</v>
      </c>
    </row>
    <row r="144" spans="1:3">
      <c r="A144" s="532" t="s">
        <v>312</v>
      </c>
      <c r="B144" s="890" t="s">
        <v>313</v>
      </c>
      <c r="C144" s="882" t="s">
        <v>314</v>
      </c>
    </row>
    <row r="145" spans="1:3" ht="39.6">
      <c r="A145" s="532" t="s">
        <v>315</v>
      </c>
      <c r="B145" s="890" t="s">
        <v>316</v>
      </c>
      <c r="C145" s="882" t="s">
        <v>317</v>
      </c>
    </row>
    <row r="146" spans="1:3">
      <c r="A146" s="532" t="s">
        <v>318</v>
      </c>
      <c r="B146" s="890" t="s">
        <v>319</v>
      </c>
      <c r="C146" s="882" t="s">
        <v>320</v>
      </c>
    </row>
    <row r="147" spans="1:3" ht="26.45">
      <c r="A147" s="532" t="s">
        <v>321</v>
      </c>
      <c r="B147" s="890" t="s">
        <v>322</v>
      </c>
      <c r="C147" s="882" t="s">
        <v>323</v>
      </c>
    </row>
    <row r="148" spans="1:3" ht="26.45">
      <c r="A148" s="532" t="s">
        <v>324</v>
      </c>
      <c r="B148" s="890" t="s">
        <v>325</v>
      </c>
      <c r="C148" s="882" t="s">
        <v>326</v>
      </c>
    </row>
    <row r="149" spans="1:3" ht="39.6">
      <c r="A149" s="532" t="s">
        <v>327</v>
      </c>
      <c r="B149" s="890" t="s">
        <v>328</v>
      </c>
      <c r="C149" s="882" t="s">
        <v>329</v>
      </c>
    </row>
    <row r="150" spans="1:3" ht="26.45">
      <c r="A150" s="532" t="s">
        <v>330</v>
      </c>
      <c r="B150" s="890" t="s">
        <v>331</v>
      </c>
      <c r="C150" s="882" t="s">
        <v>332</v>
      </c>
    </row>
    <row r="151" spans="1:3" ht="40.15" thickBot="1">
      <c r="A151" s="532" t="s">
        <v>333</v>
      </c>
      <c r="B151" s="892" t="s">
        <v>334</v>
      </c>
      <c r="C151" s="885" t="s">
        <v>335</v>
      </c>
    </row>
    <row r="152" spans="1:3" ht="13.9" thickBot="1">
      <c r="A152" s="85"/>
      <c r="B152" s="258" t="s">
        <v>336</v>
      </c>
      <c r="C152" s="259" t="s">
        <v>337</v>
      </c>
    </row>
    <row r="153" spans="1:3" ht="28.15" customHeight="1" thickBot="1">
      <c r="A153" s="85"/>
      <c r="B153" s="258" t="s">
        <v>338</v>
      </c>
      <c r="C153" s="633" t="s">
        <v>339</v>
      </c>
    </row>
    <row r="154" spans="1:3">
      <c r="A154" s="253"/>
      <c r="B154" s="86" t="s">
        <v>340</v>
      </c>
      <c r="C154" s="893"/>
    </row>
    <row r="155" spans="1:3">
      <c r="A155" s="266"/>
      <c r="B155" s="141" t="s">
        <v>341</v>
      </c>
      <c r="C155" s="142" t="s">
        <v>342</v>
      </c>
    </row>
    <row r="156" spans="1:3" ht="52.9">
      <c r="A156" s="266"/>
      <c r="B156" s="141" t="s">
        <v>343</v>
      </c>
      <c r="C156" s="142" t="s">
        <v>344</v>
      </c>
    </row>
    <row r="157" spans="1:3">
      <c r="A157" s="266"/>
      <c r="B157" s="141" t="s">
        <v>345</v>
      </c>
      <c r="C157" s="142" t="s">
        <v>346</v>
      </c>
    </row>
    <row r="158" spans="1:3">
      <c r="A158" s="266"/>
      <c r="B158" s="141" t="s">
        <v>347</v>
      </c>
      <c r="C158" s="142" t="s">
        <v>348</v>
      </c>
    </row>
    <row r="159" spans="1:3" ht="52.9">
      <c r="A159" s="266"/>
      <c r="B159" s="141" t="s">
        <v>349</v>
      </c>
      <c r="C159" s="142" t="s">
        <v>350</v>
      </c>
    </row>
    <row r="160" spans="1:3">
      <c r="A160" s="266"/>
      <c r="B160" s="141" t="s">
        <v>351</v>
      </c>
      <c r="C160" s="142" t="s">
        <v>352</v>
      </c>
    </row>
    <row r="161" spans="1:3">
      <c r="A161" s="266"/>
      <c r="B161" s="141" t="s">
        <v>353</v>
      </c>
      <c r="C161" s="142" t="s">
        <v>354</v>
      </c>
    </row>
    <row r="162" spans="1:3" ht="39.6">
      <c r="A162" s="266"/>
      <c r="B162" s="141" t="s">
        <v>355</v>
      </c>
      <c r="C162" s="142" t="s">
        <v>356</v>
      </c>
    </row>
    <row r="163" spans="1:3" ht="26.45">
      <c r="A163" s="266"/>
      <c r="B163" s="141" t="s">
        <v>357</v>
      </c>
      <c r="C163" s="142" t="s">
        <v>358</v>
      </c>
    </row>
    <row r="164" spans="1:3">
      <c r="A164" s="266"/>
      <c r="B164" s="141" t="s">
        <v>359</v>
      </c>
      <c r="C164" s="142" t="s">
        <v>360</v>
      </c>
    </row>
    <row r="165" spans="1:3" ht="26.45">
      <c r="A165" s="266"/>
      <c r="B165" s="141" t="s">
        <v>361</v>
      </c>
      <c r="C165" s="142" t="s">
        <v>362</v>
      </c>
    </row>
    <row r="166" spans="1:3" ht="39.6">
      <c r="A166" s="266"/>
      <c r="B166" s="141" t="s">
        <v>363</v>
      </c>
      <c r="C166" s="142" t="s">
        <v>364</v>
      </c>
    </row>
    <row r="167" spans="1:3">
      <c r="A167" s="266"/>
      <c r="B167" s="141" t="s">
        <v>365</v>
      </c>
      <c r="C167" s="142" t="s">
        <v>366</v>
      </c>
    </row>
    <row r="168" spans="1:3">
      <c r="A168" s="253"/>
      <c r="B168" s="87" t="s">
        <v>367</v>
      </c>
      <c r="C168" s="894"/>
    </row>
    <row r="169" spans="1:3">
      <c r="A169" s="265">
        <v>1</v>
      </c>
      <c r="B169" s="141" t="s">
        <v>197</v>
      </c>
      <c r="C169" s="142" t="s">
        <v>198</v>
      </c>
    </row>
    <row r="170" spans="1:3">
      <c r="A170" s="266">
        <v>2</v>
      </c>
      <c r="B170" s="141" t="s">
        <v>199</v>
      </c>
      <c r="C170" s="142" t="s">
        <v>198</v>
      </c>
    </row>
    <row r="171" spans="1:3">
      <c r="A171" s="266">
        <v>3</v>
      </c>
      <c r="B171" s="878" t="s">
        <v>200</v>
      </c>
      <c r="C171" s="142" t="s">
        <v>198</v>
      </c>
    </row>
    <row r="172" spans="1:3">
      <c r="A172" s="265">
        <v>4</v>
      </c>
      <c r="B172" s="878" t="s">
        <v>201</v>
      </c>
      <c r="C172" s="142" t="s">
        <v>198</v>
      </c>
    </row>
    <row r="173" spans="1:3">
      <c r="A173" s="266">
        <v>5</v>
      </c>
      <c r="B173" s="878" t="s">
        <v>202</v>
      </c>
      <c r="C173" s="142" t="s">
        <v>198</v>
      </c>
    </row>
    <row r="174" spans="1:3">
      <c r="A174" s="266">
        <v>6</v>
      </c>
      <c r="B174" s="878" t="s">
        <v>203</v>
      </c>
      <c r="C174" s="142" t="s">
        <v>198</v>
      </c>
    </row>
    <row r="175" spans="1:3">
      <c r="A175" s="265">
        <v>7</v>
      </c>
      <c r="B175" s="878" t="s">
        <v>204</v>
      </c>
      <c r="C175" s="142" t="s">
        <v>198</v>
      </c>
    </row>
    <row r="176" spans="1:3">
      <c r="A176" s="266">
        <v>8</v>
      </c>
      <c r="B176" s="878" t="s">
        <v>205</v>
      </c>
      <c r="C176" s="142" t="s">
        <v>198</v>
      </c>
    </row>
    <row r="177" spans="1:3">
      <c r="A177" s="268">
        <v>9</v>
      </c>
      <c r="B177" s="140" t="s">
        <v>206</v>
      </c>
      <c r="C177" s="271" t="s">
        <v>198</v>
      </c>
    </row>
    <row r="178" spans="1:3">
      <c r="A178" s="268" t="s">
        <v>368</v>
      </c>
      <c r="B178" s="140" t="s">
        <v>207</v>
      </c>
      <c r="C178" s="271" t="s">
        <v>198</v>
      </c>
    </row>
    <row r="179" spans="1:3">
      <c r="A179" s="268" t="s">
        <v>369</v>
      </c>
      <c r="B179" s="140" t="s">
        <v>209</v>
      </c>
      <c r="C179" s="271" t="s">
        <v>198</v>
      </c>
    </row>
    <row r="180" spans="1:3">
      <c r="A180" s="268" t="s">
        <v>370</v>
      </c>
      <c r="B180" s="140" t="s">
        <v>211</v>
      </c>
      <c r="C180" s="271" t="s">
        <v>198</v>
      </c>
    </row>
    <row r="181" spans="1:3">
      <c r="A181" s="263" t="s">
        <v>371</v>
      </c>
      <c r="B181" s="140" t="s">
        <v>212</v>
      </c>
      <c r="C181" s="271" t="s">
        <v>198</v>
      </c>
    </row>
    <row r="182" spans="1:3">
      <c r="A182" s="263">
        <v>12</v>
      </c>
      <c r="B182" s="141" t="s">
        <v>213</v>
      </c>
      <c r="C182" s="142" t="s">
        <v>198</v>
      </c>
    </row>
    <row r="183" spans="1:3">
      <c r="A183" s="268">
        <v>13</v>
      </c>
      <c r="B183" s="878" t="s">
        <v>214</v>
      </c>
      <c r="C183" s="142" t="s">
        <v>198</v>
      </c>
    </row>
    <row r="184" spans="1:3">
      <c r="A184" s="268">
        <v>14</v>
      </c>
      <c r="B184" s="875" t="s">
        <v>215</v>
      </c>
      <c r="C184" s="271" t="s">
        <v>198</v>
      </c>
    </row>
    <row r="185" spans="1:3">
      <c r="A185" s="263">
        <v>15</v>
      </c>
      <c r="B185" s="875" t="s">
        <v>216</v>
      </c>
      <c r="C185" s="271" t="s">
        <v>198</v>
      </c>
    </row>
    <row r="186" spans="1:3">
      <c r="A186" s="263">
        <v>16</v>
      </c>
      <c r="B186" s="875" t="s">
        <v>217</v>
      </c>
      <c r="C186" s="271" t="s">
        <v>198</v>
      </c>
    </row>
    <row r="187" spans="1:3">
      <c r="A187" s="263">
        <v>17</v>
      </c>
      <c r="B187" s="875" t="s">
        <v>218</v>
      </c>
      <c r="C187" s="271" t="s">
        <v>198</v>
      </c>
    </row>
    <row r="188" spans="1:3">
      <c r="A188" s="263">
        <v>18</v>
      </c>
      <c r="B188" s="875" t="s">
        <v>219</v>
      </c>
      <c r="C188" s="271" t="s">
        <v>198</v>
      </c>
    </row>
    <row r="189" spans="1:3">
      <c r="A189" s="263">
        <v>19</v>
      </c>
      <c r="B189" s="875" t="s">
        <v>220</v>
      </c>
      <c r="C189" s="271" t="s">
        <v>198</v>
      </c>
    </row>
    <row r="190" spans="1:3">
      <c r="A190" s="268">
        <v>20</v>
      </c>
      <c r="B190" s="878" t="s">
        <v>221</v>
      </c>
      <c r="C190" s="142" t="s">
        <v>198</v>
      </c>
    </row>
    <row r="191" spans="1:3">
      <c r="A191" s="268">
        <v>21</v>
      </c>
      <c r="B191" s="878" t="s">
        <v>222</v>
      </c>
      <c r="C191" s="142" t="s">
        <v>198</v>
      </c>
    </row>
    <row r="192" spans="1:3">
      <c r="A192" s="263">
        <v>22</v>
      </c>
      <c r="B192" s="878" t="s">
        <v>223</v>
      </c>
      <c r="C192" s="142" t="s">
        <v>198</v>
      </c>
    </row>
    <row r="193" spans="1:3">
      <c r="A193" s="268">
        <v>23</v>
      </c>
      <c r="B193" s="878" t="s">
        <v>224</v>
      </c>
      <c r="C193" s="142" t="s">
        <v>198</v>
      </c>
    </row>
    <row r="194" spans="1:3">
      <c r="A194" s="268">
        <v>24</v>
      </c>
      <c r="B194" s="141" t="s">
        <v>372</v>
      </c>
      <c r="C194" s="142" t="s">
        <v>198</v>
      </c>
    </row>
    <row r="195" spans="1:3">
      <c r="A195" s="268">
        <v>25</v>
      </c>
      <c r="B195" s="878" t="s">
        <v>226</v>
      </c>
      <c r="C195" s="142" t="s">
        <v>198</v>
      </c>
    </row>
    <row r="196" spans="1:3">
      <c r="A196" s="268">
        <v>26</v>
      </c>
      <c r="B196" s="141" t="s">
        <v>54</v>
      </c>
      <c r="C196" s="271" t="s">
        <v>373</v>
      </c>
    </row>
    <row r="197" spans="1:3">
      <c r="A197" s="268">
        <v>27</v>
      </c>
      <c r="B197" s="141" t="s">
        <v>204</v>
      </c>
      <c r="C197" s="142" t="s">
        <v>374</v>
      </c>
    </row>
    <row r="198" spans="1:3" ht="26.45">
      <c r="A198" s="268">
        <v>28</v>
      </c>
      <c r="B198" s="141" t="s">
        <v>375</v>
      </c>
      <c r="C198" s="142" t="s">
        <v>376</v>
      </c>
    </row>
    <row r="199" spans="1:3">
      <c r="A199" s="263">
        <v>29</v>
      </c>
      <c r="B199" s="878" t="s">
        <v>377</v>
      </c>
      <c r="C199" s="142" t="s">
        <v>378</v>
      </c>
    </row>
    <row r="200" spans="1:3" ht="28.35" customHeight="1">
      <c r="A200" s="268">
        <v>30</v>
      </c>
      <c r="B200" s="878" t="s">
        <v>379</v>
      </c>
      <c r="C200" s="142" t="s">
        <v>380</v>
      </c>
    </row>
    <row r="201" spans="1:3">
      <c r="A201" s="263">
        <v>31</v>
      </c>
      <c r="B201" s="878" t="s">
        <v>381</v>
      </c>
      <c r="C201" s="142" t="s">
        <v>382</v>
      </c>
    </row>
    <row r="202" spans="1:3" ht="13.9" thickBot="1">
      <c r="A202" s="269">
        <v>32</v>
      </c>
      <c r="B202" s="895" t="s">
        <v>383</v>
      </c>
      <c r="C202" s="272" t="s">
        <v>384</v>
      </c>
    </row>
    <row r="203" spans="1:3" ht="225" thickBot="1">
      <c r="A203" s="85"/>
      <c r="B203" s="258" t="s">
        <v>385</v>
      </c>
      <c r="C203" s="259" t="s">
        <v>386</v>
      </c>
    </row>
    <row r="204" spans="1:3" ht="27" thickBot="1">
      <c r="A204" s="85"/>
      <c r="B204" s="258" t="s">
        <v>387</v>
      </c>
      <c r="C204" s="259" t="s">
        <v>388</v>
      </c>
    </row>
    <row r="205" spans="1:3" ht="27" thickBot="1">
      <c r="A205" s="85"/>
      <c r="B205" s="258" t="s">
        <v>389</v>
      </c>
      <c r="C205" s="259" t="s">
        <v>390</v>
      </c>
    </row>
    <row r="206" spans="1:3" ht="75" customHeight="1" thickBot="1">
      <c r="A206" s="466"/>
      <c r="B206" s="467" t="s">
        <v>391</v>
      </c>
      <c r="C206" s="469" t="s">
        <v>392</v>
      </c>
    </row>
    <row r="207" spans="1:3" ht="53.45" thickBot="1">
      <c r="A207" s="466"/>
      <c r="B207" s="468" t="s">
        <v>393</v>
      </c>
      <c r="C207" s="470" t="s">
        <v>394</v>
      </c>
    </row>
    <row r="208" spans="1:3" ht="40.15" thickBot="1">
      <c r="A208" s="85"/>
      <c r="B208" s="258" t="s">
        <v>395</v>
      </c>
      <c r="C208" s="259" t="s">
        <v>396</v>
      </c>
    </row>
    <row r="209" spans="1:3" ht="13.9" thickBot="1">
      <c r="A209" s="85"/>
      <c r="B209" s="258" t="s">
        <v>397</v>
      </c>
      <c r="C209" s="259" t="s">
        <v>398</v>
      </c>
    </row>
    <row r="210" spans="1:3">
      <c r="A210" s="896"/>
      <c r="B210" s="896"/>
      <c r="C210" s="897"/>
    </row>
    <row r="211" spans="1:3">
      <c r="A211" s="896"/>
      <c r="B211" s="896"/>
      <c r="C211" s="897"/>
    </row>
    <row r="212" spans="1:3">
      <c r="A212" s="896"/>
      <c r="B212" s="896"/>
      <c r="C212" s="897"/>
    </row>
    <row r="213" spans="1:3">
      <c r="A213" s="896"/>
      <c r="B213" s="896"/>
      <c r="C213" s="897"/>
    </row>
    <row r="214" spans="1:3">
      <c r="A214" s="896"/>
      <c r="B214" s="896"/>
      <c r="C214" s="897"/>
    </row>
  </sheetData>
  <sheetProtection algorithmName="SHA-512" hashValue="w6ckiHNaXWMtWC5XxUVQoyH5qSiXgSoi5lNWUGpPJ3I2Ampzt75xzUV344CW2J9V9erocqlX8J0xy9HXt6ue6w==" saltValue="4FnNeTVOX+IxqVQl0oVcQw==" spinCount="100000" sheet="1" formatColumns="0" formatRow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4"/>
  <sheetViews>
    <sheetView zoomScale="60" zoomScaleNormal="60" workbookViewId="0"/>
  </sheetViews>
  <sheetFormatPr defaultColWidth="9.42578125" defaultRowHeight="13.15"/>
  <cols>
    <col min="1" max="1" width="3.42578125" customWidth="1"/>
    <col min="2" max="2" width="21.42578125" style="136" customWidth="1"/>
    <col min="3" max="3" width="14.42578125" style="136" customWidth="1"/>
    <col min="4" max="4" width="14.42578125" style="136" bestFit="1" customWidth="1"/>
    <col min="5" max="5" width="116.42578125" style="136" customWidth="1"/>
    <col min="6" max="16384" width="9.42578125" style="136"/>
  </cols>
  <sheetData>
    <row r="1" spans="2:5" ht="16.149999999999999" thickBot="1">
      <c r="B1" s="17" t="s">
        <v>399</v>
      </c>
      <c r="C1" s="14"/>
    </row>
    <row r="2" spans="2:5">
      <c r="B2" s="228" t="s">
        <v>400</v>
      </c>
      <c r="C2" s="898" t="s">
        <v>401</v>
      </c>
      <c r="D2" s="898" t="s">
        <v>402</v>
      </c>
      <c r="E2" s="899" t="s">
        <v>403</v>
      </c>
    </row>
    <row r="3" spans="2:5" ht="12.75" customHeight="1">
      <c r="B3" s="730" t="s">
        <v>404</v>
      </c>
      <c r="C3" s="721" t="s">
        <v>405</v>
      </c>
      <c r="D3" s="721" t="s">
        <v>406</v>
      </c>
      <c r="E3" s="731" t="s">
        <v>407</v>
      </c>
    </row>
    <row r="4" spans="2:5">
      <c r="B4" s="717"/>
      <c r="C4" s="720"/>
      <c r="D4" s="720"/>
      <c r="E4" s="728"/>
    </row>
    <row r="5" spans="2:5" ht="12.75" customHeight="1">
      <c r="B5" s="717"/>
      <c r="C5" s="723" t="s">
        <v>405</v>
      </c>
      <c r="D5" s="723" t="s">
        <v>408</v>
      </c>
      <c r="E5" s="728"/>
    </row>
    <row r="6" spans="2:5" ht="13.9" thickBot="1">
      <c r="B6" s="718"/>
      <c r="C6" s="724"/>
      <c r="D6" s="724"/>
      <c r="E6" s="729"/>
    </row>
    <row r="7" spans="2:5" ht="12.75" customHeight="1">
      <c r="B7" s="719" t="s">
        <v>409</v>
      </c>
      <c r="C7" s="900" t="s">
        <v>405</v>
      </c>
      <c r="D7" s="721" t="s">
        <v>406</v>
      </c>
      <c r="E7" s="901" t="s">
        <v>410</v>
      </c>
    </row>
    <row r="8" spans="2:5" ht="12.6" customHeight="1">
      <c r="B8" s="717"/>
      <c r="C8" s="720"/>
      <c r="D8" s="720"/>
      <c r="E8" s="728"/>
    </row>
    <row r="9" spans="2:5" ht="12.75" customHeight="1">
      <c r="B9" s="717"/>
      <c r="C9" s="723" t="s">
        <v>405</v>
      </c>
      <c r="D9" s="723" t="s">
        <v>408</v>
      </c>
      <c r="E9" s="728"/>
    </row>
    <row r="10" spans="2:5" ht="13.15" customHeight="1" thickBot="1">
      <c r="B10" s="718"/>
      <c r="C10" s="724"/>
      <c r="D10" s="724"/>
      <c r="E10" s="729"/>
    </row>
    <row r="11" spans="2:5" ht="12.75" customHeight="1">
      <c r="B11" s="719" t="s">
        <v>411</v>
      </c>
      <c r="C11" s="902" t="s">
        <v>412</v>
      </c>
      <c r="D11" s="721" t="s">
        <v>406</v>
      </c>
      <c r="E11" s="903" t="s">
        <v>413</v>
      </c>
    </row>
    <row r="12" spans="2:5">
      <c r="B12" s="717"/>
      <c r="C12" s="702" t="s">
        <v>414</v>
      </c>
      <c r="D12" s="720"/>
      <c r="E12" s="722"/>
    </row>
    <row r="13" spans="2:5" ht="12.75" customHeight="1">
      <c r="B13" s="717"/>
      <c r="C13" s="703" t="s">
        <v>415</v>
      </c>
      <c r="D13" s="723" t="s">
        <v>408</v>
      </c>
      <c r="E13" s="727" t="s">
        <v>416</v>
      </c>
    </row>
    <row r="14" spans="2:5" ht="13.9" thickBot="1">
      <c r="B14" s="717"/>
      <c r="C14" s="703" t="s">
        <v>417</v>
      </c>
      <c r="D14" s="724"/>
      <c r="E14" s="722"/>
    </row>
    <row r="15" spans="2:5" ht="12.75" customHeight="1">
      <c r="B15" s="719" t="s">
        <v>418</v>
      </c>
      <c r="C15" s="902" t="s">
        <v>419</v>
      </c>
      <c r="D15" s="721" t="s">
        <v>406</v>
      </c>
      <c r="E15" s="903" t="s">
        <v>420</v>
      </c>
    </row>
    <row r="16" spans="2:5">
      <c r="B16" s="717"/>
      <c r="C16" s="702" t="s">
        <v>421</v>
      </c>
      <c r="D16" s="720"/>
      <c r="E16" s="722"/>
    </row>
    <row r="17" spans="2:5" ht="12.75" customHeight="1">
      <c r="B17" s="717"/>
      <c r="C17" s="703" t="s">
        <v>422</v>
      </c>
      <c r="D17" s="723" t="s">
        <v>408</v>
      </c>
      <c r="E17" s="727" t="s">
        <v>423</v>
      </c>
    </row>
    <row r="18" spans="2:5" ht="13.9" thickBot="1">
      <c r="B18" s="717"/>
      <c r="C18" s="703" t="s">
        <v>424</v>
      </c>
      <c r="D18" s="724"/>
      <c r="E18" s="722"/>
    </row>
    <row r="19" spans="2:5" ht="12.75" customHeight="1">
      <c r="B19" s="719" t="s">
        <v>425</v>
      </c>
      <c r="C19" s="900" t="s">
        <v>426</v>
      </c>
      <c r="D19" s="721" t="s">
        <v>406</v>
      </c>
      <c r="E19" s="903" t="s">
        <v>427</v>
      </c>
    </row>
    <row r="20" spans="2:5">
      <c r="B20" s="717"/>
      <c r="C20" s="720"/>
      <c r="D20" s="720"/>
      <c r="E20" s="722"/>
    </row>
    <row r="21" spans="2:5">
      <c r="B21" s="717"/>
      <c r="C21" s="723" t="s">
        <v>428</v>
      </c>
      <c r="D21" s="723" t="s">
        <v>408</v>
      </c>
      <c r="E21" s="725" t="s">
        <v>429</v>
      </c>
    </row>
    <row r="22" spans="2:5" ht="13.9" thickBot="1">
      <c r="B22" s="718"/>
      <c r="C22" s="724"/>
      <c r="D22" s="724"/>
      <c r="E22" s="726"/>
    </row>
    <row r="23" spans="2:5" ht="12.75" customHeight="1">
      <c r="B23" s="717" t="s">
        <v>430</v>
      </c>
      <c r="C23" s="173" t="s">
        <v>431</v>
      </c>
      <c r="D23" s="173" t="s">
        <v>406</v>
      </c>
      <c r="E23" s="903" t="s">
        <v>432</v>
      </c>
    </row>
    <row r="24" spans="2:5" ht="13.9" thickBot="1">
      <c r="B24" s="718"/>
      <c r="C24" s="704" t="s">
        <v>433</v>
      </c>
      <c r="D24" s="704" t="s">
        <v>408</v>
      </c>
      <c r="E24" s="904"/>
    </row>
  </sheetData>
  <sheetProtection algorithmName="SHA-512" hashValue="GcwTuklfUwhD3tDBhMD4vdza08SEZF63RejyCg2YWcz6AbNnVtqUiYtOKS+SEkfp8gLOVF0NIbFjdOF+Z3jqYQ==" saltValue="Ei6lLQqTuU5i+lFoLVdZSQ==" spinCount="100000" sheet="1" objects="1" scenarios="1" formatColumns="0" formatRows="0"/>
  <mergeCells count="31">
    <mergeCell ref="B3:B6"/>
    <mergeCell ref="C3:C4"/>
    <mergeCell ref="D3:D4"/>
    <mergeCell ref="E3:E6"/>
    <mergeCell ref="C5:C6"/>
    <mergeCell ref="D5:D6"/>
    <mergeCell ref="B7:B10"/>
    <mergeCell ref="C7:C8"/>
    <mergeCell ref="D7:D8"/>
    <mergeCell ref="E7:E10"/>
    <mergeCell ref="C9:C10"/>
    <mergeCell ref="D9:D10"/>
    <mergeCell ref="B15:B18"/>
    <mergeCell ref="D15:D16"/>
    <mergeCell ref="E15:E16"/>
    <mergeCell ref="D17:D18"/>
    <mergeCell ref="E17:E18"/>
    <mergeCell ref="B11:B14"/>
    <mergeCell ref="D11:D12"/>
    <mergeCell ref="E11:E12"/>
    <mergeCell ref="D13:D14"/>
    <mergeCell ref="E13:E14"/>
    <mergeCell ref="B23:B24"/>
    <mergeCell ref="E23:E24"/>
    <mergeCell ref="B19:B22"/>
    <mergeCell ref="C19:C20"/>
    <mergeCell ref="D19:D20"/>
    <mergeCell ref="E19:E20"/>
    <mergeCell ref="C21:C22"/>
    <mergeCell ref="D21:D22"/>
    <mergeCell ref="E21:E22"/>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87"/>
  <sheetViews>
    <sheetView zoomScale="60" zoomScaleNormal="60" workbookViewId="0"/>
  </sheetViews>
  <sheetFormatPr defaultColWidth="9.42578125" defaultRowHeight="13.15"/>
  <cols>
    <col min="1" max="1" width="12.5703125" style="123" customWidth="1"/>
    <col min="2" max="2" width="39.42578125" style="95" bestFit="1" customWidth="1"/>
    <col min="3" max="3" width="104.5703125" style="95" customWidth="1"/>
    <col min="4" max="16384" width="9.42578125" style="95"/>
  </cols>
  <sheetData>
    <row r="1" spans="1:3" ht="15.6">
      <c r="A1" s="226" t="s">
        <v>367</v>
      </c>
      <c r="B1" s="136"/>
    </row>
    <row r="2" spans="1:3">
      <c r="A2" s="227"/>
      <c r="B2" s="124"/>
      <c r="C2" s="124"/>
    </row>
    <row r="3" spans="1:3" s="115" customFormat="1">
      <c r="A3" s="125" t="s">
        <v>434</v>
      </c>
      <c r="B3" s="126" t="s">
        <v>435</v>
      </c>
      <c r="C3" s="130" t="s">
        <v>436</v>
      </c>
    </row>
    <row r="4" spans="1:3" s="116" customFormat="1">
      <c r="A4" s="127" t="s">
        <v>437</v>
      </c>
      <c r="B4" s="128"/>
      <c r="C4" s="131"/>
    </row>
    <row r="5" spans="1:3">
      <c r="A5" s="170"/>
      <c r="B5" s="117" t="s">
        <v>438</v>
      </c>
      <c r="C5" s="117"/>
    </row>
    <row r="6" spans="1:3">
      <c r="A6" s="171"/>
      <c r="B6" s="118" t="s">
        <v>439</v>
      </c>
      <c r="C6" s="118"/>
    </row>
    <row r="7" spans="1:3" ht="52.9">
      <c r="A7" s="119">
        <v>1</v>
      </c>
      <c r="B7" s="120" t="s">
        <v>197</v>
      </c>
      <c r="C7" s="129" t="s">
        <v>440</v>
      </c>
    </row>
    <row r="8" spans="1:3">
      <c r="A8" s="121">
        <v>2</v>
      </c>
      <c r="B8" s="122" t="s">
        <v>199</v>
      </c>
      <c r="C8" s="129" t="s">
        <v>441</v>
      </c>
    </row>
    <row r="9" spans="1:3" ht="39.6">
      <c r="A9" s="119">
        <v>3</v>
      </c>
      <c r="B9" s="120" t="s">
        <v>200</v>
      </c>
      <c r="C9" s="129" t="s">
        <v>442</v>
      </c>
    </row>
    <row r="10" spans="1:3" ht="26.45">
      <c r="A10" s="121">
        <v>4</v>
      </c>
      <c r="B10" s="122" t="s">
        <v>201</v>
      </c>
      <c r="C10" s="129" t="s">
        <v>443</v>
      </c>
    </row>
    <row r="11" spans="1:3" ht="105.6">
      <c r="A11" s="119">
        <v>5</v>
      </c>
      <c r="B11" s="120" t="s">
        <v>202</v>
      </c>
      <c r="C11" s="129" t="s">
        <v>444</v>
      </c>
    </row>
    <row r="12" spans="1:3" ht="26.45">
      <c r="A12" s="119">
        <v>6</v>
      </c>
      <c r="B12" s="120" t="s">
        <v>203</v>
      </c>
      <c r="C12" s="129" t="s">
        <v>445</v>
      </c>
    </row>
    <row r="13" spans="1:3" ht="92.45">
      <c r="A13" s="121">
        <v>7</v>
      </c>
      <c r="B13" s="122" t="s">
        <v>204</v>
      </c>
      <c r="C13" s="129" t="s">
        <v>446</v>
      </c>
    </row>
    <row r="14" spans="1:3" ht="26.45">
      <c r="A14" s="119">
        <v>8</v>
      </c>
      <c r="B14" s="120" t="s">
        <v>205</v>
      </c>
      <c r="C14" s="129" t="s">
        <v>447</v>
      </c>
    </row>
    <row r="15" spans="1:3" ht="26.45">
      <c r="A15" s="600">
        <v>9</v>
      </c>
      <c r="B15" s="601" t="s">
        <v>206</v>
      </c>
      <c r="C15" s="599" t="s">
        <v>448</v>
      </c>
    </row>
    <row r="16" spans="1:3" ht="158.44999999999999">
      <c r="A16" s="600" t="s">
        <v>449</v>
      </c>
      <c r="B16" s="601" t="s">
        <v>207</v>
      </c>
      <c r="C16" s="599" t="s">
        <v>450</v>
      </c>
    </row>
    <row r="17" spans="1:3" ht="158.44999999999999">
      <c r="A17" s="602" t="s">
        <v>451</v>
      </c>
      <c r="B17" s="603" t="s">
        <v>209</v>
      </c>
      <c r="C17" s="599" t="s">
        <v>452</v>
      </c>
    </row>
    <row r="18" spans="1:3" ht="158.44999999999999">
      <c r="A18" s="602" t="s">
        <v>453</v>
      </c>
      <c r="B18" s="603" t="s">
        <v>211</v>
      </c>
      <c r="C18" s="599" t="s">
        <v>454</v>
      </c>
    </row>
    <row r="19" spans="1:3" ht="158.44999999999999">
      <c r="A19" s="602" t="s">
        <v>455</v>
      </c>
      <c r="B19" s="603" t="s">
        <v>212</v>
      </c>
      <c r="C19" s="599" t="s">
        <v>456</v>
      </c>
    </row>
    <row r="20" spans="1:3" ht="39.6">
      <c r="A20" s="600">
        <v>12</v>
      </c>
      <c r="B20" s="120" t="s">
        <v>213</v>
      </c>
      <c r="C20" s="129" t="s">
        <v>457</v>
      </c>
    </row>
    <row r="21" spans="1:3" ht="118.9">
      <c r="A21" s="602">
        <v>13</v>
      </c>
      <c r="B21" s="122" t="s">
        <v>214</v>
      </c>
      <c r="C21" s="129" t="s">
        <v>458</v>
      </c>
    </row>
    <row r="22" spans="1:3" ht="26.45">
      <c r="A22" s="600">
        <v>14</v>
      </c>
      <c r="B22" s="122" t="s">
        <v>215</v>
      </c>
      <c r="C22" s="650" t="s">
        <v>459</v>
      </c>
    </row>
    <row r="23" spans="1:3" ht="39.6">
      <c r="A23" s="600">
        <v>15</v>
      </c>
      <c r="B23" s="122" t="s">
        <v>216</v>
      </c>
      <c r="C23" s="650" t="s">
        <v>460</v>
      </c>
    </row>
    <row r="24" spans="1:3" ht="92.45">
      <c r="A24" s="600">
        <v>16</v>
      </c>
      <c r="B24" s="122" t="s">
        <v>217</v>
      </c>
      <c r="C24" s="650" t="s">
        <v>461</v>
      </c>
    </row>
    <row r="25" spans="1:3" ht="52.9">
      <c r="A25" s="600">
        <v>17</v>
      </c>
      <c r="B25" s="122" t="s">
        <v>218</v>
      </c>
      <c r="C25" s="650" t="s">
        <v>462</v>
      </c>
    </row>
    <row r="26" spans="1:3" ht="52.9">
      <c r="A26" s="600">
        <v>18</v>
      </c>
      <c r="B26" s="122" t="s">
        <v>219</v>
      </c>
      <c r="C26" s="650" t="s">
        <v>463</v>
      </c>
    </row>
    <row r="27" spans="1:3" ht="92.45">
      <c r="A27" s="600">
        <v>19</v>
      </c>
      <c r="B27" s="122" t="s">
        <v>220</v>
      </c>
      <c r="C27" s="650" t="s">
        <v>464</v>
      </c>
    </row>
    <row r="28" spans="1:3">
      <c r="A28" s="600">
        <v>20</v>
      </c>
      <c r="B28" s="120" t="s">
        <v>221</v>
      </c>
      <c r="C28" s="99" t="s">
        <v>465</v>
      </c>
    </row>
    <row r="29" spans="1:3" ht="52.9">
      <c r="A29" s="602">
        <v>21</v>
      </c>
      <c r="B29" s="122" t="s">
        <v>222</v>
      </c>
      <c r="C29" s="129" t="s">
        <v>466</v>
      </c>
    </row>
    <row r="30" spans="1:3" ht="39.6">
      <c r="A30" s="600">
        <v>22</v>
      </c>
      <c r="B30" s="120" t="s">
        <v>223</v>
      </c>
      <c r="C30" s="129" t="s">
        <v>467</v>
      </c>
    </row>
    <row r="31" spans="1:3" ht="26.45">
      <c r="A31" s="602">
        <v>23</v>
      </c>
      <c r="B31" s="122" t="s">
        <v>468</v>
      </c>
      <c r="C31" s="129" t="s">
        <v>469</v>
      </c>
    </row>
    <row r="32" spans="1:3">
      <c r="A32" s="905">
        <v>24</v>
      </c>
      <c r="B32" s="679" t="s">
        <v>372</v>
      </c>
      <c r="C32" s="890" t="s">
        <v>470</v>
      </c>
    </row>
    <row r="33" spans="1:3">
      <c r="A33" s="905">
        <v>25</v>
      </c>
      <c r="B33" s="679" t="s">
        <v>226</v>
      </c>
      <c r="C33" s="906" t="s">
        <v>471</v>
      </c>
    </row>
    <row r="42" spans="1:3">
      <c r="A42" s="95"/>
    </row>
    <row r="69" spans="1:1">
      <c r="A69" s="95"/>
    </row>
    <row r="131" spans="1:1">
      <c r="A131" s="95"/>
    </row>
    <row r="149" spans="1:1">
      <c r="A149" s="95"/>
    </row>
    <row r="187" spans="1:1">
      <c r="A187" s="95"/>
    </row>
  </sheetData>
  <sheetProtection algorithmName="SHA-512" hashValue="Z4aW2l6qKio+6Gf+aOLoGbpefb0knUsne6bzJLuHklnytVe/jvHpfvi2QOyf1dlAuIfhfFtYoe9vVJBKDa28Iw==" saltValue="8B41s+DWcRmgSEs5OByxQw==" spinCount="100000" sheet="1" formatColumns="0" formatRows="0"/>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zoomScale="60" zoomScaleNormal="60" workbookViewId="0"/>
  </sheetViews>
  <sheetFormatPr defaultColWidth="8.5703125" defaultRowHeight="13.15"/>
  <cols>
    <col min="1" max="1" width="56.5703125" style="185" customWidth="1"/>
    <col min="2" max="2" width="24.5703125" style="185" customWidth="1"/>
    <col min="3" max="3" width="26" style="185" customWidth="1"/>
    <col min="4" max="4" width="27.42578125" style="185" customWidth="1"/>
    <col min="5" max="5" width="21.42578125" style="185" customWidth="1"/>
    <col min="6" max="6" width="16.42578125" style="185" customWidth="1"/>
    <col min="7" max="7" width="13.42578125" style="576" customWidth="1"/>
    <col min="8" max="16384" width="8.5703125" style="185"/>
  </cols>
  <sheetData>
    <row r="1" spans="1:8" ht="22.9">
      <c r="A1" s="545" t="s">
        <v>472</v>
      </c>
      <c r="B1"/>
      <c r="C1"/>
      <c r="D1"/>
      <c r="E1"/>
      <c r="F1"/>
      <c r="G1" s="40"/>
      <c r="H1"/>
    </row>
    <row r="2" spans="1:8" ht="30.6" customHeight="1">
      <c r="A2" s="732" t="s">
        <v>473</v>
      </c>
      <c r="B2" s="732"/>
      <c r="C2" s="732"/>
      <c r="D2" s="732"/>
      <c r="E2" s="732"/>
      <c r="F2" s="732"/>
      <c r="G2" s="40"/>
      <c r="H2"/>
    </row>
    <row r="3" spans="1:8" ht="15" customHeight="1">
      <c r="A3" s="558" t="s">
        <v>474</v>
      </c>
      <c r="B3"/>
      <c r="C3"/>
      <c r="D3"/>
      <c r="E3"/>
      <c r="F3"/>
      <c r="G3" s="40"/>
      <c r="H3"/>
    </row>
    <row r="4" spans="1:8" ht="13.9">
      <c r="A4" s="558" t="s">
        <v>475</v>
      </c>
      <c r="B4"/>
      <c r="C4"/>
      <c r="D4"/>
      <c r="E4"/>
      <c r="F4"/>
      <c r="G4" s="40"/>
      <c r="H4"/>
    </row>
    <row r="5" spans="1:8" ht="29.1" customHeight="1">
      <c r="A5" s="742" t="s">
        <v>476</v>
      </c>
      <c r="B5" s="742"/>
      <c r="C5" s="742"/>
      <c r="D5" s="742"/>
      <c r="E5" s="742"/>
      <c r="F5" s="742"/>
      <c r="G5" s="40"/>
      <c r="H5"/>
    </row>
    <row r="6" spans="1:8" ht="14.45" thickBot="1">
      <c r="A6" s="558"/>
      <c r="B6"/>
      <c r="C6"/>
      <c r="D6"/>
      <c r="E6"/>
      <c r="F6"/>
      <c r="G6" s="40"/>
      <c r="H6"/>
    </row>
    <row r="7" spans="1:8" ht="53.45" thickBot="1">
      <c r="A7" s="555" t="s">
        <v>477</v>
      </c>
      <c r="B7" s="556" t="s">
        <v>478</v>
      </c>
      <c r="C7" s="556" t="s">
        <v>479</v>
      </c>
      <c r="D7" s="556" t="s">
        <v>397</v>
      </c>
      <c r="E7" s="556" t="s">
        <v>480</v>
      </c>
      <c r="F7" s="557" t="s">
        <v>481</v>
      </c>
      <c r="G7" s="557" t="s">
        <v>482</v>
      </c>
    </row>
    <row r="8" spans="1:8" ht="27" thickBot="1">
      <c r="A8" s="705" t="s">
        <v>218</v>
      </c>
      <c r="B8" s="907"/>
      <c r="C8" s="907" t="s">
        <v>483</v>
      </c>
      <c r="D8" s="908"/>
      <c r="E8" s="654"/>
      <c r="F8" s="654" t="s">
        <v>484</v>
      </c>
      <c r="G8" s="909">
        <v>17</v>
      </c>
    </row>
    <row r="9" spans="1:8" ht="27" thickBot="1">
      <c r="A9" s="705" t="s">
        <v>485</v>
      </c>
      <c r="B9" s="907"/>
      <c r="C9" s="907" t="s">
        <v>483</v>
      </c>
      <c r="D9" s="654"/>
      <c r="E9" s="654"/>
      <c r="F9" s="654" t="s">
        <v>486</v>
      </c>
      <c r="G9" s="909">
        <v>16</v>
      </c>
    </row>
    <row r="10" spans="1:8" ht="13.9" thickBot="1">
      <c r="A10" s="705" t="s">
        <v>487</v>
      </c>
      <c r="B10" s="907" t="s">
        <v>483</v>
      </c>
      <c r="C10" s="907"/>
      <c r="D10" s="654"/>
      <c r="E10" s="654"/>
      <c r="F10" s="654" t="s">
        <v>488</v>
      </c>
      <c r="G10" s="909">
        <v>20</v>
      </c>
    </row>
    <row r="11" spans="1:8" ht="40.15" thickBot="1">
      <c r="A11" s="705" t="s">
        <v>489</v>
      </c>
      <c r="B11" s="907" t="s">
        <v>483</v>
      </c>
      <c r="C11" s="907"/>
      <c r="D11" s="663" t="s">
        <v>490</v>
      </c>
      <c r="E11" s="657"/>
      <c r="F11" s="660" t="s">
        <v>491</v>
      </c>
      <c r="G11" s="909">
        <v>3</v>
      </c>
    </row>
    <row r="12" spans="1:8" ht="13.9" thickBot="1">
      <c r="A12" s="705" t="s">
        <v>492</v>
      </c>
      <c r="B12" s="907" t="s">
        <v>483</v>
      </c>
      <c r="C12" s="907"/>
      <c r="D12" s="654"/>
      <c r="E12" s="654"/>
      <c r="F12" s="654" t="s">
        <v>493</v>
      </c>
      <c r="G12" s="909">
        <v>5</v>
      </c>
    </row>
    <row r="13" spans="1:8" ht="13.9" thickBot="1">
      <c r="A13" s="705" t="s">
        <v>494</v>
      </c>
      <c r="B13" s="907" t="s">
        <v>483</v>
      </c>
      <c r="C13" s="907"/>
      <c r="D13" s="654"/>
      <c r="E13" s="654"/>
      <c r="F13" s="654" t="s">
        <v>495</v>
      </c>
      <c r="G13" s="909">
        <v>5</v>
      </c>
    </row>
    <row r="14" spans="1:8" ht="52.9">
      <c r="A14" s="737" t="s">
        <v>496</v>
      </c>
      <c r="B14" s="737" t="s">
        <v>483</v>
      </c>
      <c r="C14" s="735"/>
      <c r="D14" s="737"/>
      <c r="E14" s="737"/>
      <c r="F14" s="559" t="s">
        <v>497</v>
      </c>
      <c r="G14" s="733">
        <v>2</v>
      </c>
    </row>
    <row r="15" spans="1:8" ht="79.900000000000006" customHeight="1" thickBot="1">
      <c r="A15" s="738"/>
      <c r="B15" s="738"/>
      <c r="C15" s="736"/>
      <c r="D15" s="738"/>
      <c r="E15" s="738"/>
      <c r="F15" s="654" t="s">
        <v>498</v>
      </c>
      <c r="G15" s="734"/>
    </row>
    <row r="16" spans="1:8" ht="61.35" customHeight="1">
      <c r="A16" s="735" t="s">
        <v>499</v>
      </c>
      <c r="B16" s="737" t="s">
        <v>483</v>
      </c>
      <c r="C16" s="737"/>
      <c r="D16" s="735"/>
      <c r="E16" s="735"/>
      <c r="F16" s="559" t="s">
        <v>500</v>
      </c>
      <c r="G16" s="733">
        <v>4</v>
      </c>
    </row>
    <row r="17" spans="1:7" ht="81.599999999999994" customHeight="1" thickBot="1">
      <c r="A17" s="736"/>
      <c r="B17" s="738"/>
      <c r="C17" s="738"/>
      <c r="D17" s="736"/>
      <c r="E17" s="736"/>
      <c r="F17" s="654" t="s">
        <v>501</v>
      </c>
      <c r="G17" s="734"/>
    </row>
    <row r="18" spans="1:7" ht="79.900000000000006" thickBot="1">
      <c r="A18" s="705" t="s">
        <v>502</v>
      </c>
      <c r="B18" s="907"/>
      <c r="C18" s="907" t="s">
        <v>483</v>
      </c>
      <c r="D18" s="654" t="s">
        <v>503</v>
      </c>
      <c r="E18" s="654"/>
      <c r="F18" s="654"/>
      <c r="G18" s="909"/>
    </row>
    <row r="19" spans="1:7" ht="102.6" customHeight="1" thickBot="1">
      <c r="A19" s="705" t="s">
        <v>504</v>
      </c>
      <c r="B19" s="907" t="s">
        <v>483</v>
      </c>
      <c r="C19" s="907"/>
      <c r="D19" s="662" t="s">
        <v>505</v>
      </c>
      <c r="E19" s="654"/>
      <c r="F19" s="654" t="s">
        <v>506</v>
      </c>
      <c r="G19" s="909">
        <v>5</v>
      </c>
    </row>
    <row r="20" spans="1:7" ht="13.35" customHeight="1" thickBot="1">
      <c r="A20" s="705" t="s">
        <v>507</v>
      </c>
      <c r="B20" s="907" t="s">
        <v>483</v>
      </c>
      <c r="C20" s="907"/>
      <c r="D20" s="654"/>
      <c r="E20" s="654"/>
      <c r="F20" s="654" t="s">
        <v>508</v>
      </c>
      <c r="G20" s="909">
        <v>12</v>
      </c>
    </row>
    <row r="21" spans="1:7" ht="63" customHeight="1" thickBot="1">
      <c r="A21" s="560" t="s">
        <v>509</v>
      </c>
      <c r="B21" s="907"/>
      <c r="C21" s="907"/>
      <c r="D21" s="654" t="s">
        <v>510</v>
      </c>
      <c r="E21" s="907"/>
      <c r="F21" s="654"/>
      <c r="G21" s="909">
        <v>19</v>
      </c>
    </row>
    <row r="22" spans="1:7" ht="13.9" thickBot="1">
      <c r="A22" s="705" t="s">
        <v>511</v>
      </c>
      <c r="B22" s="907"/>
      <c r="C22" s="907" t="s">
        <v>483</v>
      </c>
      <c r="D22" s="907"/>
      <c r="E22" s="907"/>
      <c r="F22" s="654" t="s">
        <v>512</v>
      </c>
      <c r="G22" s="909">
        <v>19</v>
      </c>
    </row>
    <row r="23" spans="1:7" ht="13.9" thickBot="1">
      <c r="A23" s="705" t="s">
        <v>513</v>
      </c>
      <c r="B23" s="907"/>
      <c r="C23" s="907" t="s">
        <v>483</v>
      </c>
      <c r="D23" s="907"/>
      <c r="E23" s="910"/>
      <c r="F23" s="654" t="s">
        <v>514</v>
      </c>
      <c r="G23" s="909">
        <v>19</v>
      </c>
    </row>
    <row r="24" spans="1:7" ht="13.9" thickBot="1">
      <c r="A24" s="705" t="s">
        <v>515</v>
      </c>
      <c r="B24" s="907"/>
      <c r="C24" s="907" t="s">
        <v>483</v>
      </c>
      <c r="D24" s="907"/>
      <c r="E24" s="910"/>
      <c r="F24" s="654" t="s">
        <v>516</v>
      </c>
      <c r="G24" s="909">
        <v>19</v>
      </c>
    </row>
    <row r="25" spans="1:7" ht="40.15" thickBot="1">
      <c r="A25" s="705" t="s">
        <v>517</v>
      </c>
      <c r="B25" s="907"/>
      <c r="C25" s="907" t="s">
        <v>483</v>
      </c>
      <c r="D25" s="907"/>
      <c r="E25" s="654" t="s">
        <v>518</v>
      </c>
      <c r="F25" s="654" t="s">
        <v>519</v>
      </c>
      <c r="G25" s="909">
        <v>19</v>
      </c>
    </row>
    <row r="26" spans="1:7" ht="13.9" thickBot="1">
      <c r="A26" s="705" t="s">
        <v>520</v>
      </c>
      <c r="B26" s="907"/>
      <c r="C26" s="907" t="s">
        <v>483</v>
      </c>
      <c r="D26" s="907"/>
      <c r="E26" s="907"/>
      <c r="F26" s="654" t="s">
        <v>521</v>
      </c>
      <c r="G26" s="909">
        <v>19</v>
      </c>
    </row>
    <row r="27" spans="1:7" ht="13.9" thickBot="1">
      <c r="A27" s="705" t="s">
        <v>522</v>
      </c>
      <c r="B27" s="907"/>
      <c r="C27" s="907" t="s">
        <v>483</v>
      </c>
      <c r="D27" s="907" t="s">
        <v>523</v>
      </c>
      <c r="E27" s="907"/>
      <c r="F27" s="654" t="s">
        <v>524</v>
      </c>
      <c r="G27" s="909">
        <v>17</v>
      </c>
    </row>
    <row r="28" spans="1:7" ht="13.9" thickBot="1">
      <c r="A28" s="705" t="s">
        <v>525</v>
      </c>
      <c r="B28" s="907"/>
      <c r="C28" s="907"/>
      <c r="D28" s="907"/>
      <c r="E28" s="907"/>
      <c r="F28" s="654" t="s">
        <v>526</v>
      </c>
      <c r="G28" s="909">
        <v>19</v>
      </c>
    </row>
    <row r="29" spans="1:7" ht="27" thickBot="1">
      <c r="A29" s="705" t="s">
        <v>527</v>
      </c>
      <c r="B29" s="907"/>
      <c r="C29" s="907" t="s">
        <v>483</v>
      </c>
      <c r="D29" s="659" t="s">
        <v>528</v>
      </c>
      <c r="E29" s="661" t="s">
        <v>529</v>
      </c>
      <c r="F29" s="660" t="s">
        <v>530</v>
      </c>
      <c r="G29" s="909">
        <v>19</v>
      </c>
    </row>
    <row r="30" spans="1:7" ht="13.9" thickBot="1">
      <c r="A30" s="705" t="s">
        <v>531</v>
      </c>
      <c r="B30" s="907"/>
      <c r="C30" s="907" t="s">
        <v>483</v>
      </c>
      <c r="D30" s="907"/>
      <c r="E30" s="907"/>
      <c r="F30" s="654" t="s">
        <v>532</v>
      </c>
      <c r="G30" s="909">
        <v>19</v>
      </c>
    </row>
    <row r="31" spans="1:7" ht="13.35" customHeight="1" thickBot="1">
      <c r="A31" s="705" t="s">
        <v>533</v>
      </c>
      <c r="B31" s="907"/>
      <c r="C31" s="907" t="s">
        <v>483</v>
      </c>
      <c r="D31" s="907"/>
      <c r="E31" s="907"/>
      <c r="F31" s="654" t="s">
        <v>534</v>
      </c>
      <c r="G31" s="909">
        <v>19</v>
      </c>
    </row>
    <row r="32" spans="1:7" ht="13.9" thickBot="1">
      <c r="A32" s="705" t="s">
        <v>535</v>
      </c>
      <c r="B32" s="907"/>
      <c r="C32" s="907" t="s">
        <v>483</v>
      </c>
      <c r="D32" s="907"/>
      <c r="E32" s="907"/>
      <c r="F32" s="654" t="s">
        <v>536</v>
      </c>
      <c r="G32" s="909">
        <v>19</v>
      </c>
    </row>
    <row r="33" spans="1:7" ht="13.35" customHeight="1" thickBot="1">
      <c r="A33" s="705" t="s">
        <v>537</v>
      </c>
      <c r="B33" s="907"/>
      <c r="C33" s="907"/>
      <c r="D33" s="907"/>
      <c r="E33" s="911"/>
      <c r="F33" s="654" t="s">
        <v>538</v>
      </c>
      <c r="G33" s="909">
        <v>19</v>
      </c>
    </row>
    <row r="34" spans="1:7" ht="13.9" thickBot="1">
      <c r="A34" s="705" t="s">
        <v>539</v>
      </c>
      <c r="B34" s="907"/>
      <c r="C34" s="907" t="s">
        <v>483</v>
      </c>
      <c r="D34" s="907"/>
      <c r="E34" s="907"/>
      <c r="F34" s="654" t="s">
        <v>540</v>
      </c>
      <c r="G34" s="909">
        <v>18</v>
      </c>
    </row>
    <row r="35" spans="1:7" ht="13.9" thickBot="1">
      <c r="A35" s="705" t="s">
        <v>541</v>
      </c>
      <c r="B35" s="907"/>
      <c r="C35" s="907" t="s">
        <v>483</v>
      </c>
      <c r="D35" s="907"/>
      <c r="E35" s="907"/>
      <c r="F35" s="654" t="s">
        <v>542</v>
      </c>
      <c r="G35" s="909">
        <v>19</v>
      </c>
    </row>
    <row r="36" spans="1:7" ht="53.45" thickBot="1">
      <c r="A36" s="705" t="s">
        <v>543</v>
      </c>
      <c r="B36" s="907"/>
      <c r="C36" s="907" t="s">
        <v>483</v>
      </c>
      <c r="D36" s="656" t="s">
        <v>544</v>
      </c>
      <c r="E36" s="907"/>
      <c r="F36" s="654" t="s">
        <v>545</v>
      </c>
      <c r="G36" s="909">
        <v>19</v>
      </c>
    </row>
    <row r="37" spans="1:7" ht="13.9" thickBot="1">
      <c r="A37" s="705" t="s">
        <v>546</v>
      </c>
      <c r="B37" s="907"/>
      <c r="C37" s="907" t="s">
        <v>483</v>
      </c>
      <c r="D37" s="907"/>
      <c r="E37" s="907"/>
      <c r="F37" s="654" t="s">
        <v>547</v>
      </c>
      <c r="G37" s="909">
        <v>19</v>
      </c>
    </row>
    <row r="38" spans="1:7" ht="53.45" thickBot="1">
      <c r="A38" s="705" t="s">
        <v>548</v>
      </c>
      <c r="B38" s="907"/>
      <c r="C38" s="907" t="s">
        <v>483</v>
      </c>
      <c r="D38" s="654" t="s">
        <v>549</v>
      </c>
      <c r="E38" s="654"/>
      <c r="F38" s="654" t="s">
        <v>550</v>
      </c>
      <c r="G38" s="909">
        <v>14</v>
      </c>
    </row>
    <row r="39" spans="1:7" ht="79.900000000000006" thickBot="1">
      <c r="A39" s="705" t="s">
        <v>551</v>
      </c>
      <c r="B39" s="907"/>
      <c r="C39" s="907" t="s">
        <v>483</v>
      </c>
      <c r="D39" s="654"/>
      <c r="E39" s="654"/>
      <c r="F39" s="654" t="s">
        <v>552</v>
      </c>
      <c r="G39" s="909">
        <v>15</v>
      </c>
    </row>
    <row r="40" spans="1:7" ht="40.15" thickBot="1">
      <c r="A40" s="705" t="s">
        <v>553</v>
      </c>
      <c r="B40" s="907"/>
      <c r="C40" s="907" t="s">
        <v>483</v>
      </c>
      <c r="D40" s="907"/>
      <c r="E40" s="907"/>
      <c r="F40" s="654" t="s">
        <v>554</v>
      </c>
      <c r="G40" s="909">
        <v>19</v>
      </c>
    </row>
    <row r="41" spans="1:7" ht="53.45" thickBot="1">
      <c r="A41" s="705" t="s">
        <v>555</v>
      </c>
      <c r="B41" s="907"/>
      <c r="C41" s="907" t="s">
        <v>483</v>
      </c>
      <c r="D41" s="656" t="s">
        <v>556</v>
      </c>
      <c r="E41" s="907"/>
      <c r="F41" s="654" t="s">
        <v>557</v>
      </c>
      <c r="G41" s="909">
        <v>15</v>
      </c>
    </row>
    <row r="42" spans="1:7" ht="13.9" thickBot="1">
      <c r="A42" s="705" t="s">
        <v>558</v>
      </c>
      <c r="B42" s="907"/>
      <c r="C42" s="907" t="s">
        <v>483</v>
      </c>
      <c r="D42" s="654"/>
      <c r="E42" s="911"/>
      <c r="F42" s="654" t="s">
        <v>559</v>
      </c>
      <c r="G42" s="909">
        <v>19</v>
      </c>
    </row>
    <row r="43" spans="1:7" ht="13.9" thickBot="1">
      <c r="A43" s="705" t="s">
        <v>219</v>
      </c>
      <c r="B43" s="907"/>
      <c r="C43" s="907" t="s">
        <v>483</v>
      </c>
      <c r="D43" s="654"/>
      <c r="E43" s="654"/>
      <c r="F43" s="654" t="s">
        <v>560</v>
      </c>
      <c r="G43" s="909">
        <v>18</v>
      </c>
    </row>
    <row r="44" spans="1:7" ht="13.9" thickBot="1">
      <c r="A44" s="705" t="s">
        <v>561</v>
      </c>
      <c r="B44" s="907"/>
      <c r="C44" s="907" t="s">
        <v>483</v>
      </c>
      <c r="D44" s="654"/>
      <c r="E44" s="654"/>
      <c r="F44" s="654" t="s">
        <v>562</v>
      </c>
      <c r="G44" s="909">
        <v>7</v>
      </c>
    </row>
    <row r="45" spans="1:7" ht="13.9" thickBot="1">
      <c r="A45" s="560" t="s">
        <v>563</v>
      </c>
      <c r="B45" s="912"/>
      <c r="C45" s="912"/>
      <c r="D45" s="654"/>
      <c r="E45" s="654"/>
      <c r="F45" s="654"/>
      <c r="G45" s="909"/>
    </row>
    <row r="46" spans="1:7" ht="40.15" thickBot="1">
      <c r="A46" s="705" t="s">
        <v>564</v>
      </c>
      <c r="B46" s="907" t="s">
        <v>483</v>
      </c>
      <c r="C46" s="654"/>
      <c r="D46" s="654" t="s">
        <v>565</v>
      </c>
      <c r="E46" s="654"/>
      <c r="F46" s="654" t="s">
        <v>566</v>
      </c>
      <c r="G46" s="909">
        <v>21</v>
      </c>
    </row>
    <row r="47" spans="1:7" ht="13.35" customHeight="1" thickBot="1">
      <c r="A47" s="705" t="s">
        <v>567</v>
      </c>
      <c r="B47" s="912"/>
      <c r="C47" s="907" t="s">
        <v>483</v>
      </c>
      <c r="D47" s="912"/>
      <c r="E47" s="912"/>
      <c r="F47" s="654" t="s">
        <v>568</v>
      </c>
      <c r="G47" s="909">
        <v>21</v>
      </c>
    </row>
    <row r="48" spans="1:7" ht="105" customHeight="1" thickBot="1">
      <c r="A48" s="705" t="s">
        <v>569</v>
      </c>
      <c r="B48" s="907"/>
      <c r="C48" s="907" t="s">
        <v>483</v>
      </c>
      <c r="D48" s="654" t="s">
        <v>570</v>
      </c>
      <c r="E48" s="654"/>
      <c r="F48" s="654" t="s">
        <v>571</v>
      </c>
      <c r="G48" s="909">
        <v>23</v>
      </c>
    </row>
    <row r="49" spans="1:7" ht="66.599999999999994" thickBot="1">
      <c r="A49" s="705" t="s">
        <v>572</v>
      </c>
      <c r="B49" s="907"/>
      <c r="C49" s="907" t="s">
        <v>483</v>
      </c>
      <c r="D49" s="654"/>
      <c r="E49" s="654"/>
      <c r="F49" s="654" t="s">
        <v>573</v>
      </c>
      <c r="G49" s="909">
        <v>25</v>
      </c>
    </row>
    <row r="50" spans="1:7" ht="13.9" thickBot="1">
      <c r="A50" s="560" t="s">
        <v>574</v>
      </c>
      <c r="B50" s="907"/>
      <c r="C50" s="907"/>
      <c r="D50" s="907"/>
      <c r="E50" s="907"/>
      <c r="F50" s="654"/>
      <c r="G50" s="909"/>
    </row>
    <row r="51" spans="1:7" ht="13.9" thickBot="1">
      <c r="A51" s="705" t="s">
        <v>575</v>
      </c>
      <c r="B51" s="907"/>
      <c r="C51" s="907"/>
      <c r="D51" s="913" t="s">
        <v>576</v>
      </c>
      <c r="E51" s="913"/>
      <c r="F51" s="913"/>
      <c r="G51" s="914"/>
    </row>
    <row r="52" spans="1:7" ht="119.45" thickBot="1">
      <c r="A52" s="705" t="s">
        <v>577</v>
      </c>
      <c r="B52" s="907"/>
      <c r="C52" s="907" t="s">
        <v>483</v>
      </c>
      <c r="D52" s="654" t="s">
        <v>578</v>
      </c>
      <c r="E52" s="561"/>
      <c r="F52" s="562" t="s">
        <v>579</v>
      </c>
      <c r="G52" s="909">
        <v>21</v>
      </c>
    </row>
    <row r="53" spans="1:7" ht="225" thickBot="1">
      <c r="A53" s="681" t="s">
        <v>220</v>
      </c>
      <c r="B53" s="562"/>
      <c r="C53" s="907" t="s">
        <v>483</v>
      </c>
      <c r="D53" s="654" t="s">
        <v>580</v>
      </c>
      <c r="E53" s="680" t="s">
        <v>581</v>
      </c>
      <c r="F53" s="680" t="s">
        <v>582</v>
      </c>
      <c r="G53" s="909">
        <v>19</v>
      </c>
    </row>
    <row r="54" spans="1:7" ht="136.5" customHeight="1" thickBot="1">
      <c r="A54" s="705" t="s">
        <v>216</v>
      </c>
      <c r="B54" s="907" t="s">
        <v>483</v>
      </c>
      <c r="C54" s="561"/>
      <c r="D54" s="654" t="s">
        <v>583</v>
      </c>
      <c r="E54" s="654"/>
      <c r="F54" s="654" t="s">
        <v>584</v>
      </c>
      <c r="G54" s="909">
        <v>15</v>
      </c>
    </row>
    <row r="55" spans="1:7" ht="13.9" thickBot="1">
      <c r="A55" s="705" t="s">
        <v>585</v>
      </c>
      <c r="B55" s="912"/>
      <c r="C55" s="907" t="s">
        <v>483</v>
      </c>
      <c r="D55" s="912"/>
      <c r="E55" s="912"/>
      <c r="F55" s="654" t="s">
        <v>586</v>
      </c>
      <c r="G55" s="909">
        <v>15</v>
      </c>
    </row>
    <row r="56" spans="1:7" ht="93" thickBot="1">
      <c r="A56" s="705" t="s">
        <v>223</v>
      </c>
      <c r="B56" s="907" t="s">
        <v>483</v>
      </c>
      <c r="C56" s="907"/>
      <c r="D56" s="654"/>
      <c r="E56" s="654"/>
      <c r="F56" s="654" t="s">
        <v>587</v>
      </c>
      <c r="G56" s="909">
        <v>22</v>
      </c>
    </row>
    <row r="57" spans="1:7" ht="58.35" customHeight="1">
      <c r="A57" s="915" t="s">
        <v>588</v>
      </c>
      <c r="B57" s="916"/>
      <c r="C57" s="916"/>
      <c r="D57" s="917"/>
      <c r="E57" s="735"/>
      <c r="F57" s="559" t="s">
        <v>589</v>
      </c>
      <c r="G57" s="733">
        <v>1</v>
      </c>
    </row>
    <row r="58" spans="1:7" ht="48.6" customHeight="1" thickBot="1">
      <c r="A58" s="743"/>
      <c r="B58" s="918"/>
      <c r="C58" s="918"/>
      <c r="D58" s="919"/>
      <c r="E58" s="736"/>
      <c r="F58" s="654" t="s">
        <v>590</v>
      </c>
      <c r="G58" s="734"/>
    </row>
    <row r="59" spans="1:7" ht="13.9" thickBot="1">
      <c r="A59" s="705" t="s">
        <v>591</v>
      </c>
      <c r="B59" s="907" t="s">
        <v>483</v>
      </c>
      <c r="C59" s="907"/>
      <c r="D59" s="654"/>
      <c r="E59" s="654"/>
      <c r="F59" s="654" t="s">
        <v>592</v>
      </c>
      <c r="G59" s="909">
        <v>1</v>
      </c>
    </row>
    <row r="60" spans="1:7" ht="13.9" thickBot="1">
      <c r="A60" s="705" t="s">
        <v>593</v>
      </c>
      <c r="B60" s="907" t="s">
        <v>483</v>
      </c>
      <c r="C60" s="907"/>
      <c r="D60" s="654"/>
      <c r="E60" s="654"/>
      <c r="F60" s="654" t="s">
        <v>592</v>
      </c>
      <c r="G60" s="909">
        <v>1</v>
      </c>
    </row>
    <row r="61" spans="1:7" ht="13.9" thickBot="1">
      <c r="A61" s="705" t="s">
        <v>594</v>
      </c>
      <c r="B61" s="907" t="s">
        <v>483</v>
      </c>
      <c r="C61" s="907"/>
      <c r="D61" s="654"/>
      <c r="E61" s="654"/>
      <c r="F61" s="654" t="s">
        <v>592</v>
      </c>
      <c r="G61" s="909">
        <v>2</v>
      </c>
    </row>
    <row r="62" spans="1:7" ht="13.9" thickBot="1">
      <c r="A62" s="705" t="s">
        <v>595</v>
      </c>
      <c r="B62" s="907" t="s">
        <v>483</v>
      </c>
      <c r="C62" s="907"/>
      <c r="D62" s="654"/>
      <c r="E62" s="654"/>
      <c r="F62" s="654" t="s">
        <v>592</v>
      </c>
      <c r="G62" s="909">
        <v>1</v>
      </c>
    </row>
    <row r="63" spans="1:7" ht="13.9" thickBot="1">
      <c r="A63" s="705" t="s">
        <v>596</v>
      </c>
      <c r="B63" s="907"/>
      <c r="C63" s="907" t="s">
        <v>483</v>
      </c>
      <c r="D63" s="654"/>
      <c r="E63" s="654"/>
      <c r="F63" s="654" t="s">
        <v>597</v>
      </c>
      <c r="G63" s="909">
        <v>4</v>
      </c>
    </row>
    <row r="64" spans="1:7" ht="13.9" thickBot="1">
      <c r="A64" s="705" t="s">
        <v>598</v>
      </c>
      <c r="B64" s="907" t="s">
        <v>483</v>
      </c>
      <c r="C64" s="907"/>
      <c r="D64" s="654"/>
      <c r="E64" s="654"/>
      <c r="F64" s="654" t="s">
        <v>508</v>
      </c>
      <c r="G64" s="909">
        <v>12</v>
      </c>
    </row>
    <row r="65" spans="1:7" ht="13.9" thickBot="1">
      <c r="A65" s="705" t="s">
        <v>599</v>
      </c>
      <c r="B65" s="907" t="s">
        <v>483</v>
      </c>
      <c r="C65" s="907"/>
      <c r="D65" s="654"/>
      <c r="E65" s="654"/>
      <c r="F65" s="654" t="s">
        <v>597</v>
      </c>
      <c r="G65" s="909">
        <v>5</v>
      </c>
    </row>
    <row r="66" spans="1:7" ht="13.9" thickBot="1">
      <c r="A66" s="705" t="s">
        <v>600</v>
      </c>
      <c r="B66" s="907" t="s">
        <v>483</v>
      </c>
      <c r="C66" s="907"/>
      <c r="D66" s="654"/>
      <c r="E66" s="654"/>
      <c r="F66" s="654" t="s">
        <v>597</v>
      </c>
      <c r="G66" s="909">
        <v>5</v>
      </c>
    </row>
    <row r="67" spans="1:7" ht="53.45" thickBot="1">
      <c r="A67" s="705" t="s">
        <v>601</v>
      </c>
      <c r="B67" s="907" t="s">
        <v>483</v>
      </c>
      <c r="C67" s="907"/>
      <c r="D67" s="654"/>
      <c r="E67" s="654" t="s">
        <v>602</v>
      </c>
      <c r="F67" s="654" t="s">
        <v>603</v>
      </c>
      <c r="G67" s="909">
        <v>21</v>
      </c>
    </row>
    <row r="68" spans="1:7" ht="79.900000000000006" thickBot="1">
      <c r="A68" s="705" t="s">
        <v>604</v>
      </c>
      <c r="B68" s="907" t="s">
        <v>483</v>
      </c>
      <c r="C68" s="907"/>
      <c r="D68" s="654"/>
      <c r="E68" s="920" t="s">
        <v>605</v>
      </c>
      <c r="F68" s="654" t="s">
        <v>606</v>
      </c>
      <c r="G68" s="909">
        <v>3</v>
      </c>
    </row>
    <row r="69" spans="1:7" ht="106.15" thickBot="1">
      <c r="A69" s="705" t="s">
        <v>607</v>
      </c>
      <c r="B69" s="907" t="s">
        <v>483</v>
      </c>
      <c r="C69" s="907"/>
      <c r="D69" s="657" t="s">
        <v>608</v>
      </c>
      <c r="E69" s="920" t="s">
        <v>605</v>
      </c>
      <c r="F69" s="654" t="s">
        <v>609</v>
      </c>
      <c r="G69" s="909">
        <v>21</v>
      </c>
    </row>
    <row r="70" spans="1:7" ht="13.9" thickBot="1">
      <c r="A70" s="705" t="s">
        <v>610</v>
      </c>
      <c r="B70" s="907"/>
      <c r="C70" s="907" t="s">
        <v>483</v>
      </c>
      <c r="D70" s="654"/>
      <c r="E70" s="654"/>
      <c r="F70" s="654" t="s">
        <v>519</v>
      </c>
      <c r="G70" s="909">
        <v>25</v>
      </c>
    </row>
    <row r="71" spans="1:7" ht="53.45" thickBot="1">
      <c r="A71" s="705" t="s">
        <v>611</v>
      </c>
      <c r="B71" s="907" t="s">
        <v>483</v>
      </c>
      <c r="C71" s="907"/>
      <c r="D71" s="657" t="s">
        <v>612</v>
      </c>
      <c r="E71" s="559"/>
      <c r="F71" s="559" t="s">
        <v>613</v>
      </c>
      <c r="G71" s="909" t="s">
        <v>614</v>
      </c>
    </row>
    <row r="72" spans="1:7" ht="106.15" thickBot="1">
      <c r="A72" s="705" t="s">
        <v>615</v>
      </c>
      <c r="B72" s="907" t="s">
        <v>483</v>
      </c>
      <c r="C72" s="907"/>
      <c r="D72" s="656" t="s">
        <v>616</v>
      </c>
      <c r="E72" s="652"/>
      <c r="F72" s="653" t="s">
        <v>617</v>
      </c>
      <c r="G72" s="909">
        <v>5</v>
      </c>
    </row>
    <row r="73" spans="1:7" ht="13.35" customHeight="1" thickBot="1">
      <c r="A73" s="705" t="s">
        <v>618</v>
      </c>
      <c r="B73" s="907" t="s">
        <v>483</v>
      </c>
      <c r="C73" s="907" t="s">
        <v>483</v>
      </c>
      <c r="D73" s="654" t="s">
        <v>619</v>
      </c>
      <c r="E73" s="655"/>
      <c r="F73" s="654" t="s">
        <v>620</v>
      </c>
      <c r="G73" s="909">
        <v>5</v>
      </c>
    </row>
    <row r="74" spans="1:7" ht="27" thickBot="1">
      <c r="A74" s="705" t="s">
        <v>621</v>
      </c>
      <c r="B74" s="907" t="s">
        <v>483</v>
      </c>
      <c r="C74" s="907"/>
      <c r="D74" s="654"/>
      <c r="E74" s="920" t="s">
        <v>605</v>
      </c>
      <c r="F74" s="654" t="s">
        <v>622</v>
      </c>
      <c r="G74" s="909">
        <v>21</v>
      </c>
    </row>
    <row r="75" spans="1:7" ht="27" thickBot="1">
      <c r="A75" s="705" t="s">
        <v>623</v>
      </c>
      <c r="B75" s="907" t="s">
        <v>483</v>
      </c>
      <c r="C75" s="907"/>
      <c r="D75" s="658" t="s">
        <v>624</v>
      </c>
      <c r="E75" s="559"/>
      <c r="F75" s="559" t="s">
        <v>625</v>
      </c>
      <c r="G75" s="909">
        <v>12</v>
      </c>
    </row>
    <row r="76" spans="1:7" ht="139.35" customHeight="1" thickBot="1">
      <c r="A76" s="705" t="s">
        <v>626</v>
      </c>
      <c r="B76" s="907" t="s">
        <v>483</v>
      </c>
      <c r="C76" s="907"/>
      <c r="D76" s="656" t="s">
        <v>627</v>
      </c>
      <c r="E76" s="652"/>
      <c r="F76" s="653" t="s">
        <v>628</v>
      </c>
      <c r="G76" s="909">
        <v>3</v>
      </c>
    </row>
    <row r="77" spans="1:7" ht="13.9" thickBot="1">
      <c r="A77" s="560" t="s">
        <v>629</v>
      </c>
      <c r="B77" s="907"/>
      <c r="C77" s="907"/>
      <c r="D77" s="907"/>
      <c r="E77" s="921"/>
      <c r="F77" s="921"/>
      <c r="G77" s="909"/>
    </row>
    <row r="78" spans="1:7" ht="132.6" thickBot="1">
      <c r="A78" s="705" t="s">
        <v>630</v>
      </c>
      <c r="B78" s="907" t="s">
        <v>483</v>
      </c>
      <c r="C78" s="907"/>
      <c r="D78" s="654" t="s">
        <v>631</v>
      </c>
      <c r="E78" s="654"/>
      <c r="F78" s="654" t="s">
        <v>632</v>
      </c>
      <c r="G78" s="909">
        <v>13</v>
      </c>
    </row>
    <row r="79" spans="1:7" ht="13.35" customHeight="1">
      <c r="A79" s="735" t="s">
        <v>633</v>
      </c>
      <c r="B79" s="737"/>
      <c r="C79" s="737" t="s">
        <v>483</v>
      </c>
      <c r="D79" s="735" t="s">
        <v>634</v>
      </c>
      <c r="E79" s="735"/>
      <c r="F79" s="735" t="s">
        <v>635</v>
      </c>
      <c r="G79" s="733">
        <v>13</v>
      </c>
    </row>
    <row r="80" spans="1:7" ht="13.9" thickBot="1">
      <c r="A80" s="736"/>
      <c r="B80" s="738"/>
      <c r="C80" s="738"/>
      <c r="D80" s="736"/>
      <c r="E80" s="736"/>
      <c r="F80" s="736"/>
      <c r="G80" s="734"/>
    </row>
    <row r="81" spans="1:7" ht="93" thickBot="1">
      <c r="A81" s="705" t="s">
        <v>636</v>
      </c>
      <c r="B81" s="907" t="s">
        <v>483</v>
      </c>
      <c r="C81" s="907"/>
      <c r="D81" s="654"/>
      <c r="E81" s="654"/>
      <c r="F81" s="654" t="s">
        <v>637</v>
      </c>
      <c r="G81" s="909">
        <v>5</v>
      </c>
    </row>
    <row r="82" spans="1:7" ht="13.9" thickBot="1">
      <c r="A82" s="705" t="s">
        <v>638</v>
      </c>
      <c r="B82" s="907"/>
      <c r="C82" s="907" t="s">
        <v>483</v>
      </c>
      <c r="D82" s="654"/>
      <c r="E82" s="654"/>
      <c r="F82" s="654" t="s">
        <v>639</v>
      </c>
      <c r="G82" s="909">
        <v>16</v>
      </c>
    </row>
    <row r="83" spans="1:7" ht="13.9" thickBot="1">
      <c r="A83" s="705" t="s">
        <v>640</v>
      </c>
      <c r="B83" s="907" t="s">
        <v>483</v>
      </c>
      <c r="C83" s="907"/>
      <c r="D83" s="654"/>
      <c r="E83" s="654"/>
      <c r="F83" s="654" t="s">
        <v>641</v>
      </c>
      <c r="G83" s="909">
        <v>5</v>
      </c>
    </row>
    <row r="84" spans="1:7" ht="93" thickBot="1">
      <c r="A84" s="705" t="s">
        <v>642</v>
      </c>
      <c r="B84" s="907" t="s">
        <v>483</v>
      </c>
      <c r="C84" s="907"/>
      <c r="D84" s="656" t="s">
        <v>643</v>
      </c>
      <c r="E84" s="654"/>
      <c r="F84" s="664" t="s">
        <v>644</v>
      </c>
      <c r="G84" s="909">
        <v>25</v>
      </c>
    </row>
    <row r="85" spans="1:7" ht="13.9" thickBot="1">
      <c r="A85" s="560" t="s">
        <v>645</v>
      </c>
      <c r="B85" s="907"/>
      <c r="C85" s="907"/>
      <c r="D85" s="907"/>
      <c r="E85" s="907"/>
      <c r="F85" s="654"/>
      <c r="G85" s="909"/>
    </row>
    <row r="86" spans="1:7" ht="44.65" customHeight="1" thickBot="1">
      <c r="A86" s="705" t="s">
        <v>646</v>
      </c>
      <c r="B86" s="907" t="s">
        <v>483</v>
      </c>
      <c r="C86" s="907"/>
      <c r="D86" s="657" t="s">
        <v>647</v>
      </c>
      <c r="E86" s="654"/>
      <c r="F86" s="664" t="s">
        <v>648</v>
      </c>
      <c r="G86" s="909">
        <v>8</v>
      </c>
    </row>
    <row r="87" spans="1:7" ht="96" customHeight="1" thickBot="1">
      <c r="A87" s="705" t="s">
        <v>649</v>
      </c>
      <c r="B87" s="907" t="s">
        <v>483</v>
      </c>
      <c r="C87" s="907"/>
      <c r="D87" s="657" t="s">
        <v>650</v>
      </c>
      <c r="E87" s="654"/>
      <c r="F87" s="664" t="s">
        <v>651</v>
      </c>
      <c r="G87" s="909">
        <v>8</v>
      </c>
    </row>
    <row r="88" spans="1:7" ht="66.599999999999994" thickBot="1">
      <c r="A88" s="705" t="s">
        <v>652</v>
      </c>
      <c r="B88" s="907" t="s">
        <v>483</v>
      </c>
      <c r="C88" s="907"/>
      <c r="D88" s="657" t="s">
        <v>653</v>
      </c>
      <c r="E88" s="654"/>
      <c r="F88" s="664" t="s">
        <v>654</v>
      </c>
      <c r="G88" s="909">
        <v>8</v>
      </c>
    </row>
    <row r="89" spans="1:7" ht="93" thickBot="1">
      <c r="A89" s="705" t="s">
        <v>221</v>
      </c>
      <c r="B89" s="907"/>
      <c r="C89" s="907" t="s">
        <v>483</v>
      </c>
      <c r="D89" s="657" t="s">
        <v>655</v>
      </c>
      <c r="E89" s="911"/>
      <c r="F89" s="664" t="s">
        <v>656</v>
      </c>
      <c r="G89" s="909">
        <v>20</v>
      </c>
    </row>
    <row r="90" spans="1:7" ht="27" thickBot="1">
      <c r="A90" s="705" t="s">
        <v>657</v>
      </c>
      <c r="B90" s="907"/>
      <c r="C90" s="907" t="s">
        <v>483</v>
      </c>
      <c r="D90" s="911"/>
      <c r="E90" s="654"/>
      <c r="F90" s="654" t="s">
        <v>658</v>
      </c>
      <c r="G90" s="909">
        <v>6</v>
      </c>
    </row>
    <row r="91" spans="1:7" ht="13.9" thickBot="1">
      <c r="A91" s="739" t="s">
        <v>659</v>
      </c>
      <c r="B91" s="740"/>
      <c r="C91" s="740"/>
      <c r="D91" s="741"/>
      <c r="E91" s="912"/>
      <c r="F91" s="654"/>
      <c r="G91" s="909"/>
    </row>
    <row r="92" spans="1:7" ht="27" thickBot="1">
      <c r="A92" s="705" t="s">
        <v>660</v>
      </c>
      <c r="B92" s="907"/>
      <c r="C92" s="907" t="s">
        <v>483</v>
      </c>
      <c r="D92" s="654"/>
      <c r="E92" s="654"/>
      <c r="F92" s="654" t="s">
        <v>661</v>
      </c>
      <c r="G92" s="909">
        <v>4</v>
      </c>
    </row>
    <row r="93" spans="1:7" ht="27" thickBot="1">
      <c r="A93" s="705" t="s">
        <v>662</v>
      </c>
      <c r="B93" s="907"/>
      <c r="C93" s="907" t="s">
        <v>483</v>
      </c>
      <c r="D93" s="654"/>
      <c r="E93" s="911"/>
      <c r="F93" s="654" t="s">
        <v>663</v>
      </c>
      <c r="G93" s="909">
        <v>4</v>
      </c>
    </row>
    <row r="94" spans="1:7" ht="13.9" thickBot="1">
      <c r="A94" s="705" t="s">
        <v>664</v>
      </c>
      <c r="B94" s="907"/>
      <c r="C94" s="907" t="s">
        <v>483</v>
      </c>
      <c r="D94" s="654"/>
      <c r="E94" s="654"/>
      <c r="F94" s="654" t="s">
        <v>665</v>
      </c>
      <c r="G94" s="909">
        <v>4</v>
      </c>
    </row>
    <row r="95" spans="1:7" ht="40.15" thickBot="1">
      <c r="A95" s="705" t="s">
        <v>666</v>
      </c>
      <c r="B95" s="907"/>
      <c r="C95" s="907" t="s">
        <v>483</v>
      </c>
      <c r="D95" s="657" t="s">
        <v>667</v>
      </c>
      <c r="E95" s="664"/>
      <c r="F95" s="664" t="s">
        <v>668</v>
      </c>
      <c r="G95" s="909">
        <v>4</v>
      </c>
    </row>
    <row r="96" spans="1:7" ht="67.150000000000006" customHeight="1" thickBot="1">
      <c r="A96" s="705" t="s">
        <v>669</v>
      </c>
      <c r="B96" s="907"/>
      <c r="C96" s="907" t="s">
        <v>483</v>
      </c>
      <c r="D96" s="657" t="s">
        <v>670</v>
      </c>
      <c r="E96" s="664"/>
      <c r="F96" s="664" t="s">
        <v>671</v>
      </c>
      <c r="G96" s="909">
        <v>4</v>
      </c>
    </row>
    <row r="97" spans="1:8" ht="13.9" thickBot="1">
      <c r="A97" s="705" t="s">
        <v>672</v>
      </c>
      <c r="B97" s="907"/>
      <c r="C97" s="907" t="s">
        <v>483</v>
      </c>
      <c r="D97" s="654"/>
      <c r="E97" s="654"/>
      <c r="F97" s="654" t="s">
        <v>673</v>
      </c>
      <c r="G97" s="909">
        <v>4</v>
      </c>
    </row>
    <row r="98" spans="1:8" ht="13.9" thickBot="1">
      <c r="A98" s="705" t="s">
        <v>674</v>
      </c>
      <c r="B98" s="907"/>
      <c r="C98" s="907" t="s">
        <v>483</v>
      </c>
      <c r="D98" s="654"/>
      <c r="E98" s="654"/>
      <c r="F98" s="654" t="s">
        <v>675</v>
      </c>
      <c r="G98" s="909">
        <v>4</v>
      </c>
    </row>
    <row r="99" spans="1:8" ht="13.9" thickBot="1">
      <c r="A99" s="705" t="s">
        <v>676</v>
      </c>
      <c r="B99" s="907"/>
      <c r="C99" s="907" t="s">
        <v>483</v>
      </c>
      <c r="D99" s="654"/>
      <c r="E99" s="911"/>
      <c r="F99" s="654" t="s">
        <v>677</v>
      </c>
      <c r="G99" s="909">
        <v>4</v>
      </c>
    </row>
    <row r="100" spans="1:8" ht="13.9" thickBot="1">
      <c r="A100" s="705" t="s">
        <v>678</v>
      </c>
      <c r="B100" s="907"/>
      <c r="C100" s="907" t="s">
        <v>483</v>
      </c>
      <c r="D100" s="654"/>
      <c r="E100" s="654"/>
      <c r="F100" s="654" t="s">
        <v>679</v>
      </c>
      <c r="G100" s="909">
        <v>4</v>
      </c>
    </row>
    <row r="101" spans="1:8" ht="13.9" thickBot="1">
      <c r="A101" s="705" t="s">
        <v>680</v>
      </c>
      <c r="B101" s="907"/>
      <c r="C101" s="907" t="s">
        <v>483</v>
      </c>
      <c r="D101" s="654"/>
      <c r="E101" s="654"/>
      <c r="F101" s="654" t="s">
        <v>681</v>
      </c>
      <c r="G101" s="909">
        <v>4</v>
      </c>
    </row>
    <row r="102" spans="1:8">
      <c r="A102"/>
      <c r="B102"/>
      <c r="C102"/>
      <c r="D102"/>
      <c r="E102"/>
      <c r="F102"/>
      <c r="G102" s="40"/>
      <c r="H102"/>
    </row>
    <row r="103" spans="1:8">
      <c r="A103"/>
      <c r="B103"/>
      <c r="C103"/>
      <c r="D103"/>
      <c r="E103"/>
      <c r="F103"/>
      <c r="G103" s="40"/>
      <c r="H103"/>
    </row>
    <row r="104" spans="1:8" ht="22.9">
      <c r="A104" s="545" t="s">
        <v>682</v>
      </c>
      <c r="B104"/>
      <c r="C104"/>
      <c r="D104"/>
      <c r="E104"/>
      <c r="F104"/>
      <c r="G104" s="40"/>
      <c r="H104"/>
    </row>
    <row r="105" spans="1:8" ht="13.9">
      <c r="A105" s="558"/>
      <c r="B105"/>
      <c r="C105"/>
      <c r="D105"/>
      <c r="E105"/>
      <c r="F105"/>
      <c r="G105" s="40"/>
      <c r="H105"/>
    </row>
    <row r="106" spans="1:8">
      <c r="A106" s="568" t="s">
        <v>683</v>
      </c>
      <c r="B106"/>
      <c r="C106"/>
      <c r="D106"/>
      <c r="E106"/>
      <c r="F106"/>
      <c r="G106" s="40"/>
      <c r="H106"/>
    </row>
    <row r="107" spans="1:8">
      <c r="A107" s="569" t="s">
        <v>684</v>
      </c>
      <c r="B107"/>
      <c r="C107"/>
      <c r="D107"/>
      <c r="E107"/>
      <c r="F107"/>
      <c r="G107" s="40"/>
      <c r="H107"/>
    </row>
    <row r="108" spans="1:8">
      <c r="A108" s="570" t="s">
        <v>685</v>
      </c>
      <c r="B108"/>
      <c r="C108"/>
      <c r="D108"/>
      <c r="E108"/>
      <c r="F108"/>
      <c r="G108" s="40"/>
      <c r="H108"/>
    </row>
    <row r="109" spans="1:8">
      <c r="A109" s="570" t="s">
        <v>686</v>
      </c>
      <c r="B109"/>
      <c r="C109"/>
      <c r="D109"/>
      <c r="E109"/>
      <c r="F109"/>
      <c r="G109" s="40"/>
      <c r="H109"/>
    </row>
    <row r="110" spans="1:8">
      <c r="A110" s="571" t="s">
        <v>687</v>
      </c>
      <c r="B110"/>
      <c r="C110"/>
      <c r="D110"/>
      <c r="E110"/>
      <c r="F110"/>
      <c r="G110" s="40"/>
      <c r="H110"/>
    </row>
    <row r="111" spans="1:8">
      <c r="A111" s="571" t="s">
        <v>688</v>
      </c>
      <c r="B111"/>
      <c r="C111"/>
      <c r="D111"/>
      <c r="E111"/>
      <c r="F111"/>
      <c r="G111" s="40"/>
      <c r="H111"/>
    </row>
    <row r="112" spans="1:8">
      <c r="A112" s="571" t="s">
        <v>689</v>
      </c>
      <c r="B112"/>
      <c r="C112"/>
      <c r="D112"/>
      <c r="E112"/>
      <c r="F112"/>
      <c r="G112" s="40"/>
      <c r="H112"/>
    </row>
    <row r="113" spans="1:8">
      <c r="A113" s="572" t="s">
        <v>690</v>
      </c>
      <c r="B113"/>
      <c r="C113"/>
      <c r="D113"/>
      <c r="E113"/>
      <c r="F113"/>
      <c r="G113" s="40"/>
      <c r="H113"/>
    </row>
    <row r="114" spans="1:8" ht="13.9" thickBot="1">
      <c r="A114" s="573"/>
      <c r="B114"/>
      <c r="C114"/>
      <c r="D114"/>
      <c r="E114"/>
      <c r="F114"/>
      <c r="G114" s="40"/>
      <c r="H114"/>
    </row>
    <row r="115" spans="1:8" ht="14.45" thickBot="1">
      <c r="A115" s="564" t="s">
        <v>691</v>
      </c>
      <c r="B115" s="563" t="s">
        <v>692</v>
      </c>
      <c r="C115" s="565" t="s">
        <v>693</v>
      </c>
      <c r="D115" s="565" t="s">
        <v>694</v>
      </c>
      <c r="E115" s="565" t="s">
        <v>695</v>
      </c>
      <c r="F115" s="565" t="s">
        <v>696</v>
      </c>
      <c r="G115" s="40"/>
      <c r="H115"/>
    </row>
    <row r="116" spans="1:8" ht="14.45" thickBot="1">
      <c r="A116" s="922" t="s">
        <v>697</v>
      </c>
      <c r="B116" s="566" t="s">
        <v>698</v>
      </c>
      <c r="C116" s="923" t="s">
        <v>699</v>
      </c>
      <c r="D116" s="924">
        <v>19890101</v>
      </c>
      <c r="E116" s="924">
        <v>19960101</v>
      </c>
      <c r="F116" s="921"/>
      <c r="G116" s="40"/>
      <c r="H116"/>
    </row>
    <row r="117" spans="1:8" ht="14.45" thickBot="1">
      <c r="A117" s="922" t="s">
        <v>700</v>
      </c>
      <c r="B117" s="566" t="s">
        <v>701</v>
      </c>
      <c r="C117" s="923" t="s">
        <v>702</v>
      </c>
      <c r="D117" s="924">
        <v>19960101</v>
      </c>
      <c r="E117" s="924">
        <v>20030401</v>
      </c>
      <c r="F117" s="921"/>
      <c r="G117" s="40"/>
      <c r="H117"/>
    </row>
    <row r="118" spans="1:8" ht="14.45" thickBot="1">
      <c r="A118" s="922" t="s">
        <v>703</v>
      </c>
      <c r="B118" s="566" t="s">
        <v>704</v>
      </c>
      <c r="C118" s="923" t="s">
        <v>699</v>
      </c>
      <c r="D118" s="924">
        <v>19900101</v>
      </c>
      <c r="E118" s="924">
        <v>19970101</v>
      </c>
      <c r="F118" s="921"/>
      <c r="G118" s="40"/>
      <c r="H118"/>
    </row>
    <row r="119" spans="1:8" ht="14.45" thickBot="1">
      <c r="A119" s="922" t="s">
        <v>705</v>
      </c>
      <c r="B119" s="566" t="s">
        <v>706</v>
      </c>
      <c r="C119" s="923" t="s">
        <v>707</v>
      </c>
      <c r="D119" s="924">
        <v>20080101</v>
      </c>
      <c r="E119" s="924">
        <v>20080101</v>
      </c>
      <c r="F119" s="921"/>
      <c r="G119" s="40"/>
      <c r="H119"/>
    </row>
    <row r="120" spans="1:8" ht="14.45" thickBot="1">
      <c r="A120" s="922" t="s">
        <v>708</v>
      </c>
      <c r="B120" s="566" t="s">
        <v>709</v>
      </c>
      <c r="C120" s="923" t="s">
        <v>707</v>
      </c>
      <c r="D120" s="924">
        <v>19990101</v>
      </c>
      <c r="E120" s="924">
        <v>19990101</v>
      </c>
      <c r="F120" s="921"/>
      <c r="G120" s="40"/>
      <c r="H120"/>
    </row>
    <row r="121" spans="1:8" ht="28.15" thickBot="1">
      <c r="A121" s="922" t="s">
        <v>710</v>
      </c>
      <c r="B121" s="566" t="s">
        <v>711</v>
      </c>
      <c r="C121" s="923" t="s">
        <v>702</v>
      </c>
      <c r="D121" s="924">
        <v>20100101</v>
      </c>
      <c r="E121" s="924">
        <v>20100101</v>
      </c>
      <c r="F121" s="921"/>
      <c r="G121" s="40"/>
      <c r="H121"/>
    </row>
    <row r="122" spans="1:8" ht="14.45" thickBot="1">
      <c r="A122" s="922" t="s">
        <v>712</v>
      </c>
      <c r="B122" s="566" t="s">
        <v>713</v>
      </c>
      <c r="C122" s="923" t="s">
        <v>702</v>
      </c>
      <c r="D122" s="924">
        <v>20030101</v>
      </c>
      <c r="E122" s="924">
        <v>20030101</v>
      </c>
      <c r="F122" s="921"/>
      <c r="G122" s="40"/>
      <c r="H122"/>
    </row>
    <row r="123" spans="1:8" ht="14.45" thickBot="1">
      <c r="A123" s="922" t="s">
        <v>714</v>
      </c>
      <c r="B123" s="566" t="s">
        <v>715</v>
      </c>
      <c r="C123" s="923" t="s">
        <v>702</v>
      </c>
      <c r="D123" s="924">
        <v>20030101</v>
      </c>
      <c r="E123" s="924">
        <v>20030101</v>
      </c>
      <c r="F123" s="921"/>
      <c r="G123" s="40"/>
      <c r="H123"/>
    </row>
    <row r="124" spans="1:8" ht="14.45" thickBot="1">
      <c r="A124" s="922" t="s">
        <v>716</v>
      </c>
      <c r="B124" s="566" t="s">
        <v>717</v>
      </c>
      <c r="C124" s="923" t="s">
        <v>702</v>
      </c>
      <c r="D124" s="924">
        <v>20030101</v>
      </c>
      <c r="E124" s="924">
        <v>20030101</v>
      </c>
      <c r="F124" s="921"/>
      <c r="G124" s="40"/>
      <c r="H124"/>
    </row>
    <row r="125" spans="1:8" ht="14.45" thickBot="1">
      <c r="A125" s="922" t="s">
        <v>718</v>
      </c>
      <c r="B125" s="566" t="s">
        <v>719</v>
      </c>
      <c r="C125" s="923" t="s">
        <v>702</v>
      </c>
      <c r="D125" s="924">
        <v>20030101</v>
      </c>
      <c r="E125" s="924">
        <v>20030101</v>
      </c>
      <c r="F125" s="921"/>
      <c r="G125" s="40"/>
      <c r="H125"/>
    </row>
    <row r="126" spans="1:8" ht="28.15" thickBot="1">
      <c r="A126" s="922" t="s">
        <v>720</v>
      </c>
      <c r="B126" s="566" t="s">
        <v>721</v>
      </c>
      <c r="C126" s="923" t="s">
        <v>699</v>
      </c>
      <c r="D126" s="924">
        <v>20100101</v>
      </c>
      <c r="E126" s="924">
        <v>20150101</v>
      </c>
      <c r="F126" s="921"/>
      <c r="G126" s="40"/>
      <c r="H126"/>
    </row>
    <row r="127" spans="1:8" ht="14.45" thickBot="1">
      <c r="A127" s="922" t="s">
        <v>722</v>
      </c>
      <c r="B127" s="566" t="s">
        <v>723</v>
      </c>
      <c r="C127" s="923" t="s">
        <v>699</v>
      </c>
      <c r="D127" s="924">
        <v>19860101</v>
      </c>
      <c r="E127" s="924">
        <v>20030101</v>
      </c>
      <c r="F127" s="921"/>
      <c r="G127" s="40"/>
      <c r="H127"/>
    </row>
    <row r="128" spans="1:8" ht="14.45" thickBot="1">
      <c r="A128" s="922" t="s">
        <v>724</v>
      </c>
      <c r="B128" s="566" t="s">
        <v>725</v>
      </c>
      <c r="C128" s="923" t="s">
        <v>699</v>
      </c>
      <c r="D128" s="924">
        <v>19860101</v>
      </c>
      <c r="E128" s="924">
        <v>20030101</v>
      </c>
      <c r="F128" s="921"/>
      <c r="G128" s="40"/>
      <c r="H128"/>
    </row>
    <row r="129" spans="1:8" ht="14.45" thickBot="1">
      <c r="A129" s="922" t="s">
        <v>726</v>
      </c>
      <c r="B129" s="566" t="s">
        <v>727</v>
      </c>
      <c r="C129" s="923" t="s">
        <v>699</v>
      </c>
      <c r="D129" s="924">
        <v>19860101</v>
      </c>
      <c r="E129" s="924">
        <v>20030101</v>
      </c>
      <c r="F129" s="921"/>
      <c r="G129" s="40"/>
      <c r="H129"/>
    </row>
    <row r="130" spans="1:8" ht="14.45" thickBot="1">
      <c r="A130" s="922" t="s">
        <v>728</v>
      </c>
      <c r="B130" s="566" t="s">
        <v>729</v>
      </c>
      <c r="C130" s="923" t="s">
        <v>699</v>
      </c>
      <c r="D130" s="924">
        <v>19860101</v>
      </c>
      <c r="E130" s="924">
        <v>20030101</v>
      </c>
      <c r="F130" s="921"/>
      <c r="G130" s="40"/>
      <c r="H130"/>
    </row>
    <row r="131" spans="1:8" ht="14.45" thickBot="1">
      <c r="A131" s="922" t="s">
        <v>730</v>
      </c>
      <c r="B131" s="566" t="s">
        <v>731</v>
      </c>
      <c r="C131" s="923" t="s">
        <v>699</v>
      </c>
      <c r="D131" s="924">
        <v>20050101</v>
      </c>
      <c r="E131" s="924">
        <v>20050101</v>
      </c>
      <c r="F131" s="921"/>
      <c r="G131" s="40"/>
      <c r="H131"/>
    </row>
    <row r="132" spans="1:8" ht="14.45" thickBot="1">
      <c r="A132" s="922" t="s">
        <v>732</v>
      </c>
      <c r="B132" s="566" t="s">
        <v>733</v>
      </c>
      <c r="C132" s="923" t="s">
        <v>699</v>
      </c>
      <c r="D132" s="924">
        <v>19860101</v>
      </c>
      <c r="E132" s="924">
        <v>20050101</v>
      </c>
      <c r="F132" s="921"/>
      <c r="G132" s="40"/>
      <c r="H132"/>
    </row>
    <row r="133" spans="1:8" ht="28.15" thickBot="1">
      <c r="A133" s="922" t="s">
        <v>734</v>
      </c>
      <c r="B133" s="566" t="s">
        <v>735</v>
      </c>
      <c r="C133" s="923" t="s">
        <v>702</v>
      </c>
      <c r="D133" s="924">
        <v>20140101</v>
      </c>
      <c r="E133" s="924">
        <v>20140101</v>
      </c>
      <c r="F133" s="921"/>
      <c r="G133" s="40"/>
      <c r="H133"/>
    </row>
    <row r="134" spans="1:8" ht="28.15" thickBot="1">
      <c r="A134" s="922" t="s">
        <v>736</v>
      </c>
      <c r="B134" s="566" t="s">
        <v>737</v>
      </c>
      <c r="C134" s="924" t="s">
        <v>702</v>
      </c>
      <c r="D134" s="921"/>
      <c r="E134" s="921"/>
      <c r="F134" s="921"/>
      <c r="G134" s="40"/>
      <c r="H134"/>
    </row>
    <row r="135" spans="1:8" ht="42" thickBot="1">
      <c r="A135" s="922" t="s">
        <v>738</v>
      </c>
      <c r="B135" s="566" t="s">
        <v>739</v>
      </c>
      <c r="C135" s="923" t="s">
        <v>702</v>
      </c>
      <c r="D135" s="924">
        <v>20110101</v>
      </c>
      <c r="E135" s="924">
        <v>20110101</v>
      </c>
      <c r="F135" s="921"/>
      <c r="G135" s="40"/>
      <c r="H135"/>
    </row>
    <row r="136" spans="1:8" ht="14.45" thickBot="1">
      <c r="A136" s="922" t="s">
        <v>740</v>
      </c>
      <c r="B136" s="566" t="s">
        <v>741</v>
      </c>
      <c r="C136" s="923" t="s">
        <v>702</v>
      </c>
      <c r="D136" s="924">
        <v>19820101</v>
      </c>
      <c r="E136" s="924">
        <v>20010701</v>
      </c>
      <c r="F136" s="921"/>
      <c r="G136" s="40"/>
      <c r="H136"/>
    </row>
    <row r="137" spans="1:8" ht="14.45" thickBot="1">
      <c r="A137" s="922" t="s">
        <v>742</v>
      </c>
      <c r="B137" s="566" t="s">
        <v>743</v>
      </c>
      <c r="C137" s="923" t="s">
        <v>699</v>
      </c>
      <c r="D137" s="924">
        <v>19960101</v>
      </c>
      <c r="E137" s="924">
        <v>19960101</v>
      </c>
      <c r="F137" s="921"/>
      <c r="G137" s="40"/>
      <c r="H137"/>
    </row>
    <row r="138" spans="1:8" ht="14.45" thickBot="1">
      <c r="A138" s="922" t="s">
        <v>744</v>
      </c>
      <c r="B138" s="566" t="s">
        <v>745</v>
      </c>
      <c r="C138" s="923" t="s">
        <v>702</v>
      </c>
      <c r="D138" s="924">
        <v>19820101</v>
      </c>
      <c r="E138" s="924">
        <v>20030101</v>
      </c>
      <c r="F138" s="921"/>
      <c r="G138" s="40"/>
      <c r="H138"/>
    </row>
    <row r="139" spans="1:8" ht="14.45" thickBot="1">
      <c r="A139" s="922" t="s">
        <v>746</v>
      </c>
      <c r="B139" s="566" t="s">
        <v>747</v>
      </c>
      <c r="C139" s="923" t="s">
        <v>702</v>
      </c>
      <c r="D139" s="924">
        <v>19840101</v>
      </c>
      <c r="E139" s="924">
        <v>20030101</v>
      </c>
      <c r="F139" s="921"/>
      <c r="G139" s="40"/>
      <c r="H139"/>
    </row>
    <row r="140" spans="1:8" ht="14.45" thickBot="1">
      <c r="A140" s="922" t="s">
        <v>748</v>
      </c>
      <c r="B140" s="566" t="s">
        <v>749</v>
      </c>
      <c r="C140" s="923" t="s">
        <v>707</v>
      </c>
      <c r="D140" s="924">
        <v>19900101</v>
      </c>
      <c r="E140" s="924">
        <v>20140101</v>
      </c>
      <c r="F140" s="921"/>
      <c r="G140" s="40"/>
      <c r="H140"/>
    </row>
    <row r="141" spans="1:8" ht="14.45" thickBot="1">
      <c r="A141" s="922" t="s">
        <v>750</v>
      </c>
      <c r="B141" s="566" t="s">
        <v>751</v>
      </c>
      <c r="C141" s="923" t="s">
        <v>707</v>
      </c>
      <c r="D141" s="924">
        <v>19900101</v>
      </c>
      <c r="E141" s="924">
        <v>20140101</v>
      </c>
      <c r="F141" s="921"/>
      <c r="G141" s="40"/>
      <c r="H141"/>
    </row>
    <row r="142" spans="1:8" ht="14.45" thickBot="1">
      <c r="A142" s="922" t="s">
        <v>752</v>
      </c>
      <c r="B142" s="566" t="s">
        <v>753</v>
      </c>
      <c r="C142" s="923" t="s">
        <v>707</v>
      </c>
      <c r="D142" s="924">
        <v>19900101</v>
      </c>
      <c r="E142" s="924">
        <v>20140101</v>
      </c>
      <c r="F142" s="921"/>
      <c r="G142" s="40"/>
      <c r="H142"/>
    </row>
    <row r="143" spans="1:8" ht="28.15" thickBot="1">
      <c r="A143" s="922" t="s">
        <v>754</v>
      </c>
      <c r="B143" s="566" t="s">
        <v>755</v>
      </c>
      <c r="C143" s="923" t="s">
        <v>699</v>
      </c>
      <c r="D143" s="924">
        <v>19910101</v>
      </c>
      <c r="E143" s="924">
        <v>19970101</v>
      </c>
      <c r="F143" s="921"/>
      <c r="G143" s="40"/>
      <c r="H143"/>
    </row>
    <row r="144" spans="1:8" ht="14.45" thickBot="1">
      <c r="A144" s="922" t="s">
        <v>756</v>
      </c>
      <c r="B144" s="566" t="s">
        <v>757</v>
      </c>
      <c r="C144" s="923" t="s">
        <v>699</v>
      </c>
      <c r="D144" s="924">
        <v>19860101</v>
      </c>
      <c r="E144" s="924">
        <v>20030101</v>
      </c>
      <c r="F144" s="921"/>
      <c r="G144" s="40"/>
      <c r="H144"/>
    </row>
    <row r="145" spans="1:8" ht="28.15" thickBot="1">
      <c r="A145" s="922" t="s">
        <v>758</v>
      </c>
      <c r="B145" s="566" t="s">
        <v>759</v>
      </c>
      <c r="C145" s="923" t="s">
        <v>699</v>
      </c>
      <c r="D145" s="924">
        <v>20020101</v>
      </c>
      <c r="E145" s="924">
        <v>20020701</v>
      </c>
      <c r="F145" s="921"/>
      <c r="G145" s="40"/>
      <c r="H145"/>
    </row>
    <row r="146" spans="1:8" ht="14.45" thickBot="1">
      <c r="A146" s="922" t="s">
        <v>760</v>
      </c>
      <c r="B146" s="566" t="s">
        <v>761</v>
      </c>
      <c r="C146" s="923" t="s">
        <v>707</v>
      </c>
      <c r="D146" s="924">
        <v>20080101</v>
      </c>
      <c r="E146" s="924">
        <v>20080101</v>
      </c>
      <c r="F146" s="921"/>
      <c r="G146" s="40"/>
      <c r="H146"/>
    </row>
    <row r="147" spans="1:8" ht="28.15" thickBot="1">
      <c r="A147" s="922" t="s">
        <v>762</v>
      </c>
      <c r="B147" s="566" t="s">
        <v>763</v>
      </c>
      <c r="C147" s="923" t="s">
        <v>699</v>
      </c>
      <c r="D147" s="924">
        <v>20060101</v>
      </c>
      <c r="E147" s="924">
        <v>20110101</v>
      </c>
      <c r="F147" s="921"/>
      <c r="G147" s="40"/>
      <c r="H147"/>
    </row>
    <row r="148" spans="1:8" ht="28.15" thickBot="1">
      <c r="A148" s="922" t="s">
        <v>764</v>
      </c>
      <c r="B148" s="566" t="s">
        <v>765</v>
      </c>
      <c r="C148" s="923" t="s">
        <v>699</v>
      </c>
      <c r="D148" s="924">
        <v>20060101</v>
      </c>
      <c r="E148" s="924">
        <v>20110101</v>
      </c>
      <c r="F148" s="921"/>
      <c r="G148" s="40"/>
      <c r="H148"/>
    </row>
    <row r="149" spans="1:8" ht="28.15" thickBot="1">
      <c r="A149" s="922" t="s">
        <v>766</v>
      </c>
      <c r="B149" s="566" t="s">
        <v>767</v>
      </c>
      <c r="C149" s="923" t="s">
        <v>699</v>
      </c>
      <c r="D149" s="924">
        <v>20060101</v>
      </c>
      <c r="E149" s="924">
        <v>20110101</v>
      </c>
      <c r="F149" s="921"/>
      <c r="G149" s="40"/>
      <c r="H149"/>
    </row>
    <row r="150" spans="1:8" ht="28.15" thickBot="1">
      <c r="A150" s="922" t="s">
        <v>768</v>
      </c>
      <c r="B150" s="566" t="s">
        <v>769</v>
      </c>
      <c r="C150" s="923" t="s">
        <v>699</v>
      </c>
      <c r="D150" s="924">
        <v>20060101</v>
      </c>
      <c r="E150" s="924">
        <v>20110101</v>
      </c>
      <c r="F150" s="921"/>
      <c r="G150" s="40"/>
      <c r="H150"/>
    </row>
    <row r="151" spans="1:8" ht="28.15" thickBot="1">
      <c r="A151" s="922" t="s">
        <v>770</v>
      </c>
      <c r="B151" s="566" t="s">
        <v>771</v>
      </c>
      <c r="C151" s="923" t="s">
        <v>699</v>
      </c>
      <c r="D151" s="924">
        <v>20060101</v>
      </c>
      <c r="E151" s="924">
        <v>20110101</v>
      </c>
      <c r="F151" s="921"/>
      <c r="G151" s="40"/>
      <c r="H151"/>
    </row>
    <row r="152" spans="1:8" ht="28.15" thickBot="1">
      <c r="A152" s="922" t="s">
        <v>772</v>
      </c>
      <c r="B152" s="566" t="s">
        <v>773</v>
      </c>
      <c r="C152" s="923" t="s">
        <v>699</v>
      </c>
      <c r="D152" s="924">
        <v>20060101</v>
      </c>
      <c r="E152" s="924">
        <v>20110101</v>
      </c>
      <c r="F152" s="921"/>
      <c r="G152" s="40"/>
      <c r="H152"/>
    </row>
    <row r="153" spans="1:8" ht="28.15" thickBot="1">
      <c r="A153" s="922" t="s">
        <v>774</v>
      </c>
      <c r="B153" s="566" t="s">
        <v>775</v>
      </c>
      <c r="C153" s="923" t="s">
        <v>699</v>
      </c>
      <c r="D153" s="924">
        <v>20060101</v>
      </c>
      <c r="E153" s="924">
        <v>20110101</v>
      </c>
      <c r="F153" s="921"/>
      <c r="G153" s="40"/>
      <c r="H153"/>
    </row>
    <row r="154" spans="1:8" ht="28.15" thickBot="1">
      <c r="A154" s="922" t="s">
        <v>776</v>
      </c>
      <c r="B154" s="566" t="s">
        <v>777</v>
      </c>
      <c r="C154" s="923" t="s">
        <v>699</v>
      </c>
      <c r="D154" s="924">
        <v>20060101</v>
      </c>
      <c r="E154" s="924">
        <v>20110101</v>
      </c>
      <c r="F154" s="921"/>
      <c r="G154" s="40"/>
      <c r="H154"/>
    </row>
    <row r="155" spans="1:8" ht="28.15" thickBot="1">
      <c r="A155" s="922" t="s">
        <v>778</v>
      </c>
      <c r="B155" s="566" t="s">
        <v>779</v>
      </c>
      <c r="C155" s="923" t="s">
        <v>699</v>
      </c>
      <c r="D155" s="924">
        <v>20060101</v>
      </c>
      <c r="E155" s="924">
        <v>20110101</v>
      </c>
      <c r="F155" s="921"/>
      <c r="G155" s="40"/>
      <c r="H155"/>
    </row>
    <row r="156" spans="1:8" ht="28.15" thickBot="1">
      <c r="A156" s="922" t="s">
        <v>780</v>
      </c>
      <c r="B156" s="566" t="s">
        <v>781</v>
      </c>
      <c r="C156" s="923" t="s">
        <v>699</v>
      </c>
      <c r="D156" s="924">
        <v>20060101</v>
      </c>
      <c r="E156" s="924">
        <v>20110101</v>
      </c>
      <c r="F156" s="921"/>
      <c r="G156" s="40"/>
      <c r="H156"/>
    </row>
    <row r="157" spans="1:8" ht="14.45" thickBot="1">
      <c r="A157" s="922" t="s">
        <v>782</v>
      </c>
      <c r="B157" s="566" t="s">
        <v>783</v>
      </c>
      <c r="C157" s="923" t="s">
        <v>699</v>
      </c>
      <c r="D157" s="924">
        <v>20060101</v>
      </c>
      <c r="E157" s="924">
        <v>20110101</v>
      </c>
      <c r="F157" s="921"/>
      <c r="G157" s="40"/>
      <c r="H157"/>
    </row>
    <row r="158" spans="1:8" ht="28.15" thickBot="1">
      <c r="A158" s="922" t="s">
        <v>784</v>
      </c>
      <c r="B158" s="566" t="s">
        <v>785</v>
      </c>
      <c r="C158" s="923" t="s">
        <v>699</v>
      </c>
      <c r="D158" s="924">
        <v>20060101</v>
      </c>
      <c r="E158" s="924">
        <v>20110101</v>
      </c>
      <c r="F158" s="921"/>
      <c r="G158" s="40"/>
      <c r="H158"/>
    </row>
    <row r="159" spans="1:8" ht="28.15" thickBot="1">
      <c r="A159" s="922" t="s">
        <v>786</v>
      </c>
      <c r="B159" s="566" t="s">
        <v>787</v>
      </c>
      <c r="C159" s="923" t="s">
        <v>702</v>
      </c>
      <c r="D159" s="924">
        <v>20050101</v>
      </c>
      <c r="E159" s="924">
        <v>20050101</v>
      </c>
      <c r="F159" s="921"/>
      <c r="G159" s="40"/>
      <c r="H159"/>
    </row>
    <row r="160" spans="1:8" ht="28.15" thickBot="1">
      <c r="A160" s="922" t="s">
        <v>788</v>
      </c>
      <c r="B160" s="566" t="s">
        <v>789</v>
      </c>
      <c r="C160" s="923" t="s">
        <v>702</v>
      </c>
      <c r="D160" s="924">
        <v>20050101</v>
      </c>
      <c r="E160" s="924">
        <v>20050101</v>
      </c>
      <c r="F160" s="921"/>
      <c r="G160" s="40"/>
      <c r="H160"/>
    </row>
    <row r="161" spans="1:8" ht="28.15" thickBot="1">
      <c r="A161" s="922" t="s">
        <v>790</v>
      </c>
      <c r="B161" s="566" t="s">
        <v>791</v>
      </c>
      <c r="C161" s="923" t="s">
        <v>702</v>
      </c>
      <c r="D161" s="924">
        <v>20050101</v>
      </c>
      <c r="E161" s="924">
        <v>20050101</v>
      </c>
      <c r="F161" s="921"/>
      <c r="G161" s="40"/>
      <c r="H161"/>
    </row>
    <row r="162" spans="1:8" ht="14.45" thickBot="1">
      <c r="A162" s="922" t="s">
        <v>792</v>
      </c>
      <c r="B162" s="566" t="s">
        <v>793</v>
      </c>
      <c r="C162" s="923" t="s">
        <v>699</v>
      </c>
      <c r="D162" s="924">
        <v>19860101</v>
      </c>
      <c r="E162" s="924">
        <v>20020101</v>
      </c>
      <c r="F162" s="921"/>
      <c r="G162" s="40"/>
      <c r="H162"/>
    </row>
    <row r="163" spans="1:8" ht="28.15" thickBot="1">
      <c r="A163" s="922" t="s">
        <v>794</v>
      </c>
      <c r="B163" s="566" t="s">
        <v>795</v>
      </c>
      <c r="C163" s="923" t="s">
        <v>707</v>
      </c>
      <c r="D163" s="924">
        <v>20120101</v>
      </c>
      <c r="E163" s="924">
        <v>20150101</v>
      </c>
      <c r="F163" s="921"/>
      <c r="G163" s="40"/>
      <c r="H163"/>
    </row>
    <row r="164" spans="1:8" ht="28.15" thickBot="1">
      <c r="A164" s="922" t="s">
        <v>796</v>
      </c>
      <c r="B164" s="566" t="s">
        <v>797</v>
      </c>
      <c r="C164" s="923" t="s">
        <v>699</v>
      </c>
      <c r="D164" s="924">
        <v>20110101</v>
      </c>
      <c r="E164" s="924">
        <v>20110101</v>
      </c>
      <c r="F164" s="921"/>
      <c r="G164" s="40"/>
      <c r="H164"/>
    </row>
    <row r="165" spans="1:8" ht="28.15" thickBot="1">
      <c r="A165" s="922" t="s">
        <v>798</v>
      </c>
      <c r="B165" s="566" t="s">
        <v>799</v>
      </c>
      <c r="C165" s="923" t="s">
        <v>707</v>
      </c>
      <c r="D165" s="924">
        <v>20080101</v>
      </c>
      <c r="E165" s="924">
        <v>20150101</v>
      </c>
      <c r="F165" s="921"/>
      <c r="G165" s="40"/>
      <c r="H165"/>
    </row>
    <row r="166" spans="1:8" ht="14.45" thickBot="1">
      <c r="A166" s="922" t="s">
        <v>800</v>
      </c>
      <c r="B166" s="566" t="s">
        <v>801</v>
      </c>
      <c r="C166" s="923" t="s">
        <v>699</v>
      </c>
      <c r="D166" s="924">
        <v>20060101</v>
      </c>
      <c r="E166" s="924">
        <v>20060101</v>
      </c>
      <c r="F166" s="921"/>
      <c r="G166" s="40"/>
      <c r="H166"/>
    </row>
    <row r="167" spans="1:8" ht="42" thickBot="1">
      <c r="A167" s="922" t="s">
        <v>802</v>
      </c>
      <c r="B167" s="566" t="s">
        <v>803</v>
      </c>
      <c r="C167" s="923" t="s">
        <v>707</v>
      </c>
      <c r="D167" s="924">
        <v>20080101</v>
      </c>
      <c r="E167" s="924">
        <v>20080101</v>
      </c>
      <c r="F167" s="921"/>
      <c r="G167" s="40"/>
      <c r="H167"/>
    </row>
    <row r="168" spans="1:8" ht="28.15" thickBot="1">
      <c r="A168" s="922" t="s">
        <v>804</v>
      </c>
      <c r="B168" s="566" t="s">
        <v>805</v>
      </c>
      <c r="C168" s="923" t="s">
        <v>707</v>
      </c>
      <c r="D168" s="924">
        <v>20080101</v>
      </c>
      <c r="E168" s="924">
        <v>20080101</v>
      </c>
      <c r="F168" s="921"/>
      <c r="G168" s="40"/>
      <c r="H168"/>
    </row>
    <row r="169" spans="1:8" ht="28.15" thickBot="1">
      <c r="A169" s="922" t="s">
        <v>806</v>
      </c>
      <c r="B169" s="566" t="s">
        <v>807</v>
      </c>
      <c r="C169" s="923" t="s">
        <v>707</v>
      </c>
      <c r="D169" s="924">
        <v>20080101</v>
      </c>
      <c r="E169" s="924">
        <v>20080101</v>
      </c>
      <c r="F169" s="921"/>
      <c r="G169" s="40"/>
      <c r="H169"/>
    </row>
    <row r="170" spans="1:8" ht="42" thickBot="1">
      <c r="A170" s="922" t="s">
        <v>808</v>
      </c>
      <c r="B170" s="566" t="s">
        <v>809</v>
      </c>
      <c r="C170" s="923" t="s">
        <v>707</v>
      </c>
      <c r="D170" s="924">
        <v>20070101</v>
      </c>
      <c r="E170" s="924">
        <v>20150101</v>
      </c>
      <c r="F170" s="921"/>
      <c r="G170" s="40"/>
      <c r="H170"/>
    </row>
    <row r="171" spans="1:8" ht="14.45" thickBot="1">
      <c r="A171" s="922" t="s">
        <v>810</v>
      </c>
      <c r="B171" s="566" t="s">
        <v>811</v>
      </c>
      <c r="C171" s="923" t="s">
        <v>707</v>
      </c>
      <c r="D171" s="924">
        <v>20040101</v>
      </c>
      <c r="E171" s="924">
        <v>20040101</v>
      </c>
      <c r="F171" s="921"/>
      <c r="G171" s="40"/>
      <c r="H171"/>
    </row>
    <row r="172" spans="1:8" ht="14.45" thickBot="1">
      <c r="A172" s="922" t="s">
        <v>812</v>
      </c>
      <c r="B172" s="566" t="s">
        <v>813</v>
      </c>
      <c r="C172" s="923" t="s">
        <v>707</v>
      </c>
      <c r="D172" s="924">
        <v>20060101</v>
      </c>
      <c r="E172" s="924">
        <v>20060101</v>
      </c>
      <c r="F172" s="921"/>
      <c r="G172" s="40"/>
      <c r="H172"/>
    </row>
    <row r="173" spans="1:8" ht="14.45" thickBot="1">
      <c r="A173" s="922" t="s">
        <v>814</v>
      </c>
      <c r="B173" s="566" t="s">
        <v>815</v>
      </c>
      <c r="C173" s="923" t="s">
        <v>707</v>
      </c>
      <c r="D173" s="924">
        <v>20060101</v>
      </c>
      <c r="E173" s="924">
        <v>20060101</v>
      </c>
      <c r="F173" s="921"/>
      <c r="G173" s="40"/>
      <c r="H173"/>
    </row>
    <row r="174" spans="1:8" ht="14.45" thickBot="1">
      <c r="A174" s="922" t="s">
        <v>816</v>
      </c>
      <c r="B174" s="566" t="s">
        <v>817</v>
      </c>
      <c r="C174" s="923" t="s">
        <v>707</v>
      </c>
      <c r="D174" s="924">
        <v>20080101</v>
      </c>
      <c r="E174" s="924">
        <v>20080101</v>
      </c>
      <c r="F174" s="921"/>
      <c r="G174" s="40"/>
      <c r="H174"/>
    </row>
    <row r="175" spans="1:8" ht="14.45" thickBot="1">
      <c r="A175" s="922" t="s">
        <v>818</v>
      </c>
      <c r="B175" s="566" t="s">
        <v>819</v>
      </c>
      <c r="C175" s="923" t="s">
        <v>699</v>
      </c>
      <c r="D175" s="924">
        <v>19930101</v>
      </c>
      <c r="E175" s="924">
        <v>19960101</v>
      </c>
      <c r="F175" s="921"/>
      <c r="G175" s="40"/>
      <c r="H175"/>
    </row>
    <row r="176" spans="1:8" ht="14.45" thickBot="1">
      <c r="A176" s="922" t="s">
        <v>820</v>
      </c>
      <c r="B176" s="566" t="s">
        <v>821</v>
      </c>
      <c r="C176" s="923" t="s">
        <v>699</v>
      </c>
      <c r="D176" s="924">
        <v>20030101</v>
      </c>
      <c r="E176" s="924">
        <v>20050101</v>
      </c>
      <c r="F176" s="921"/>
      <c r="G176" s="40"/>
      <c r="H176"/>
    </row>
    <row r="177" spans="1:8" ht="14.45" thickBot="1">
      <c r="A177" s="922" t="s">
        <v>822</v>
      </c>
      <c r="B177" s="566" t="s">
        <v>823</v>
      </c>
      <c r="C177" s="923" t="s">
        <v>707</v>
      </c>
      <c r="D177" s="924">
        <v>20060101</v>
      </c>
      <c r="E177" s="924">
        <v>20060101</v>
      </c>
      <c r="F177" s="921"/>
      <c r="G177" s="40"/>
      <c r="H177"/>
    </row>
    <row r="178" spans="1:8" ht="14.45" thickBot="1">
      <c r="A178" s="922" t="s">
        <v>824</v>
      </c>
      <c r="B178" s="566" t="s">
        <v>825</v>
      </c>
      <c r="C178" s="923" t="s">
        <v>699</v>
      </c>
      <c r="D178" s="924">
        <v>20030101</v>
      </c>
      <c r="E178" s="924">
        <v>20050101</v>
      </c>
      <c r="F178" s="921"/>
      <c r="G178" s="40"/>
      <c r="H178"/>
    </row>
    <row r="179" spans="1:8" ht="42" thickBot="1">
      <c r="A179" s="922" t="s">
        <v>826</v>
      </c>
      <c r="B179" s="566" t="s">
        <v>827</v>
      </c>
      <c r="C179" s="923" t="s">
        <v>699</v>
      </c>
      <c r="D179" s="924">
        <v>20020101</v>
      </c>
      <c r="E179" s="924">
        <v>20020701</v>
      </c>
      <c r="F179" s="921"/>
      <c r="G179" s="40"/>
      <c r="H179"/>
    </row>
    <row r="180" spans="1:8" ht="28.15" thickBot="1">
      <c r="A180" s="922" t="s">
        <v>828</v>
      </c>
      <c r="B180" s="566" t="s">
        <v>829</v>
      </c>
      <c r="C180" s="923" t="s">
        <v>699</v>
      </c>
      <c r="D180" s="924">
        <v>20020101</v>
      </c>
      <c r="E180" s="924">
        <v>20020701</v>
      </c>
      <c r="F180" s="921"/>
      <c r="G180" s="40"/>
      <c r="H180"/>
    </row>
    <row r="181" spans="1:8" ht="14.45" thickBot="1">
      <c r="A181" s="922" t="s">
        <v>830</v>
      </c>
      <c r="B181" s="566" t="s">
        <v>831</v>
      </c>
      <c r="C181" s="923" t="s">
        <v>699</v>
      </c>
      <c r="D181" s="924">
        <v>20040101</v>
      </c>
      <c r="E181" s="924">
        <v>20060101</v>
      </c>
      <c r="F181" s="921"/>
      <c r="G181" s="40"/>
      <c r="H181"/>
    </row>
    <row r="182" spans="1:8" ht="14.45" thickBot="1">
      <c r="A182" s="922" t="s">
        <v>832</v>
      </c>
      <c r="B182" s="566" t="s">
        <v>833</v>
      </c>
      <c r="C182" s="923" t="s">
        <v>699</v>
      </c>
      <c r="D182" s="924">
        <v>19860101</v>
      </c>
      <c r="E182" s="924">
        <v>19960101</v>
      </c>
      <c r="F182" s="921"/>
      <c r="G182" s="40"/>
      <c r="H182"/>
    </row>
    <row r="183" spans="1:8" ht="14.45" thickBot="1">
      <c r="A183" s="922" t="s">
        <v>834</v>
      </c>
      <c r="B183" s="566" t="s">
        <v>835</v>
      </c>
      <c r="C183" s="923" t="s">
        <v>699</v>
      </c>
      <c r="D183" s="924">
        <v>19860101</v>
      </c>
      <c r="E183" s="924">
        <v>19960101</v>
      </c>
      <c r="F183" s="921"/>
      <c r="G183" s="40"/>
      <c r="H183"/>
    </row>
    <row r="184" spans="1:8" ht="14.45" thickBot="1">
      <c r="A184" s="922" t="s">
        <v>836</v>
      </c>
      <c r="B184" s="566" t="s">
        <v>837</v>
      </c>
      <c r="C184" s="923" t="s">
        <v>699</v>
      </c>
      <c r="D184" s="924">
        <v>19860101</v>
      </c>
      <c r="E184" s="924">
        <v>19960101</v>
      </c>
      <c r="F184" s="921"/>
      <c r="G184" s="40"/>
      <c r="H184"/>
    </row>
    <row r="185" spans="1:8" ht="14.45" thickBot="1">
      <c r="A185" s="922" t="s">
        <v>838</v>
      </c>
      <c r="B185" s="566" t="s">
        <v>839</v>
      </c>
      <c r="C185" s="923" t="s">
        <v>699</v>
      </c>
      <c r="D185" s="924">
        <v>19860101</v>
      </c>
      <c r="E185" s="924">
        <v>19960101</v>
      </c>
      <c r="F185" s="921"/>
      <c r="G185" s="40"/>
      <c r="H185"/>
    </row>
    <row r="186" spans="1:8" ht="14.45" thickBot="1">
      <c r="A186" s="922" t="s">
        <v>840</v>
      </c>
      <c r="B186" s="566" t="s">
        <v>841</v>
      </c>
      <c r="C186" s="923" t="s">
        <v>699</v>
      </c>
      <c r="D186" s="924">
        <v>19860101</v>
      </c>
      <c r="E186" s="924">
        <v>19960101</v>
      </c>
      <c r="F186" s="921"/>
      <c r="G186" s="40"/>
      <c r="H186"/>
    </row>
    <row r="187" spans="1:8" ht="28.15" thickBot="1">
      <c r="A187" s="922" t="s">
        <v>842</v>
      </c>
      <c r="B187" s="566" t="s">
        <v>843</v>
      </c>
      <c r="C187" s="923" t="s">
        <v>699</v>
      </c>
      <c r="D187" s="924">
        <v>19860101</v>
      </c>
      <c r="E187" s="924">
        <v>19930101</v>
      </c>
      <c r="F187" s="921"/>
      <c r="G187" s="40"/>
      <c r="H187"/>
    </row>
    <row r="188" spans="1:8" ht="14.45" thickBot="1">
      <c r="A188" s="922" t="s">
        <v>844</v>
      </c>
      <c r="B188" s="566" t="s">
        <v>845</v>
      </c>
      <c r="C188" s="923" t="s">
        <v>699</v>
      </c>
      <c r="D188" s="924">
        <v>19860101</v>
      </c>
      <c r="E188" s="924">
        <v>19890101</v>
      </c>
      <c r="F188" s="921"/>
      <c r="G188" s="40"/>
      <c r="H188"/>
    </row>
    <row r="189" spans="1:8" ht="14.45" thickBot="1">
      <c r="A189" s="922" t="s">
        <v>846</v>
      </c>
      <c r="B189" s="566" t="s">
        <v>847</v>
      </c>
      <c r="C189" s="923" t="s">
        <v>699</v>
      </c>
      <c r="D189" s="924">
        <v>19860101</v>
      </c>
      <c r="E189" s="924">
        <v>19890101</v>
      </c>
      <c r="F189" s="921"/>
      <c r="G189" s="40"/>
      <c r="H189"/>
    </row>
    <row r="190" spans="1:8" ht="14.45" thickBot="1">
      <c r="A190" s="922" t="s">
        <v>848</v>
      </c>
      <c r="B190" s="566" t="s">
        <v>849</v>
      </c>
      <c r="C190" s="923" t="s">
        <v>699</v>
      </c>
      <c r="D190" s="924">
        <v>19860101</v>
      </c>
      <c r="E190" s="924">
        <v>19970101</v>
      </c>
      <c r="F190" s="921"/>
      <c r="G190" s="40"/>
      <c r="H190"/>
    </row>
    <row r="191" spans="1:8" ht="28.15" thickBot="1">
      <c r="A191" s="922" t="s">
        <v>850</v>
      </c>
      <c r="B191" s="566" t="s">
        <v>851</v>
      </c>
      <c r="C191" s="923" t="s">
        <v>699</v>
      </c>
      <c r="D191" s="924">
        <v>20110101</v>
      </c>
      <c r="E191" s="924">
        <v>20110101</v>
      </c>
      <c r="F191" s="921"/>
      <c r="G191" s="40"/>
      <c r="H191"/>
    </row>
    <row r="192" spans="1:8" ht="14.45" thickBot="1">
      <c r="A192" s="922" t="s">
        <v>852</v>
      </c>
      <c r="B192" s="566" t="s">
        <v>853</v>
      </c>
      <c r="C192" s="923" t="s">
        <v>702</v>
      </c>
      <c r="D192" s="924">
        <v>19900101</v>
      </c>
      <c r="E192" s="924">
        <v>20140101</v>
      </c>
      <c r="F192" s="921"/>
      <c r="G192" s="40"/>
      <c r="H192"/>
    </row>
    <row r="193" spans="1:8" ht="14.45" thickBot="1">
      <c r="A193" s="922" t="s">
        <v>854</v>
      </c>
      <c r="B193" s="566" t="s">
        <v>855</v>
      </c>
      <c r="C193" s="923" t="s">
        <v>702</v>
      </c>
      <c r="D193" s="924">
        <v>19900101</v>
      </c>
      <c r="E193" s="924">
        <v>20140101</v>
      </c>
      <c r="F193" s="921"/>
      <c r="G193" s="40"/>
      <c r="H193"/>
    </row>
    <row r="194" spans="1:8" ht="28.15" thickBot="1">
      <c r="A194" s="922" t="s">
        <v>856</v>
      </c>
      <c r="B194" s="566" t="s">
        <v>857</v>
      </c>
      <c r="C194" s="923" t="s">
        <v>699</v>
      </c>
      <c r="D194" s="924">
        <v>20020101</v>
      </c>
      <c r="E194" s="924">
        <v>20020701</v>
      </c>
      <c r="F194" s="921"/>
      <c r="G194" s="40"/>
      <c r="H194"/>
    </row>
    <row r="195" spans="1:8" ht="14.45" thickBot="1">
      <c r="A195" s="922" t="s">
        <v>858</v>
      </c>
      <c r="B195" s="566" t="s">
        <v>859</v>
      </c>
      <c r="C195" s="923" t="s">
        <v>699</v>
      </c>
      <c r="D195" s="924">
        <v>19860101</v>
      </c>
      <c r="E195" s="924">
        <v>20050101</v>
      </c>
      <c r="F195" s="921"/>
      <c r="G195" s="40"/>
      <c r="H195"/>
    </row>
    <row r="196" spans="1:8" ht="42" thickBot="1">
      <c r="A196" s="922" t="s">
        <v>860</v>
      </c>
      <c r="B196" s="566" t="s">
        <v>861</v>
      </c>
      <c r="C196" s="923" t="s">
        <v>699</v>
      </c>
      <c r="D196" s="924">
        <v>20040101</v>
      </c>
      <c r="E196" s="924">
        <v>20120101</v>
      </c>
      <c r="F196" s="921"/>
      <c r="G196" s="40"/>
      <c r="H196"/>
    </row>
    <row r="197" spans="1:8" ht="42" thickBot="1">
      <c r="A197" s="922" t="s">
        <v>862</v>
      </c>
      <c r="B197" s="566" t="s">
        <v>863</v>
      </c>
      <c r="C197" s="923" t="s">
        <v>699</v>
      </c>
      <c r="D197" s="924">
        <v>20040101</v>
      </c>
      <c r="E197" s="924">
        <v>20120101</v>
      </c>
      <c r="F197" s="921"/>
      <c r="G197" s="40"/>
      <c r="H197"/>
    </row>
    <row r="198" spans="1:8" ht="28.15" thickBot="1">
      <c r="A198" s="922" t="s">
        <v>864</v>
      </c>
      <c r="B198" s="566" t="s">
        <v>865</v>
      </c>
      <c r="C198" s="923" t="s">
        <v>699</v>
      </c>
      <c r="D198" s="924">
        <v>20060101</v>
      </c>
      <c r="E198" s="924">
        <v>20120101</v>
      </c>
      <c r="F198" s="921"/>
      <c r="G198" s="40"/>
      <c r="H198"/>
    </row>
    <row r="199" spans="1:8" ht="28.15" thickBot="1">
      <c r="A199" s="922" t="s">
        <v>866</v>
      </c>
      <c r="B199" s="566" t="s">
        <v>867</v>
      </c>
      <c r="C199" s="923" t="s">
        <v>699</v>
      </c>
      <c r="D199" s="924">
        <v>20060101</v>
      </c>
      <c r="E199" s="924">
        <v>20120101</v>
      </c>
      <c r="F199" s="921"/>
      <c r="G199" s="40"/>
      <c r="H199"/>
    </row>
    <row r="200" spans="1:8" ht="14.45" thickBot="1">
      <c r="A200" s="922" t="s">
        <v>868</v>
      </c>
      <c r="B200" s="566" t="s">
        <v>869</v>
      </c>
      <c r="C200" s="924" t="s">
        <v>702</v>
      </c>
      <c r="D200" s="921"/>
      <c r="E200" s="921"/>
      <c r="F200" s="921"/>
      <c r="G200" s="40"/>
      <c r="H200"/>
    </row>
    <row r="201" spans="1:8" ht="28.15" thickBot="1">
      <c r="A201" s="922" t="s">
        <v>870</v>
      </c>
      <c r="B201" s="566" t="s">
        <v>871</v>
      </c>
      <c r="C201" s="923" t="s">
        <v>699</v>
      </c>
      <c r="D201" s="924">
        <v>20070101</v>
      </c>
      <c r="E201" s="924">
        <v>20070101</v>
      </c>
      <c r="F201" s="921"/>
      <c r="G201" s="40"/>
      <c r="H201"/>
    </row>
    <row r="202" spans="1:8" ht="14.45" thickBot="1">
      <c r="A202" s="922" t="s">
        <v>872</v>
      </c>
      <c r="B202" s="566" t="s">
        <v>873</v>
      </c>
      <c r="C202" s="923" t="s">
        <v>702</v>
      </c>
      <c r="D202" s="924">
        <v>19860101</v>
      </c>
      <c r="E202" s="924">
        <v>20010401</v>
      </c>
      <c r="F202" s="921"/>
      <c r="G202" s="40"/>
      <c r="H202"/>
    </row>
    <row r="203" spans="1:8" ht="28.15" thickBot="1">
      <c r="A203" s="922" t="s">
        <v>874</v>
      </c>
      <c r="B203" s="566" t="s">
        <v>875</v>
      </c>
      <c r="C203" s="923" t="s">
        <v>702</v>
      </c>
      <c r="D203" s="924">
        <v>19860101</v>
      </c>
      <c r="E203" s="924">
        <v>20010401</v>
      </c>
      <c r="F203" s="921"/>
      <c r="G203" s="40"/>
      <c r="H203"/>
    </row>
    <row r="204" spans="1:8" ht="28.15" thickBot="1">
      <c r="A204" s="922" t="s">
        <v>876</v>
      </c>
      <c r="B204" s="566" t="s">
        <v>877</v>
      </c>
      <c r="C204" s="923" t="s">
        <v>702</v>
      </c>
      <c r="D204" s="924">
        <v>19860101</v>
      </c>
      <c r="E204" s="924">
        <v>20010401</v>
      </c>
      <c r="F204" s="921"/>
      <c r="G204" s="40"/>
      <c r="H204"/>
    </row>
    <row r="205" spans="1:8" ht="28.15" thickBot="1">
      <c r="A205" s="922" t="s">
        <v>878</v>
      </c>
      <c r="B205" s="566" t="s">
        <v>879</v>
      </c>
      <c r="C205" s="923" t="s">
        <v>702</v>
      </c>
      <c r="D205" s="924">
        <v>19860101</v>
      </c>
      <c r="E205" s="924">
        <v>20010401</v>
      </c>
      <c r="F205" s="921"/>
      <c r="G205" s="40"/>
      <c r="H205"/>
    </row>
    <row r="206" spans="1:8" ht="28.15" thickBot="1">
      <c r="A206" s="922" t="s">
        <v>880</v>
      </c>
      <c r="B206" s="566" t="s">
        <v>881</v>
      </c>
      <c r="C206" s="923" t="s">
        <v>702</v>
      </c>
      <c r="D206" s="924">
        <v>19860101</v>
      </c>
      <c r="E206" s="924">
        <v>20010401</v>
      </c>
      <c r="F206" s="921"/>
      <c r="G206" s="40"/>
      <c r="H206"/>
    </row>
    <row r="207" spans="1:8" ht="28.15" thickBot="1">
      <c r="A207" s="922" t="s">
        <v>882</v>
      </c>
      <c r="B207" s="566" t="s">
        <v>883</v>
      </c>
      <c r="C207" s="923" t="s">
        <v>702</v>
      </c>
      <c r="D207" s="924">
        <v>19860101</v>
      </c>
      <c r="E207" s="924">
        <v>20010401</v>
      </c>
      <c r="F207" s="921"/>
      <c r="G207" s="40"/>
      <c r="H207"/>
    </row>
    <row r="208" spans="1:8" ht="28.15" thickBot="1">
      <c r="A208" s="922" t="s">
        <v>884</v>
      </c>
      <c r="B208" s="566" t="s">
        <v>885</v>
      </c>
      <c r="C208" s="923" t="s">
        <v>702</v>
      </c>
      <c r="D208" s="924">
        <v>19860101</v>
      </c>
      <c r="E208" s="924">
        <v>20010401</v>
      </c>
      <c r="F208" s="921"/>
      <c r="G208" s="40"/>
      <c r="H208"/>
    </row>
    <row r="209" spans="1:8" ht="28.15" thickBot="1">
      <c r="A209" s="922" t="s">
        <v>886</v>
      </c>
      <c r="B209" s="566" t="s">
        <v>887</v>
      </c>
      <c r="C209" s="923" t="s">
        <v>702</v>
      </c>
      <c r="D209" s="924">
        <v>19860101</v>
      </c>
      <c r="E209" s="924">
        <v>20010401</v>
      </c>
      <c r="F209" s="921"/>
      <c r="G209" s="40"/>
      <c r="H209"/>
    </row>
    <row r="210" spans="1:8" ht="28.15" thickBot="1">
      <c r="A210" s="922" t="s">
        <v>888</v>
      </c>
      <c r="B210" s="566" t="s">
        <v>889</v>
      </c>
      <c r="C210" s="923" t="s">
        <v>702</v>
      </c>
      <c r="D210" s="924">
        <v>19860101</v>
      </c>
      <c r="E210" s="924">
        <v>20010401</v>
      </c>
      <c r="F210" s="921"/>
      <c r="G210" s="40"/>
      <c r="H210"/>
    </row>
    <row r="211" spans="1:8" ht="28.15" thickBot="1">
      <c r="A211" s="922" t="s">
        <v>890</v>
      </c>
      <c r="B211" s="566" t="s">
        <v>891</v>
      </c>
      <c r="C211" s="923" t="s">
        <v>702</v>
      </c>
      <c r="D211" s="924">
        <v>19860101</v>
      </c>
      <c r="E211" s="924">
        <v>20010401</v>
      </c>
      <c r="F211" s="921"/>
      <c r="G211" s="40"/>
      <c r="H211"/>
    </row>
    <row r="212" spans="1:8" ht="28.15" thickBot="1">
      <c r="A212" s="922" t="s">
        <v>892</v>
      </c>
      <c r="B212" s="566" t="s">
        <v>893</v>
      </c>
      <c r="C212" s="923" t="s">
        <v>702</v>
      </c>
      <c r="D212" s="924">
        <v>19860101</v>
      </c>
      <c r="E212" s="924">
        <v>20010401</v>
      </c>
      <c r="F212" s="921"/>
      <c r="G212" s="40"/>
      <c r="H212"/>
    </row>
    <row r="213" spans="1:8" ht="14.45" thickBot="1">
      <c r="A213" s="922" t="s">
        <v>894</v>
      </c>
      <c r="B213" s="566" t="s">
        <v>895</v>
      </c>
      <c r="C213" s="923" t="s">
        <v>699</v>
      </c>
      <c r="D213" s="924">
        <v>19860101</v>
      </c>
      <c r="E213" s="924">
        <v>19960101</v>
      </c>
      <c r="F213" s="921"/>
      <c r="G213" s="40"/>
      <c r="H213"/>
    </row>
    <row r="214" spans="1:8" ht="28.15" thickBot="1">
      <c r="A214" s="922" t="s">
        <v>896</v>
      </c>
      <c r="B214" s="566" t="s">
        <v>897</v>
      </c>
      <c r="C214" s="924" t="s">
        <v>699</v>
      </c>
      <c r="D214" s="921"/>
      <c r="E214" s="921"/>
      <c r="F214" s="921"/>
      <c r="G214" s="40"/>
      <c r="H214"/>
    </row>
    <row r="215" spans="1:8" ht="14.45" thickBot="1">
      <c r="A215" s="922" t="s">
        <v>898</v>
      </c>
      <c r="B215" s="566" t="s">
        <v>899</v>
      </c>
      <c r="C215" s="924" t="s">
        <v>699</v>
      </c>
      <c r="D215" s="921"/>
      <c r="E215" s="921"/>
      <c r="F215" s="921"/>
      <c r="G215" s="40"/>
      <c r="H215"/>
    </row>
    <row r="216" spans="1:8" ht="28.15" thickBot="1">
      <c r="A216" s="922" t="s">
        <v>900</v>
      </c>
      <c r="B216" s="566" t="s">
        <v>901</v>
      </c>
      <c r="C216" s="923" t="s">
        <v>702</v>
      </c>
      <c r="D216" s="924">
        <v>20050101</v>
      </c>
      <c r="E216" s="924">
        <v>20050101</v>
      </c>
      <c r="F216" s="921"/>
      <c r="G216" s="40"/>
      <c r="H216"/>
    </row>
    <row r="217" spans="1:8" ht="28.15" thickBot="1">
      <c r="A217" s="922" t="s">
        <v>902</v>
      </c>
      <c r="B217" s="566" t="s">
        <v>903</v>
      </c>
      <c r="C217" s="923" t="s">
        <v>702</v>
      </c>
      <c r="D217" s="924">
        <v>20050101</v>
      </c>
      <c r="E217" s="924">
        <v>20050101</v>
      </c>
      <c r="F217" s="921"/>
      <c r="G217" s="40"/>
      <c r="H217"/>
    </row>
    <row r="218" spans="1:8" ht="28.15" thickBot="1">
      <c r="A218" s="922" t="s">
        <v>904</v>
      </c>
      <c r="B218" s="566" t="s">
        <v>905</v>
      </c>
      <c r="C218" s="923" t="s">
        <v>702</v>
      </c>
      <c r="D218" s="924">
        <v>20050101</v>
      </c>
      <c r="E218" s="924">
        <v>20050101</v>
      </c>
      <c r="F218" s="921"/>
      <c r="G218" s="40"/>
      <c r="H218"/>
    </row>
    <row r="219" spans="1:8" ht="14.45" thickBot="1">
      <c r="A219" s="922" t="s">
        <v>906</v>
      </c>
      <c r="B219" s="566" t="s">
        <v>907</v>
      </c>
      <c r="C219" s="924" t="s">
        <v>699</v>
      </c>
      <c r="D219" s="921"/>
      <c r="E219" s="921"/>
      <c r="F219" s="921"/>
      <c r="G219" s="40"/>
      <c r="H219"/>
    </row>
    <row r="220" spans="1:8" ht="14.45" thickBot="1">
      <c r="A220" s="922" t="s">
        <v>908</v>
      </c>
      <c r="B220" s="566" t="s">
        <v>909</v>
      </c>
      <c r="C220" s="924" t="s">
        <v>699</v>
      </c>
      <c r="D220" s="921"/>
      <c r="E220" s="921"/>
      <c r="F220" s="921"/>
      <c r="G220" s="40"/>
      <c r="H220"/>
    </row>
    <row r="221" spans="1:8" ht="14.45" thickBot="1">
      <c r="A221" s="922" t="s">
        <v>910</v>
      </c>
      <c r="B221" s="566" t="s">
        <v>911</v>
      </c>
      <c r="C221" s="924" t="s">
        <v>699</v>
      </c>
      <c r="D221" s="921"/>
      <c r="E221" s="921"/>
      <c r="F221" s="921"/>
      <c r="G221" s="40"/>
      <c r="H221"/>
    </row>
    <row r="222" spans="1:8" ht="14.45" thickBot="1">
      <c r="A222" s="922" t="s">
        <v>912</v>
      </c>
      <c r="B222" s="566" t="s">
        <v>913</v>
      </c>
      <c r="C222" s="924" t="s">
        <v>699</v>
      </c>
      <c r="D222" s="921"/>
      <c r="E222" s="921"/>
      <c r="F222" s="921"/>
      <c r="G222" s="40"/>
      <c r="H222"/>
    </row>
    <row r="223" spans="1:8" ht="14.45" thickBot="1">
      <c r="A223" s="922" t="s">
        <v>914</v>
      </c>
      <c r="B223" s="566" t="s">
        <v>915</v>
      </c>
      <c r="C223" s="924" t="s">
        <v>699</v>
      </c>
      <c r="D223" s="921"/>
      <c r="E223" s="921"/>
      <c r="F223" s="921"/>
      <c r="G223" s="40"/>
      <c r="H223"/>
    </row>
    <row r="224" spans="1:8" ht="14.45" thickBot="1">
      <c r="A224" s="922" t="s">
        <v>914</v>
      </c>
      <c r="B224" s="566" t="s">
        <v>916</v>
      </c>
      <c r="C224" s="924" t="s">
        <v>699</v>
      </c>
      <c r="D224" s="921"/>
      <c r="E224" s="921"/>
      <c r="F224" s="921"/>
      <c r="G224" s="40"/>
      <c r="H224"/>
    </row>
    <row r="225" spans="1:8" ht="14.45" thickBot="1">
      <c r="A225" s="922" t="s">
        <v>917</v>
      </c>
      <c r="B225" s="566" t="s">
        <v>918</v>
      </c>
      <c r="C225" s="924" t="s">
        <v>699</v>
      </c>
      <c r="D225" s="921"/>
      <c r="E225" s="921"/>
      <c r="F225" s="921"/>
      <c r="G225" s="40"/>
      <c r="H225"/>
    </row>
    <row r="226" spans="1:8" ht="14.45" thickBot="1">
      <c r="A226" s="922" t="s">
        <v>919</v>
      </c>
      <c r="B226" s="566" t="s">
        <v>920</v>
      </c>
      <c r="C226" s="924" t="s">
        <v>699</v>
      </c>
      <c r="D226" s="921"/>
      <c r="E226" s="921"/>
      <c r="F226" s="921"/>
      <c r="G226" s="40"/>
      <c r="H226"/>
    </row>
    <row r="227" spans="1:8" ht="48.6" customHeight="1" thickBot="1">
      <c r="A227" s="922" t="s">
        <v>921</v>
      </c>
      <c r="B227" s="566" t="s">
        <v>922</v>
      </c>
      <c r="C227" s="924" t="s">
        <v>699</v>
      </c>
      <c r="D227" s="921"/>
      <c r="E227" s="921"/>
      <c r="F227" s="921"/>
      <c r="G227" s="40"/>
      <c r="H227"/>
    </row>
    <row r="228" spans="1:8" ht="46.9" customHeight="1" thickBot="1">
      <c r="A228" s="922" t="s">
        <v>923</v>
      </c>
      <c r="B228" s="566" t="s">
        <v>924</v>
      </c>
      <c r="C228" s="924" t="s">
        <v>699</v>
      </c>
      <c r="D228" s="921"/>
      <c r="E228" s="921"/>
      <c r="F228" s="921"/>
      <c r="G228" s="40"/>
      <c r="H228"/>
    </row>
    <row r="229" spans="1:8" ht="14.45" thickBot="1">
      <c r="A229" s="922" t="s">
        <v>925</v>
      </c>
      <c r="B229" s="566" t="s">
        <v>926</v>
      </c>
      <c r="C229" s="924" t="s">
        <v>699</v>
      </c>
      <c r="D229" s="921"/>
      <c r="E229" s="921"/>
      <c r="F229" s="921"/>
      <c r="G229" s="40"/>
      <c r="H229"/>
    </row>
    <row r="230" spans="1:8" ht="14.45" thickBot="1">
      <c r="A230" s="922" t="s">
        <v>927</v>
      </c>
      <c r="B230" s="566" t="s">
        <v>928</v>
      </c>
      <c r="C230" s="924" t="s">
        <v>699</v>
      </c>
      <c r="D230" s="921"/>
      <c r="E230" s="921"/>
      <c r="F230" s="921"/>
      <c r="G230" s="40"/>
      <c r="H230"/>
    </row>
    <row r="231" spans="1:8" ht="14.45" thickBot="1">
      <c r="A231" s="922" t="s">
        <v>929</v>
      </c>
      <c r="B231" s="566" t="s">
        <v>930</v>
      </c>
      <c r="C231" s="924" t="s">
        <v>699</v>
      </c>
      <c r="D231" s="921"/>
      <c r="E231" s="921"/>
      <c r="F231" s="921"/>
      <c r="G231" s="40"/>
      <c r="H231"/>
    </row>
    <row r="232" spans="1:8" ht="28.15" thickBot="1">
      <c r="A232" s="922" t="s">
        <v>931</v>
      </c>
      <c r="B232" s="566" t="s">
        <v>932</v>
      </c>
      <c r="C232" s="923" t="s">
        <v>699</v>
      </c>
      <c r="D232" s="924">
        <v>20090401</v>
      </c>
      <c r="E232" s="924">
        <v>20090401</v>
      </c>
      <c r="F232" s="921"/>
      <c r="G232" s="40"/>
      <c r="H232"/>
    </row>
    <row r="233" spans="1:8" ht="43.9" customHeight="1" thickBot="1">
      <c r="A233" s="922" t="s">
        <v>933</v>
      </c>
      <c r="B233" s="566" t="s">
        <v>934</v>
      </c>
      <c r="C233" s="924" t="s">
        <v>699</v>
      </c>
      <c r="D233" s="921"/>
      <c r="E233" s="921"/>
      <c r="F233" s="921"/>
      <c r="G233" s="40"/>
      <c r="H233"/>
    </row>
    <row r="234" spans="1:8" ht="14.45" thickBot="1">
      <c r="A234" s="922" t="s">
        <v>935</v>
      </c>
      <c r="B234" s="566" t="s">
        <v>936</v>
      </c>
      <c r="C234" s="924" t="s">
        <v>699</v>
      </c>
      <c r="D234" s="921"/>
      <c r="E234" s="921"/>
      <c r="F234" s="921"/>
      <c r="G234" s="40"/>
      <c r="H234"/>
    </row>
    <row r="235" spans="1:8" ht="14.45" thickBot="1">
      <c r="A235" s="922" t="s">
        <v>937</v>
      </c>
      <c r="B235" s="566" t="s">
        <v>938</v>
      </c>
      <c r="C235" s="924" t="s">
        <v>699</v>
      </c>
      <c r="D235" s="921"/>
      <c r="E235" s="921"/>
      <c r="F235" s="921"/>
      <c r="G235" s="40"/>
      <c r="H235"/>
    </row>
    <row r="236" spans="1:8" ht="14.45" thickBot="1">
      <c r="A236" s="922" t="s">
        <v>939</v>
      </c>
      <c r="B236" s="566" t="s">
        <v>940</v>
      </c>
      <c r="C236" s="924" t="s">
        <v>699</v>
      </c>
      <c r="D236" s="921"/>
      <c r="E236" s="921"/>
      <c r="F236" s="921"/>
      <c r="G236" s="40"/>
      <c r="H236"/>
    </row>
    <row r="237" spans="1:8" ht="14.45" thickBot="1">
      <c r="A237" s="922" t="s">
        <v>941</v>
      </c>
      <c r="B237" s="566" t="s">
        <v>942</v>
      </c>
      <c r="C237" s="924" t="s">
        <v>699</v>
      </c>
      <c r="D237" s="921"/>
      <c r="E237" s="921"/>
      <c r="F237" s="921"/>
      <c r="G237" s="40"/>
      <c r="H237"/>
    </row>
    <row r="238" spans="1:8" ht="14.45" thickBot="1">
      <c r="A238" s="922" t="s">
        <v>906</v>
      </c>
      <c r="B238" s="566" t="s">
        <v>943</v>
      </c>
      <c r="C238" s="924" t="s">
        <v>699</v>
      </c>
      <c r="D238" s="921"/>
      <c r="E238" s="921"/>
      <c r="F238" s="921"/>
      <c r="G238" s="40"/>
      <c r="H238"/>
    </row>
    <row r="239" spans="1:8" ht="14.45" thickBot="1">
      <c r="A239" s="922" t="s">
        <v>944</v>
      </c>
      <c r="B239" s="566" t="s">
        <v>945</v>
      </c>
      <c r="C239" s="923" t="s">
        <v>699</v>
      </c>
      <c r="D239" s="924">
        <v>20000101</v>
      </c>
      <c r="E239" s="924">
        <v>20000101</v>
      </c>
      <c r="F239" s="921"/>
      <c r="G239" s="40"/>
      <c r="H239"/>
    </row>
    <row r="240" spans="1:8" ht="28.15" thickBot="1">
      <c r="A240" s="922" t="s">
        <v>946</v>
      </c>
      <c r="B240" s="566" t="s">
        <v>947</v>
      </c>
      <c r="C240" s="923" t="s">
        <v>702</v>
      </c>
      <c r="D240" s="924">
        <v>20010701</v>
      </c>
      <c r="E240" s="924">
        <v>20010701</v>
      </c>
      <c r="F240" s="921"/>
      <c r="G240" s="40"/>
      <c r="H240"/>
    </row>
    <row r="241" spans="1:8" ht="14.45" thickBot="1">
      <c r="A241" s="922" t="s">
        <v>948</v>
      </c>
      <c r="B241" s="566" t="s">
        <v>949</v>
      </c>
      <c r="C241" s="923" t="s">
        <v>702</v>
      </c>
      <c r="D241" s="924">
        <v>20010701</v>
      </c>
      <c r="E241" s="924">
        <v>20010701</v>
      </c>
      <c r="F241" s="921"/>
      <c r="G241" s="40"/>
      <c r="H241"/>
    </row>
    <row r="242" spans="1:8" ht="14.45" thickBot="1">
      <c r="A242" s="922" t="s">
        <v>950</v>
      </c>
      <c r="B242" s="566" t="s">
        <v>951</v>
      </c>
      <c r="C242" s="923" t="s">
        <v>702</v>
      </c>
      <c r="D242" s="924">
        <v>20010701</v>
      </c>
      <c r="E242" s="924">
        <v>20010701</v>
      </c>
      <c r="F242" s="921"/>
      <c r="G242" s="40"/>
      <c r="H242"/>
    </row>
    <row r="243" spans="1:8" ht="14.45" thickBot="1">
      <c r="A243" s="922" t="s">
        <v>952</v>
      </c>
      <c r="B243" s="566" t="s">
        <v>953</v>
      </c>
      <c r="C243" s="923" t="s">
        <v>702</v>
      </c>
      <c r="D243" s="924">
        <v>20010701</v>
      </c>
      <c r="E243" s="924">
        <v>20010701</v>
      </c>
      <c r="F243" s="921"/>
      <c r="G243" s="40"/>
      <c r="H243"/>
    </row>
    <row r="244" spans="1:8" ht="14.45" thickBot="1">
      <c r="A244" s="922" t="s">
        <v>954</v>
      </c>
      <c r="B244" s="566" t="s">
        <v>955</v>
      </c>
      <c r="C244" s="923" t="s">
        <v>702</v>
      </c>
      <c r="D244" s="924">
        <v>20010701</v>
      </c>
      <c r="E244" s="924">
        <v>20010701</v>
      </c>
      <c r="F244" s="921"/>
      <c r="G244" s="40"/>
      <c r="H244"/>
    </row>
    <row r="245" spans="1:8" ht="14.45" thickBot="1">
      <c r="A245" s="922" t="s">
        <v>956</v>
      </c>
      <c r="B245" s="566" t="s">
        <v>957</v>
      </c>
      <c r="C245" s="923" t="s">
        <v>702</v>
      </c>
      <c r="D245" s="924">
        <v>20010701</v>
      </c>
      <c r="E245" s="924">
        <v>20010701</v>
      </c>
      <c r="F245" s="921"/>
      <c r="G245" s="40"/>
      <c r="H245"/>
    </row>
    <row r="246" spans="1:8" ht="28.15" thickBot="1">
      <c r="A246" s="922" t="s">
        <v>958</v>
      </c>
      <c r="B246" s="566" t="s">
        <v>959</v>
      </c>
      <c r="C246" s="923" t="s">
        <v>702</v>
      </c>
      <c r="D246" s="924">
        <v>20010701</v>
      </c>
      <c r="E246" s="924">
        <v>20010701</v>
      </c>
      <c r="F246" s="921"/>
      <c r="G246" s="40"/>
      <c r="H246"/>
    </row>
    <row r="247" spans="1:8" ht="28.15" thickBot="1">
      <c r="A247" s="922" t="s">
        <v>960</v>
      </c>
      <c r="B247" s="566" t="s">
        <v>961</v>
      </c>
      <c r="C247" s="923" t="s">
        <v>702</v>
      </c>
      <c r="D247" s="924">
        <v>20010701</v>
      </c>
      <c r="E247" s="924">
        <v>20010701</v>
      </c>
      <c r="F247" s="921"/>
      <c r="G247" s="40"/>
      <c r="H247"/>
    </row>
    <row r="248" spans="1:8" ht="28.15" thickBot="1">
      <c r="A248" s="922" t="s">
        <v>962</v>
      </c>
      <c r="B248" s="566" t="s">
        <v>963</v>
      </c>
      <c r="C248" s="923" t="s">
        <v>702</v>
      </c>
      <c r="D248" s="924">
        <v>20010701</v>
      </c>
      <c r="E248" s="924">
        <v>20010701</v>
      </c>
      <c r="F248" s="921"/>
      <c r="G248" s="40"/>
      <c r="H248"/>
    </row>
    <row r="249" spans="1:8" ht="28.15" thickBot="1">
      <c r="A249" s="922" t="s">
        <v>964</v>
      </c>
      <c r="B249" s="566" t="s">
        <v>965</v>
      </c>
      <c r="C249" s="923" t="s">
        <v>702</v>
      </c>
      <c r="D249" s="924">
        <v>20010701</v>
      </c>
      <c r="E249" s="924">
        <v>20010701</v>
      </c>
      <c r="F249" s="921"/>
      <c r="G249" s="40"/>
      <c r="H249"/>
    </row>
    <row r="250" spans="1:8" ht="14.45" thickBot="1">
      <c r="A250" s="922" t="s">
        <v>966</v>
      </c>
      <c r="B250" s="566" t="s">
        <v>967</v>
      </c>
      <c r="C250" s="923" t="s">
        <v>702</v>
      </c>
      <c r="D250" s="924">
        <v>20010701</v>
      </c>
      <c r="E250" s="924">
        <v>20010701</v>
      </c>
      <c r="F250" s="921"/>
      <c r="G250" s="40"/>
      <c r="H250"/>
    </row>
    <row r="251" spans="1:8" ht="14.45" thickBot="1">
      <c r="A251" s="922" t="s">
        <v>968</v>
      </c>
      <c r="B251" s="566" t="s">
        <v>969</v>
      </c>
      <c r="C251" s="923" t="s">
        <v>702</v>
      </c>
      <c r="D251" s="924">
        <v>20010701</v>
      </c>
      <c r="E251" s="924">
        <v>20030101</v>
      </c>
      <c r="F251" s="921"/>
      <c r="G251" s="40"/>
      <c r="H251"/>
    </row>
    <row r="252" spans="1:8" ht="28.15" thickBot="1">
      <c r="A252" s="922" t="s">
        <v>970</v>
      </c>
      <c r="B252" s="566" t="s">
        <v>971</v>
      </c>
      <c r="C252" s="923" t="s">
        <v>702</v>
      </c>
      <c r="D252" s="924">
        <v>20010701</v>
      </c>
      <c r="E252" s="924">
        <v>20010701</v>
      </c>
      <c r="F252" s="921"/>
      <c r="G252" s="40"/>
      <c r="H252"/>
    </row>
    <row r="253" spans="1:8" ht="14.45" thickBot="1">
      <c r="A253" s="922" t="s">
        <v>972</v>
      </c>
      <c r="B253" s="566" t="s">
        <v>559</v>
      </c>
      <c r="C253" s="923" t="s">
        <v>702</v>
      </c>
      <c r="D253" s="924">
        <v>20020101</v>
      </c>
      <c r="E253" s="924">
        <v>20020101</v>
      </c>
      <c r="F253" s="921"/>
      <c r="G253" s="40"/>
      <c r="H253"/>
    </row>
    <row r="254" spans="1:8" ht="14.45" thickBot="1">
      <c r="A254" s="922" t="s">
        <v>973</v>
      </c>
      <c r="B254" s="566" t="s">
        <v>974</v>
      </c>
      <c r="C254" s="923" t="s">
        <v>702</v>
      </c>
      <c r="D254" s="924">
        <v>20020701</v>
      </c>
      <c r="E254" s="924">
        <v>20020701</v>
      </c>
      <c r="F254" s="921"/>
      <c r="G254" s="40"/>
      <c r="H254"/>
    </row>
    <row r="255" spans="1:8" ht="14.45" thickBot="1">
      <c r="A255" s="922" t="s">
        <v>975</v>
      </c>
      <c r="B255" s="566" t="s">
        <v>976</v>
      </c>
      <c r="C255" s="923" t="s">
        <v>702</v>
      </c>
      <c r="D255" s="924">
        <v>20020701</v>
      </c>
      <c r="E255" s="924">
        <v>20020701</v>
      </c>
      <c r="F255" s="921"/>
      <c r="G255" s="40"/>
      <c r="H255"/>
    </row>
    <row r="256" spans="1:8" ht="28.15" thickBot="1">
      <c r="A256" s="922" t="s">
        <v>977</v>
      </c>
      <c r="B256" s="566" t="s">
        <v>978</v>
      </c>
      <c r="C256" s="923" t="s">
        <v>702</v>
      </c>
      <c r="D256" s="924">
        <v>20020701</v>
      </c>
      <c r="E256" s="924">
        <v>20020701</v>
      </c>
      <c r="F256" s="921"/>
      <c r="G256" s="40"/>
      <c r="H256"/>
    </row>
    <row r="257" spans="1:8" ht="69.599999999999994" thickBot="1">
      <c r="A257" s="922" t="s">
        <v>979</v>
      </c>
      <c r="B257" s="566" t="s">
        <v>980</v>
      </c>
      <c r="C257" s="923" t="s">
        <v>702</v>
      </c>
      <c r="D257" s="924">
        <v>20020701</v>
      </c>
      <c r="E257" s="924">
        <v>20020701</v>
      </c>
      <c r="F257" s="921"/>
      <c r="G257" s="40"/>
      <c r="H257"/>
    </row>
    <row r="258" spans="1:8" ht="69.599999999999994" thickBot="1">
      <c r="A258" s="922" t="s">
        <v>981</v>
      </c>
      <c r="B258" s="566" t="s">
        <v>982</v>
      </c>
      <c r="C258" s="923" t="s">
        <v>702</v>
      </c>
      <c r="D258" s="924">
        <v>20020701</v>
      </c>
      <c r="E258" s="924">
        <v>20020701</v>
      </c>
      <c r="F258" s="921"/>
      <c r="G258" s="40"/>
      <c r="H258"/>
    </row>
    <row r="259" spans="1:8" ht="14.45" thickBot="1">
      <c r="A259" s="922" t="s">
        <v>983</v>
      </c>
      <c r="B259" s="566" t="s">
        <v>984</v>
      </c>
      <c r="C259" s="923" t="s">
        <v>702</v>
      </c>
      <c r="D259" s="924">
        <v>20020701</v>
      </c>
      <c r="E259" s="924">
        <v>20020701</v>
      </c>
      <c r="F259" s="921"/>
      <c r="G259" s="40"/>
      <c r="H259"/>
    </row>
    <row r="260" spans="1:8" ht="28.15" thickBot="1">
      <c r="A260" s="922" t="s">
        <v>985</v>
      </c>
      <c r="B260" s="566" t="s">
        <v>986</v>
      </c>
      <c r="C260" s="923" t="s">
        <v>702</v>
      </c>
      <c r="D260" s="924">
        <v>20030101</v>
      </c>
      <c r="E260" s="924">
        <v>20030101</v>
      </c>
      <c r="F260" s="921"/>
      <c r="G260" s="40"/>
      <c r="H260"/>
    </row>
    <row r="261" spans="1:8" ht="42" thickBot="1">
      <c r="A261" s="922" t="s">
        <v>987</v>
      </c>
      <c r="B261" s="566" t="s">
        <v>988</v>
      </c>
      <c r="C261" s="923" t="s">
        <v>702</v>
      </c>
      <c r="D261" s="924">
        <v>20030101</v>
      </c>
      <c r="E261" s="924">
        <v>20030101</v>
      </c>
      <c r="F261" s="921"/>
      <c r="G261" s="40"/>
      <c r="H261"/>
    </row>
    <row r="262" spans="1:8" ht="42" thickBot="1">
      <c r="A262" s="922" t="s">
        <v>989</v>
      </c>
      <c r="B262" s="566" t="s">
        <v>990</v>
      </c>
      <c r="C262" s="923" t="s">
        <v>702</v>
      </c>
      <c r="D262" s="924">
        <v>20030101</v>
      </c>
      <c r="E262" s="924">
        <v>20030101</v>
      </c>
      <c r="F262" s="921"/>
      <c r="G262" s="40"/>
      <c r="H262"/>
    </row>
    <row r="263" spans="1:8" ht="42" thickBot="1">
      <c r="A263" s="922" t="s">
        <v>991</v>
      </c>
      <c r="B263" s="566" t="s">
        <v>992</v>
      </c>
      <c r="C263" s="923" t="s">
        <v>702</v>
      </c>
      <c r="D263" s="924">
        <v>20030101</v>
      </c>
      <c r="E263" s="924">
        <v>20030101</v>
      </c>
      <c r="F263" s="921"/>
      <c r="G263" s="40"/>
      <c r="H263"/>
    </row>
    <row r="264" spans="1:8" ht="42" thickBot="1">
      <c r="A264" s="922" t="s">
        <v>993</v>
      </c>
      <c r="B264" s="566" t="s">
        <v>994</v>
      </c>
      <c r="C264" s="923" t="s">
        <v>702</v>
      </c>
      <c r="D264" s="924">
        <v>20030101</v>
      </c>
      <c r="E264" s="924">
        <v>20030101</v>
      </c>
      <c r="F264" s="921"/>
      <c r="G264" s="40"/>
      <c r="H264"/>
    </row>
    <row r="265" spans="1:8" ht="28.15" thickBot="1">
      <c r="A265" s="922" t="s">
        <v>995</v>
      </c>
      <c r="B265" s="566" t="s">
        <v>996</v>
      </c>
      <c r="C265" s="923" t="s">
        <v>702</v>
      </c>
      <c r="D265" s="924">
        <v>20030101</v>
      </c>
      <c r="E265" s="924">
        <v>20030101</v>
      </c>
      <c r="F265" s="921"/>
      <c r="G265" s="40"/>
      <c r="H265"/>
    </row>
    <row r="266" spans="1:8" ht="28.15" thickBot="1">
      <c r="A266" s="922" t="s">
        <v>997</v>
      </c>
      <c r="B266" s="566" t="s">
        <v>998</v>
      </c>
      <c r="C266" s="923" t="s">
        <v>702</v>
      </c>
      <c r="D266" s="924">
        <v>20030101</v>
      </c>
      <c r="E266" s="924">
        <v>20030101</v>
      </c>
      <c r="F266" s="921"/>
      <c r="G266" s="40"/>
      <c r="H266"/>
    </row>
    <row r="267" spans="1:8" ht="28.15" thickBot="1">
      <c r="A267" s="922" t="s">
        <v>999</v>
      </c>
      <c r="B267" s="566" t="s">
        <v>1000</v>
      </c>
      <c r="C267" s="923" t="s">
        <v>702</v>
      </c>
      <c r="D267" s="924">
        <v>20030101</v>
      </c>
      <c r="E267" s="924">
        <v>20030101</v>
      </c>
      <c r="F267" s="921"/>
      <c r="G267" s="40"/>
      <c r="H267"/>
    </row>
    <row r="268" spans="1:8" ht="14.45" thickBot="1">
      <c r="A268" s="922" t="s">
        <v>1001</v>
      </c>
      <c r="B268" s="566" t="s">
        <v>1002</v>
      </c>
      <c r="C268" s="923" t="s">
        <v>702</v>
      </c>
      <c r="D268" s="924">
        <v>20030101</v>
      </c>
      <c r="E268" s="924">
        <v>20030101</v>
      </c>
      <c r="F268" s="921"/>
      <c r="G268" s="40"/>
      <c r="H268"/>
    </row>
    <row r="269" spans="1:8" ht="28.15" thickBot="1">
      <c r="A269" s="922" t="s">
        <v>1003</v>
      </c>
      <c r="B269" s="566" t="s">
        <v>1004</v>
      </c>
      <c r="C269" s="923" t="s">
        <v>702</v>
      </c>
      <c r="D269" s="924">
        <v>20030101</v>
      </c>
      <c r="E269" s="924">
        <v>20030101</v>
      </c>
      <c r="F269" s="921"/>
      <c r="G269" s="40"/>
      <c r="H269"/>
    </row>
    <row r="270" spans="1:8" ht="28.15" thickBot="1">
      <c r="A270" s="922" t="s">
        <v>1005</v>
      </c>
      <c r="B270" s="566" t="s">
        <v>1006</v>
      </c>
      <c r="C270" s="923" t="s">
        <v>702</v>
      </c>
      <c r="D270" s="924">
        <v>20030101</v>
      </c>
      <c r="E270" s="924">
        <v>20030101</v>
      </c>
      <c r="F270" s="921"/>
      <c r="G270" s="40"/>
      <c r="H270"/>
    </row>
    <row r="271" spans="1:8" ht="28.15" thickBot="1">
      <c r="A271" s="922" t="s">
        <v>1007</v>
      </c>
      <c r="B271" s="566" t="s">
        <v>1008</v>
      </c>
      <c r="C271" s="923" t="s">
        <v>702</v>
      </c>
      <c r="D271" s="924">
        <v>20070401</v>
      </c>
      <c r="E271" s="924">
        <v>20070401</v>
      </c>
      <c r="F271" s="921"/>
      <c r="G271" s="40"/>
      <c r="H271"/>
    </row>
    <row r="272" spans="1:8" ht="42" thickBot="1">
      <c r="A272" s="922" t="s">
        <v>1009</v>
      </c>
      <c r="B272" s="566" t="s">
        <v>1010</v>
      </c>
      <c r="C272" s="923" t="s">
        <v>702</v>
      </c>
      <c r="D272" s="924">
        <v>20110101</v>
      </c>
      <c r="E272" s="924">
        <v>20110101</v>
      </c>
      <c r="F272" s="921"/>
      <c r="G272" s="40"/>
      <c r="H272"/>
    </row>
    <row r="273" spans="1:8" ht="85.9" customHeight="1" thickBot="1">
      <c r="A273" s="922" t="s">
        <v>1011</v>
      </c>
      <c r="B273" s="566" t="s">
        <v>1012</v>
      </c>
      <c r="C273" s="923" t="s">
        <v>702</v>
      </c>
      <c r="D273" s="924">
        <v>20030101</v>
      </c>
      <c r="E273" s="924">
        <v>20030101</v>
      </c>
      <c r="F273" s="921"/>
      <c r="G273" s="40"/>
      <c r="H273"/>
    </row>
    <row r="274" spans="1:8" ht="14.45" thickBot="1">
      <c r="A274" s="922" t="s">
        <v>1013</v>
      </c>
      <c r="B274" s="566" t="s">
        <v>1014</v>
      </c>
      <c r="C274" s="923" t="s">
        <v>702</v>
      </c>
      <c r="D274" s="924">
        <v>20020401</v>
      </c>
      <c r="E274" s="924">
        <v>20020401</v>
      </c>
      <c r="F274" s="921"/>
      <c r="G274" s="40"/>
      <c r="H274"/>
    </row>
    <row r="275" spans="1:8" ht="14.45" thickBot="1">
      <c r="A275" s="922" t="s">
        <v>1015</v>
      </c>
      <c r="B275" s="566" t="s">
        <v>1016</v>
      </c>
      <c r="C275" s="923" t="s">
        <v>702</v>
      </c>
      <c r="D275" s="924">
        <v>20020401</v>
      </c>
      <c r="E275" s="924">
        <v>20020401</v>
      </c>
      <c r="F275" s="921"/>
      <c r="G275" s="40"/>
      <c r="H275"/>
    </row>
    <row r="276" spans="1:8" ht="14.45" thickBot="1">
      <c r="A276" s="922" t="s">
        <v>1017</v>
      </c>
      <c r="B276" s="566" t="s">
        <v>1018</v>
      </c>
      <c r="C276" s="923" t="s">
        <v>702</v>
      </c>
      <c r="D276" s="924">
        <v>20020401</v>
      </c>
      <c r="E276" s="924">
        <v>20020401</v>
      </c>
      <c r="F276" s="921"/>
      <c r="G276" s="40"/>
      <c r="H276"/>
    </row>
    <row r="277" spans="1:8" ht="14.45" thickBot="1">
      <c r="A277" s="922" t="s">
        <v>1019</v>
      </c>
      <c r="B277" s="566" t="s">
        <v>1020</v>
      </c>
      <c r="C277" s="923" t="s">
        <v>702</v>
      </c>
      <c r="D277" s="924">
        <v>20020401</v>
      </c>
      <c r="E277" s="924">
        <v>20020401</v>
      </c>
      <c r="F277" s="921"/>
      <c r="G277" s="40"/>
      <c r="H277"/>
    </row>
    <row r="278" spans="1:8" ht="14.45" thickBot="1">
      <c r="A278" s="922" t="s">
        <v>1021</v>
      </c>
      <c r="B278" s="566" t="s">
        <v>1022</v>
      </c>
      <c r="C278" s="923" t="s">
        <v>702</v>
      </c>
      <c r="D278" s="924">
        <v>20020401</v>
      </c>
      <c r="E278" s="924">
        <v>20040701</v>
      </c>
      <c r="F278" s="921"/>
      <c r="G278" s="40"/>
      <c r="H278"/>
    </row>
    <row r="279" spans="1:8" ht="28.15" thickBot="1">
      <c r="A279" s="922" t="s">
        <v>1023</v>
      </c>
      <c r="B279" s="566" t="s">
        <v>1024</v>
      </c>
      <c r="C279" s="923" t="s">
        <v>702</v>
      </c>
      <c r="D279" s="924">
        <v>20030101</v>
      </c>
      <c r="E279" s="924">
        <v>20030101</v>
      </c>
      <c r="F279" s="921"/>
      <c r="G279" s="40"/>
      <c r="H279"/>
    </row>
    <row r="280" spans="1:8" ht="28.15" thickBot="1">
      <c r="A280" s="922" t="s">
        <v>1025</v>
      </c>
      <c r="B280" s="566" t="s">
        <v>1026</v>
      </c>
      <c r="C280" s="923" t="s">
        <v>702</v>
      </c>
      <c r="D280" s="924">
        <v>20030401</v>
      </c>
      <c r="E280" s="924">
        <v>20030401</v>
      </c>
      <c r="F280" s="921"/>
      <c r="G280" s="40"/>
      <c r="H280"/>
    </row>
    <row r="281" spans="1:8" ht="28.15" thickBot="1">
      <c r="A281" s="922" t="s">
        <v>1027</v>
      </c>
      <c r="B281" s="566" t="s">
        <v>1028</v>
      </c>
      <c r="C281" s="923" t="s">
        <v>702</v>
      </c>
      <c r="D281" s="924">
        <v>20030401</v>
      </c>
      <c r="E281" s="924">
        <v>20030401</v>
      </c>
      <c r="F281" s="921"/>
      <c r="G281" s="40"/>
      <c r="H281"/>
    </row>
    <row r="282" spans="1:8" ht="14.45" thickBot="1">
      <c r="A282" s="922" t="s">
        <v>1029</v>
      </c>
      <c r="B282" s="566" t="s">
        <v>1030</v>
      </c>
      <c r="C282" s="923" t="s">
        <v>702</v>
      </c>
      <c r="D282" s="924">
        <v>20031001</v>
      </c>
      <c r="E282" s="924">
        <v>20031001</v>
      </c>
      <c r="F282" s="921"/>
      <c r="G282" s="40"/>
      <c r="H282"/>
    </row>
    <row r="283" spans="1:8" ht="14.45" thickBot="1">
      <c r="A283" s="922" t="s">
        <v>1031</v>
      </c>
      <c r="B283" s="566" t="s">
        <v>1032</v>
      </c>
      <c r="C283" s="923" t="s">
        <v>702</v>
      </c>
      <c r="D283" s="924">
        <v>20031001</v>
      </c>
      <c r="E283" s="924">
        <v>20031001</v>
      </c>
      <c r="F283" s="921"/>
      <c r="G283" s="40"/>
      <c r="H283"/>
    </row>
    <row r="284" spans="1:8" ht="14.45" thickBot="1">
      <c r="A284" s="922" t="s">
        <v>1033</v>
      </c>
      <c r="B284" s="566" t="s">
        <v>1034</v>
      </c>
      <c r="C284" s="923" t="s">
        <v>702</v>
      </c>
      <c r="D284" s="924">
        <v>20031001</v>
      </c>
      <c r="E284" s="924">
        <v>20031001</v>
      </c>
      <c r="F284" s="921"/>
      <c r="G284" s="40"/>
      <c r="H284"/>
    </row>
    <row r="285" spans="1:8" ht="14.45" thickBot="1">
      <c r="A285" s="922" t="s">
        <v>1035</v>
      </c>
      <c r="B285" s="566" t="s">
        <v>1036</v>
      </c>
      <c r="C285" s="923" t="s">
        <v>702</v>
      </c>
      <c r="D285" s="924">
        <v>20031001</v>
      </c>
      <c r="E285" s="924">
        <v>20031001</v>
      </c>
      <c r="F285" s="921"/>
      <c r="G285" s="40"/>
      <c r="H285"/>
    </row>
    <row r="286" spans="1:8" ht="14.45" thickBot="1">
      <c r="A286" s="922" t="s">
        <v>1037</v>
      </c>
      <c r="B286" s="566" t="s">
        <v>1038</v>
      </c>
      <c r="C286" s="923" t="s">
        <v>702</v>
      </c>
      <c r="D286" s="924">
        <v>20031001</v>
      </c>
      <c r="E286" s="924">
        <v>20031001</v>
      </c>
      <c r="F286" s="921"/>
      <c r="G286" s="40"/>
      <c r="H286"/>
    </row>
    <row r="287" spans="1:8" ht="14.45" thickBot="1">
      <c r="A287" s="922" t="s">
        <v>1039</v>
      </c>
      <c r="B287" s="566" t="s">
        <v>1040</v>
      </c>
      <c r="C287" s="923" t="s">
        <v>702</v>
      </c>
      <c r="D287" s="924">
        <v>20031001</v>
      </c>
      <c r="E287" s="924">
        <v>20031001</v>
      </c>
      <c r="F287" s="921"/>
      <c r="G287" s="40"/>
      <c r="H287"/>
    </row>
    <row r="288" spans="1:8" ht="14.45" thickBot="1">
      <c r="A288" s="922" t="s">
        <v>1041</v>
      </c>
      <c r="B288" s="566" t="s">
        <v>1042</v>
      </c>
      <c r="C288" s="923" t="s">
        <v>702</v>
      </c>
      <c r="D288" s="924">
        <v>20031001</v>
      </c>
      <c r="E288" s="924">
        <v>20031001</v>
      </c>
      <c r="F288" s="921"/>
      <c r="G288" s="40"/>
      <c r="H288"/>
    </row>
    <row r="289" spans="1:8" ht="14.45" thickBot="1">
      <c r="A289" s="922" t="s">
        <v>1043</v>
      </c>
      <c r="B289" s="566" t="s">
        <v>1044</v>
      </c>
      <c r="C289" s="923" t="s">
        <v>702</v>
      </c>
      <c r="D289" s="924">
        <v>20031001</v>
      </c>
      <c r="E289" s="924">
        <v>20031001</v>
      </c>
      <c r="F289" s="921"/>
      <c r="G289" s="40"/>
      <c r="H289"/>
    </row>
    <row r="290" spans="1:8" ht="14.45" thickBot="1">
      <c r="A290" s="922" t="s">
        <v>1045</v>
      </c>
      <c r="B290" s="566" t="s">
        <v>1046</v>
      </c>
      <c r="C290" s="923" t="s">
        <v>702</v>
      </c>
      <c r="D290" s="924">
        <v>20031001</v>
      </c>
      <c r="E290" s="924">
        <v>20031001</v>
      </c>
      <c r="F290" s="921"/>
      <c r="G290" s="40"/>
      <c r="H290"/>
    </row>
    <row r="291" spans="1:8" ht="14.45" thickBot="1">
      <c r="A291" s="922" t="s">
        <v>1047</v>
      </c>
      <c r="B291" s="566" t="s">
        <v>1048</v>
      </c>
      <c r="C291" s="923" t="s">
        <v>702</v>
      </c>
      <c r="D291" s="924">
        <v>20031001</v>
      </c>
      <c r="E291" s="924">
        <v>20031001</v>
      </c>
      <c r="F291" s="921"/>
      <c r="G291" s="40"/>
      <c r="H291"/>
    </row>
    <row r="292" spans="1:8" ht="14.45" thickBot="1">
      <c r="A292" s="922" t="s">
        <v>1049</v>
      </c>
      <c r="B292" s="566" t="s">
        <v>1050</v>
      </c>
      <c r="C292" s="923" t="s">
        <v>702</v>
      </c>
      <c r="D292" s="924">
        <v>20031001</v>
      </c>
      <c r="E292" s="924">
        <v>20031001</v>
      </c>
      <c r="F292" s="921"/>
      <c r="G292" s="40"/>
      <c r="H292"/>
    </row>
    <row r="293" spans="1:8" ht="14.45" thickBot="1">
      <c r="A293" s="922" t="s">
        <v>1051</v>
      </c>
      <c r="B293" s="566" t="s">
        <v>1052</v>
      </c>
      <c r="C293" s="923" t="s">
        <v>702</v>
      </c>
      <c r="D293" s="924">
        <v>20031001</v>
      </c>
      <c r="E293" s="924">
        <v>20031001</v>
      </c>
      <c r="F293" s="921"/>
      <c r="G293" s="40"/>
      <c r="H293"/>
    </row>
    <row r="294" spans="1:8" ht="14.45" thickBot="1">
      <c r="A294" s="922" t="s">
        <v>1053</v>
      </c>
      <c r="B294" s="566" t="s">
        <v>1054</v>
      </c>
      <c r="C294" s="923" t="s">
        <v>702</v>
      </c>
      <c r="D294" s="924">
        <v>20031001</v>
      </c>
      <c r="E294" s="924">
        <v>20031001</v>
      </c>
      <c r="F294" s="921"/>
      <c r="G294" s="40"/>
      <c r="H294"/>
    </row>
    <row r="295" spans="1:8" ht="14.45" thickBot="1">
      <c r="A295" s="922" t="s">
        <v>1055</v>
      </c>
      <c r="B295" s="566" t="s">
        <v>1056</v>
      </c>
      <c r="C295" s="923" t="s">
        <v>702</v>
      </c>
      <c r="D295" s="924">
        <v>20031001</v>
      </c>
      <c r="E295" s="924">
        <v>20031001</v>
      </c>
      <c r="F295" s="921"/>
      <c r="G295" s="40"/>
      <c r="H295"/>
    </row>
    <row r="296" spans="1:8" ht="14.45" thickBot="1">
      <c r="A296" s="922" t="s">
        <v>1057</v>
      </c>
      <c r="B296" s="566" t="s">
        <v>1058</v>
      </c>
      <c r="C296" s="923" t="s">
        <v>702</v>
      </c>
      <c r="D296" s="924">
        <v>20031001</v>
      </c>
      <c r="E296" s="924">
        <v>20031001</v>
      </c>
      <c r="F296" s="921"/>
      <c r="G296" s="40"/>
      <c r="H296"/>
    </row>
    <row r="297" spans="1:8" ht="14.45" thickBot="1">
      <c r="A297" s="922" t="s">
        <v>1059</v>
      </c>
      <c r="B297" s="566" t="s">
        <v>1060</v>
      </c>
      <c r="C297" s="923" t="s">
        <v>702</v>
      </c>
      <c r="D297" s="924">
        <v>20031001</v>
      </c>
      <c r="E297" s="924">
        <v>20031001</v>
      </c>
      <c r="F297" s="921"/>
      <c r="G297" s="40"/>
      <c r="H297"/>
    </row>
    <row r="298" spans="1:8" ht="14.45" thickBot="1">
      <c r="A298" s="922" t="s">
        <v>1061</v>
      </c>
      <c r="B298" s="566" t="s">
        <v>1062</v>
      </c>
      <c r="C298" s="923" t="s">
        <v>702</v>
      </c>
      <c r="D298" s="924">
        <v>20031001</v>
      </c>
      <c r="E298" s="924">
        <v>20031001</v>
      </c>
      <c r="F298" s="921"/>
      <c r="G298" s="40"/>
      <c r="H298"/>
    </row>
    <row r="299" spans="1:8" ht="28.15" thickBot="1">
      <c r="A299" s="922" t="s">
        <v>1063</v>
      </c>
      <c r="B299" s="566" t="s">
        <v>1064</v>
      </c>
      <c r="C299" s="923" t="s">
        <v>702</v>
      </c>
      <c r="D299" s="924">
        <v>20031001</v>
      </c>
      <c r="E299" s="924">
        <v>20031001</v>
      </c>
      <c r="F299" s="921"/>
      <c r="G299" s="40"/>
      <c r="H299"/>
    </row>
    <row r="300" spans="1:8" ht="14.45" thickBot="1">
      <c r="A300" s="922" t="s">
        <v>1065</v>
      </c>
      <c r="B300" s="566" t="s">
        <v>1066</v>
      </c>
      <c r="C300" s="923" t="s">
        <v>702</v>
      </c>
      <c r="D300" s="924">
        <v>20031001</v>
      </c>
      <c r="E300" s="924">
        <v>20031001</v>
      </c>
      <c r="F300" s="921"/>
      <c r="G300" s="40"/>
      <c r="H300"/>
    </row>
    <row r="301" spans="1:8" ht="14.45" thickBot="1">
      <c r="A301" s="922" t="s">
        <v>1067</v>
      </c>
      <c r="B301" s="566" t="s">
        <v>1068</v>
      </c>
      <c r="C301" s="923" t="s">
        <v>702</v>
      </c>
      <c r="D301" s="924">
        <v>20031001</v>
      </c>
      <c r="E301" s="924">
        <v>20031001</v>
      </c>
      <c r="F301" s="921"/>
      <c r="G301" s="40"/>
      <c r="H301"/>
    </row>
    <row r="302" spans="1:8" ht="28.15" thickBot="1">
      <c r="A302" s="922" t="s">
        <v>1069</v>
      </c>
      <c r="B302" s="566" t="s">
        <v>1070</v>
      </c>
      <c r="C302" s="923" t="s">
        <v>702</v>
      </c>
      <c r="D302" s="924">
        <v>20031001</v>
      </c>
      <c r="E302" s="924">
        <v>20031001</v>
      </c>
      <c r="F302" s="921"/>
      <c r="G302" s="40"/>
      <c r="H302"/>
    </row>
    <row r="303" spans="1:8" ht="28.15" thickBot="1">
      <c r="A303" s="922" t="s">
        <v>1071</v>
      </c>
      <c r="B303" s="566" t="s">
        <v>1072</v>
      </c>
      <c r="C303" s="923" t="s">
        <v>702</v>
      </c>
      <c r="D303" s="924">
        <v>20031001</v>
      </c>
      <c r="E303" s="924">
        <v>20031001</v>
      </c>
      <c r="F303" s="921"/>
      <c r="G303" s="40"/>
      <c r="H303"/>
    </row>
    <row r="304" spans="1:8" ht="14.45" thickBot="1">
      <c r="A304" s="922" t="s">
        <v>1073</v>
      </c>
      <c r="B304" s="566" t="s">
        <v>1074</v>
      </c>
      <c r="C304" s="923" t="s">
        <v>702</v>
      </c>
      <c r="D304" s="924">
        <v>20031001</v>
      </c>
      <c r="E304" s="924">
        <v>20031001</v>
      </c>
      <c r="F304" s="921"/>
      <c r="G304" s="40"/>
      <c r="H304"/>
    </row>
    <row r="305" spans="1:8" ht="28.15" thickBot="1">
      <c r="A305" s="922" t="s">
        <v>1075</v>
      </c>
      <c r="B305" s="566" t="s">
        <v>1076</v>
      </c>
      <c r="C305" s="923" t="s">
        <v>702</v>
      </c>
      <c r="D305" s="924">
        <v>20031001</v>
      </c>
      <c r="E305" s="924">
        <v>20031001</v>
      </c>
      <c r="F305" s="921"/>
      <c r="G305" s="40"/>
      <c r="H305"/>
    </row>
    <row r="306" spans="1:8" ht="14.45" thickBot="1">
      <c r="A306" s="922" t="s">
        <v>1077</v>
      </c>
      <c r="B306" s="566" t="s">
        <v>1078</v>
      </c>
      <c r="C306" s="923" t="s">
        <v>702</v>
      </c>
      <c r="D306" s="924">
        <v>20031001</v>
      </c>
      <c r="E306" s="924">
        <v>20031001</v>
      </c>
      <c r="F306" s="921"/>
      <c r="G306" s="40"/>
      <c r="H306"/>
    </row>
    <row r="307" spans="1:8" ht="14.45" thickBot="1">
      <c r="A307" s="922" t="s">
        <v>1079</v>
      </c>
      <c r="B307" s="566" t="s">
        <v>1080</v>
      </c>
      <c r="C307" s="923" t="s">
        <v>702</v>
      </c>
      <c r="D307" s="924">
        <v>20031001</v>
      </c>
      <c r="E307" s="924">
        <v>20031001</v>
      </c>
      <c r="F307" s="921"/>
      <c r="G307" s="40"/>
      <c r="H307"/>
    </row>
    <row r="308" spans="1:8" ht="14.45" thickBot="1">
      <c r="A308" s="922" t="s">
        <v>1081</v>
      </c>
      <c r="B308" s="566" t="s">
        <v>1082</v>
      </c>
      <c r="C308" s="923" t="s">
        <v>702</v>
      </c>
      <c r="D308" s="924">
        <v>20031001</v>
      </c>
      <c r="E308" s="924">
        <v>20031001</v>
      </c>
      <c r="F308" s="921"/>
      <c r="G308" s="40"/>
      <c r="H308"/>
    </row>
    <row r="309" spans="1:8" ht="14.45" thickBot="1">
      <c r="A309" s="922" t="s">
        <v>1083</v>
      </c>
      <c r="B309" s="566" t="s">
        <v>1084</v>
      </c>
      <c r="C309" s="923" t="s">
        <v>702</v>
      </c>
      <c r="D309" s="924">
        <v>20031001</v>
      </c>
      <c r="E309" s="924">
        <v>20031001</v>
      </c>
      <c r="F309" s="921"/>
      <c r="G309" s="40"/>
      <c r="H309"/>
    </row>
    <row r="310" spans="1:8" ht="14.45" thickBot="1">
      <c r="A310" s="922" t="s">
        <v>1085</v>
      </c>
      <c r="B310" s="566" t="s">
        <v>1086</v>
      </c>
      <c r="C310" s="923" t="s">
        <v>702</v>
      </c>
      <c r="D310" s="924">
        <v>20031001</v>
      </c>
      <c r="E310" s="924">
        <v>20031001</v>
      </c>
      <c r="F310" s="921"/>
      <c r="G310" s="40"/>
      <c r="H310"/>
    </row>
    <row r="311" spans="1:8" ht="14.45" thickBot="1">
      <c r="A311" s="922" t="s">
        <v>1087</v>
      </c>
      <c r="B311" s="566" t="s">
        <v>1088</v>
      </c>
      <c r="C311" s="923" t="s">
        <v>702</v>
      </c>
      <c r="D311" s="924">
        <v>20031001</v>
      </c>
      <c r="E311" s="924">
        <v>20031001</v>
      </c>
      <c r="F311" s="921"/>
      <c r="G311" s="40"/>
      <c r="H311"/>
    </row>
    <row r="312" spans="1:8" ht="14.45" thickBot="1">
      <c r="A312" s="922" t="s">
        <v>1089</v>
      </c>
      <c r="B312" s="566" t="s">
        <v>1090</v>
      </c>
      <c r="C312" s="923" t="s">
        <v>702</v>
      </c>
      <c r="D312" s="924">
        <v>20031001</v>
      </c>
      <c r="E312" s="924">
        <v>20031001</v>
      </c>
      <c r="F312" s="921"/>
      <c r="G312" s="40"/>
      <c r="H312"/>
    </row>
    <row r="313" spans="1:8" ht="14.45" thickBot="1">
      <c r="A313" s="922" t="s">
        <v>1091</v>
      </c>
      <c r="B313" s="566" t="s">
        <v>1092</v>
      </c>
      <c r="C313" s="923" t="s">
        <v>702</v>
      </c>
      <c r="D313" s="924">
        <v>20031001</v>
      </c>
      <c r="E313" s="924">
        <v>20031001</v>
      </c>
      <c r="F313" s="921"/>
      <c r="G313" s="40"/>
      <c r="H313"/>
    </row>
    <row r="314" spans="1:8" ht="14.45" thickBot="1">
      <c r="A314" s="922" t="s">
        <v>1093</v>
      </c>
      <c r="B314" s="566" t="s">
        <v>1094</v>
      </c>
      <c r="C314" s="923" t="s">
        <v>702</v>
      </c>
      <c r="D314" s="924">
        <v>20031001</v>
      </c>
      <c r="E314" s="924">
        <v>20031001</v>
      </c>
      <c r="F314" s="921"/>
      <c r="G314" s="40"/>
      <c r="H314"/>
    </row>
    <row r="315" spans="1:8" ht="14.45" thickBot="1">
      <c r="A315" s="922" t="s">
        <v>1095</v>
      </c>
      <c r="B315" s="566" t="s">
        <v>1096</v>
      </c>
      <c r="C315" s="923" t="s">
        <v>702</v>
      </c>
      <c r="D315" s="924">
        <v>20031001</v>
      </c>
      <c r="E315" s="924">
        <v>20031001</v>
      </c>
      <c r="F315" s="921"/>
      <c r="G315" s="40"/>
      <c r="H315"/>
    </row>
    <row r="316" spans="1:8" ht="14.45" thickBot="1">
      <c r="A316" s="922" t="s">
        <v>1097</v>
      </c>
      <c r="B316" s="566" t="s">
        <v>1098</v>
      </c>
      <c r="C316" s="923" t="s">
        <v>702</v>
      </c>
      <c r="D316" s="924">
        <v>20031001</v>
      </c>
      <c r="E316" s="924">
        <v>20031001</v>
      </c>
      <c r="F316" s="921"/>
      <c r="G316" s="40"/>
      <c r="H316"/>
    </row>
    <row r="317" spans="1:8" ht="42" thickBot="1">
      <c r="A317" s="922" t="s">
        <v>1099</v>
      </c>
      <c r="B317" s="566" t="s">
        <v>1100</v>
      </c>
      <c r="C317" s="923" t="s">
        <v>702</v>
      </c>
      <c r="D317" s="924">
        <v>20031001</v>
      </c>
      <c r="E317" s="924">
        <v>20031001</v>
      </c>
      <c r="F317" s="921"/>
      <c r="G317" s="40"/>
      <c r="H317"/>
    </row>
    <row r="318" spans="1:8" ht="28.15" thickBot="1">
      <c r="A318" s="922" t="s">
        <v>1101</v>
      </c>
      <c r="B318" s="566" t="s">
        <v>1102</v>
      </c>
      <c r="C318" s="923" t="s">
        <v>702</v>
      </c>
      <c r="D318" s="924">
        <v>20040701</v>
      </c>
      <c r="E318" s="924">
        <v>20040701</v>
      </c>
      <c r="F318" s="921"/>
      <c r="G318" s="40"/>
      <c r="H318"/>
    </row>
    <row r="319" spans="1:8" ht="14.45" thickBot="1">
      <c r="A319" s="922" t="s">
        <v>1103</v>
      </c>
      <c r="B319" s="566" t="s">
        <v>1104</v>
      </c>
      <c r="C319" s="923" t="s">
        <v>702</v>
      </c>
      <c r="D319" s="924">
        <v>20040101</v>
      </c>
      <c r="E319" s="924">
        <v>20040101</v>
      </c>
      <c r="F319" s="921"/>
      <c r="G319" s="40"/>
      <c r="H319"/>
    </row>
    <row r="320" spans="1:8" ht="28.15" thickBot="1">
      <c r="A320" s="922" t="s">
        <v>1105</v>
      </c>
      <c r="B320" s="566" t="s">
        <v>1106</v>
      </c>
      <c r="C320" s="923" t="s">
        <v>699</v>
      </c>
      <c r="D320" s="924">
        <v>20050101</v>
      </c>
      <c r="E320" s="924">
        <v>20050101</v>
      </c>
      <c r="F320" s="921"/>
      <c r="G320" s="40"/>
      <c r="H320"/>
    </row>
    <row r="321" spans="1:8" ht="28.15" thickBot="1">
      <c r="A321" s="922" t="s">
        <v>1107</v>
      </c>
      <c r="B321" s="566" t="s">
        <v>1108</v>
      </c>
      <c r="C321" s="923" t="s">
        <v>699</v>
      </c>
      <c r="D321" s="924">
        <v>20050101</v>
      </c>
      <c r="E321" s="924">
        <v>20050101</v>
      </c>
      <c r="F321" s="921"/>
      <c r="G321" s="40"/>
      <c r="H321"/>
    </row>
    <row r="322" spans="1:8" ht="28.15" thickBot="1">
      <c r="A322" s="922" t="s">
        <v>1109</v>
      </c>
      <c r="B322" s="566" t="s">
        <v>1110</v>
      </c>
      <c r="C322" s="923" t="s">
        <v>699</v>
      </c>
      <c r="D322" s="924">
        <v>20050101</v>
      </c>
      <c r="E322" s="924">
        <v>20050101</v>
      </c>
      <c r="F322" s="921"/>
      <c r="G322" s="40"/>
      <c r="H322"/>
    </row>
    <row r="323" spans="1:8" ht="28.15" thickBot="1">
      <c r="A323" s="922" t="s">
        <v>1111</v>
      </c>
      <c r="B323" s="566" t="s">
        <v>1112</v>
      </c>
      <c r="C323" s="923" t="s">
        <v>699</v>
      </c>
      <c r="D323" s="924">
        <v>20050101</v>
      </c>
      <c r="E323" s="924">
        <v>20050101</v>
      </c>
      <c r="F323" s="921"/>
      <c r="G323" s="40"/>
      <c r="H323"/>
    </row>
    <row r="324" spans="1:8" ht="28.15" thickBot="1">
      <c r="A324" s="922" t="s">
        <v>1113</v>
      </c>
      <c r="B324" s="566" t="s">
        <v>1114</v>
      </c>
      <c r="C324" s="923" t="s">
        <v>699</v>
      </c>
      <c r="D324" s="924">
        <v>20050101</v>
      </c>
      <c r="E324" s="924">
        <v>20050101</v>
      </c>
      <c r="F324" s="921"/>
      <c r="G324" s="40"/>
      <c r="H324"/>
    </row>
    <row r="325" spans="1:8" ht="28.15" thickBot="1">
      <c r="A325" s="922" t="s">
        <v>1115</v>
      </c>
      <c r="B325" s="566" t="s">
        <v>1116</v>
      </c>
      <c r="C325" s="923" t="s">
        <v>699</v>
      </c>
      <c r="D325" s="924">
        <v>20050101</v>
      </c>
      <c r="E325" s="924">
        <v>20050101</v>
      </c>
      <c r="F325" s="921"/>
      <c r="G325" s="40"/>
      <c r="H325"/>
    </row>
    <row r="326" spans="1:8" ht="28.15" thickBot="1">
      <c r="A326" s="922" t="s">
        <v>1117</v>
      </c>
      <c r="B326" s="566" t="s">
        <v>1118</v>
      </c>
      <c r="C326" s="923" t="s">
        <v>699</v>
      </c>
      <c r="D326" s="924">
        <v>20050101</v>
      </c>
      <c r="E326" s="924">
        <v>20050101</v>
      </c>
      <c r="F326" s="921"/>
      <c r="G326" s="40"/>
      <c r="H326"/>
    </row>
    <row r="327" spans="1:8" ht="28.15" thickBot="1">
      <c r="A327" s="922" t="s">
        <v>1119</v>
      </c>
      <c r="B327" s="566" t="s">
        <v>1120</v>
      </c>
      <c r="C327" s="923" t="s">
        <v>699</v>
      </c>
      <c r="D327" s="924">
        <v>20050101</v>
      </c>
      <c r="E327" s="924">
        <v>20050101</v>
      </c>
      <c r="F327" s="921"/>
      <c r="G327" s="40"/>
      <c r="H327"/>
    </row>
    <row r="328" spans="1:8" ht="28.15" thickBot="1">
      <c r="A328" s="922" t="s">
        <v>1121</v>
      </c>
      <c r="B328" s="566" t="s">
        <v>1122</v>
      </c>
      <c r="C328" s="923" t="s">
        <v>699</v>
      </c>
      <c r="D328" s="924">
        <v>20050101</v>
      </c>
      <c r="E328" s="924">
        <v>20050101</v>
      </c>
      <c r="F328" s="921"/>
      <c r="G328" s="40"/>
      <c r="H328"/>
    </row>
    <row r="329" spans="1:8" ht="28.15" thickBot="1">
      <c r="A329" s="922" t="s">
        <v>1123</v>
      </c>
      <c r="B329" s="566" t="s">
        <v>1124</v>
      </c>
      <c r="C329" s="923" t="s">
        <v>699</v>
      </c>
      <c r="D329" s="924">
        <v>20050101</v>
      </c>
      <c r="E329" s="924">
        <v>20050101</v>
      </c>
      <c r="F329" s="921"/>
      <c r="G329" s="40"/>
      <c r="H329"/>
    </row>
    <row r="330" spans="1:8" ht="28.15" thickBot="1">
      <c r="A330" s="922" t="s">
        <v>1125</v>
      </c>
      <c r="B330" s="566" t="s">
        <v>1126</v>
      </c>
      <c r="C330" s="923" t="s">
        <v>699</v>
      </c>
      <c r="D330" s="924">
        <v>20050101</v>
      </c>
      <c r="E330" s="924">
        <v>20050101</v>
      </c>
      <c r="F330" s="921"/>
      <c r="G330" s="40"/>
      <c r="H330"/>
    </row>
    <row r="331" spans="1:8" ht="77.650000000000006" customHeight="1" thickBot="1">
      <c r="A331" s="922" t="s">
        <v>1127</v>
      </c>
      <c r="B331" s="566" t="s">
        <v>1128</v>
      </c>
      <c r="C331" s="923" t="s">
        <v>699</v>
      </c>
      <c r="D331" s="924">
        <v>20050101</v>
      </c>
      <c r="E331" s="924">
        <v>20050101</v>
      </c>
      <c r="F331" s="921"/>
      <c r="G331" s="40"/>
      <c r="H331"/>
    </row>
    <row r="332" spans="1:8" ht="28.15" thickBot="1">
      <c r="A332" s="922" t="s">
        <v>1129</v>
      </c>
      <c r="B332" s="566" t="s">
        <v>1130</v>
      </c>
      <c r="C332" s="923" t="s">
        <v>699</v>
      </c>
      <c r="D332" s="924">
        <v>20050101</v>
      </c>
      <c r="E332" s="924">
        <v>20050101</v>
      </c>
      <c r="F332" s="921"/>
      <c r="G332" s="40"/>
      <c r="H332"/>
    </row>
    <row r="333" spans="1:8" ht="28.15" thickBot="1">
      <c r="A333" s="922" t="s">
        <v>1131</v>
      </c>
      <c r="B333" s="566" t="s">
        <v>1132</v>
      </c>
      <c r="C333" s="923" t="s">
        <v>699</v>
      </c>
      <c r="D333" s="924">
        <v>20050101</v>
      </c>
      <c r="E333" s="924">
        <v>20050101</v>
      </c>
      <c r="F333" s="921"/>
      <c r="G333" s="40"/>
      <c r="H333"/>
    </row>
    <row r="334" spans="1:8" ht="28.15" thickBot="1">
      <c r="A334" s="922" t="s">
        <v>1133</v>
      </c>
      <c r="B334" s="566" t="s">
        <v>1134</v>
      </c>
      <c r="C334" s="923" t="s">
        <v>699</v>
      </c>
      <c r="D334" s="924">
        <v>20050101</v>
      </c>
      <c r="E334" s="924">
        <v>20050101</v>
      </c>
      <c r="F334" s="921"/>
      <c r="G334" s="40"/>
      <c r="H334"/>
    </row>
    <row r="335" spans="1:8" ht="28.15" thickBot="1">
      <c r="A335" s="922" t="s">
        <v>1135</v>
      </c>
      <c r="B335" s="566" t="s">
        <v>1136</v>
      </c>
      <c r="C335" s="923" t="s">
        <v>699</v>
      </c>
      <c r="D335" s="924">
        <v>20050101</v>
      </c>
      <c r="E335" s="924">
        <v>20050101</v>
      </c>
      <c r="F335" s="921"/>
      <c r="G335" s="40"/>
      <c r="H335"/>
    </row>
    <row r="336" spans="1:8" ht="28.15" thickBot="1">
      <c r="A336" s="922" t="s">
        <v>1137</v>
      </c>
      <c r="B336" s="566" t="s">
        <v>1138</v>
      </c>
      <c r="C336" s="923" t="s">
        <v>699</v>
      </c>
      <c r="D336" s="924">
        <v>20050101</v>
      </c>
      <c r="E336" s="924">
        <v>20050101</v>
      </c>
      <c r="F336" s="921"/>
      <c r="G336" s="40"/>
      <c r="H336"/>
    </row>
    <row r="337" spans="1:8" ht="14.45" thickBot="1">
      <c r="A337" s="922" t="s">
        <v>1139</v>
      </c>
      <c r="B337" s="566" t="s">
        <v>1140</v>
      </c>
      <c r="C337" s="923" t="s">
        <v>699</v>
      </c>
      <c r="D337" s="924">
        <v>20050101</v>
      </c>
      <c r="E337" s="924">
        <v>20050101</v>
      </c>
      <c r="F337" s="921"/>
      <c r="G337" s="40"/>
      <c r="H337"/>
    </row>
    <row r="338" spans="1:8" ht="14.45" thickBot="1">
      <c r="A338" s="922" t="s">
        <v>1141</v>
      </c>
      <c r="B338" s="566" t="s">
        <v>1142</v>
      </c>
      <c r="C338" s="923" t="s">
        <v>699</v>
      </c>
      <c r="D338" s="924">
        <v>20050101</v>
      </c>
      <c r="E338" s="924">
        <v>20050101</v>
      </c>
      <c r="F338" s="921"/>
      <c r="G338" s="40"/>
      <c r="H338"/>
    </row>
    <row r="339" spans="1:8" ht="28.15" thickBot="1">
      <c r="A339" s="922" t="s">
        <v>1143</v>
      </c>
      <c r="B339" s="566" t="s">
        <v>1144</v>
      </c>
      <c r="C339" s="923" t="s">
        <v>699</v>
      </c>
      <c r="D339" s="924">
        <v>20050101</v>
      </c>
      <c r="E339" s="924">
        <v>20050101</v>
      </c>
      <c r="F339" s="921"/>
      <c r="G339" s="40"/>
      <c r="H339"/>
    </row>
    <row r="340" spans="1:8" ht="14.45" thickBot="1">
      <c r="A340" s="922" t="s">
        <v>1145</v>
      </c>
      <c r="B340" s="566" t="s">
        <v>1146</v>
      </c>
      <c r="C340" s="923" t="s">
        <v>702</v>
      </c>
      <c r="D340" s="924">
        <v>20050101</v>
      </c>
      <c r="E340" s="924">
        <v>20050101</v>
      </c>
      <c r="F340" s="921"/>
      <c r="G340" s="40"/>
      <c r="H340"/>
    </row>
    <row r="341" spans="1:8" ht="14.45" thickBot="1">
      <c r="A341" s="922" t="s">
        <v>1147</v>
      </c>
      <c r="B341" s="566" t="s">
        <v>1148</v>
      </c>
      <c r="C341" s="923" t="s">
        <v>702</v>
      </c>
      <c r="D341" s="924">
        <v>20050101</v>
      </c>
      <c r="E341" s="924">
        <v>20050101</v>
      </c>
      <c r="F341" s="921"/>
      <c r="G341" s="40"/>
      <c r="H341"/>
    </row>
    <row r="342" spans="1:8" ht="28.15" thickBot="1">
      <c r="A342" s="922" t="s">
        <v>1149</v>
      </c>
      <c r="B342" s="566" t="s">
        <v>1150</v>
      </c>
      <c r="C342" s="923" t="s">
        <v>699</v>
      </c>
      <c r="D342" s="924">
        <v>20070101</v>
      </c>
      <c r="E342" s="924">
        <v>20140101</v>
      </c>
      <c r="F342" s="921"/>
      <c r="G342" s="40"/>
      <c r="H342"/>
    </row>
    <row r="343" spans="1:8" ht="28.15" thickBot="1">
      <c r="A343" s="922" t="s">
        <v>1151</v>
      </c>
      <c r="B343" s="566" t="s">
        <v>1152</v>
      </c>
      <c r="C343" s="923" t="s">
        <v>699</v>
      </c>
      <c r="D343" s="924">
        <v>20140101</v>
      </c>
      <c r="E343" s="924">
        <v>20140101</v>
      </c>
      <c r="F343" s="921"/>
      <c r="G343" s="40"/>
      <c r="H343"/>
    </row>
    <row r="344" spans="1:8" ht="14.45" thickBot="1">
      <c r="A344" s="922" t="s">
        <v>1153</v>
      </c>
      <c r="B344" s="566" t="s">
        <v>1154</v>
      </c>
      <c r="C344" s="923" t="s">
        <v>702</v>
      </c>
      <c r="D344" s="924">
        <v>20040101</v>
      </c>
      <c r="E344" s="924">
        <v>20070101</v>
      </c>
      <c r="F344" s="921"/>
      <c r="G344" s="40"/>
      <c r="H344"/>
    </row>
    <row r="345" spans="1:8" ht="14.45" thickBot="1">
      <c r="A345" s="922" t="s">
        <v>1155</v>
      </c>
      <c r="B345" s="566" t="s">
        <v>1156</v>
      </c>
      <c r="C345" s="923" t="s">
        <v>702</v>
      </c>
      <c r="D345" s="924">
        <v>20040101</v>
      </c>
      <c r="E345" s="924">
        <v>20040101</v>
      </c>
      <c r="F345" s="921"/>
      <c r="G345" s="40"/>
      <c r="H345"/>
    </row>
    <row r="346" spans="1:8" ht="14.45" thickBot="1">
      <c r="A346" s="922" t="s">
        <v>203</v>
      </c>
      <c r="B346" s="566" t="s">
        <v>1157</v>
      </c>
      <c r="C346" s="923" t="s">
        <v>699</v>
      </c>
      <c r="D346" s="921"/>
      <c r="E346" s="921"/>
      <c r="F346" s="921"/>
      <c r="G346" s="40"/>
      <c r="H346"/>
    </row>
    <row r="347" spans="1:8" ht="14.45" thickBot="1">
      <c r="A347" s="922" t="s">
        <v>1158</v>
      </c>
      <c r="B347" s="566" t="s">
        <v>1159</v>
      </c>
      <c r="C347" s="923" t="s">
        <v>699</v>
      </c>
      <c r="D347" s="921"/>
      <c r="E347" s="921"/>
      <c r="F347" s="921"/>
      <c r="G347" s="40"/>
      <c r="H347"/>
    </row>
    <row r="348" spans="1:8" ht="14.45" thickBot="1">
      <c r="A348" s="924" t="s">
        <v>1160</v>
      </c>
      <c r="B348" s="567">
        <v>99601</v>
      </c>
      <c r="C348" s="923" t="s">
        <v>702</v>
      </c>
      <c r="D348" s="924">
        <v>20040101</v>
      </c>
      <c r="E348" s="924">
        <v>20110101</v>
      </c>
      <c r="F348" s="921"/>
      <c r="G348" s="40"/>
      <c r="H348"/>
    </row>
    <row r="349" spans="1:8" ht="14.45" thickBot="1">
      <c r="A349" s="924" t="s">
        <v>1161</v>
      </c>
      <c r="B349" s="567">
        <v>99602</v>
      </c>
      <c r="C349" s="923" t="s">
        <v>702</v>
      </c>
      <c r="D349" s="924">
        <v>20040101</v>
      </c>
      <c r="E349" s="924">
        <v>20110101</v>
      </c>
      <c r="F349" s="921"/>
      <c r="G349" s="40"/>
      <c r="H349"/>
    </row>
  </sheetData>
  <sheetProtection algorithmName="SHA-512" hashValue="tcZkzT9TKbwe2klm48Vn2lm6iVAb5iUmlJSmMJDQ+oMIpv5D5qorxXCQGcn6AfJjPi4gBWfUqwR88Goi5OdPdw==" saltValue="LfUH+12CgMENgtrd76d8BA==" spinCount="100000" sheet="1" formatColumns="0" formatRows="0"/>
  <mergeCells count="25">
    <mergeCell ref="A91:D91"/>
    <mergeCell ref="A5:F5"/>
    <mergeCell ref="A57:D58"/>
    <mergeCell ref="E57:E58"/>
    <mergeCell ref="A79:A80"/>
    <mergeCell ref="B79:B80"/>
    <mergeCell ref="C79:C80"/>
    <mergeCell ref="D79:D80"/>
    <mergeCell ref="E79:E80"/>
    <mergeCell ref="A16:A17"/>
    <mergeCell ref="B16:B17"/>
    <mergeCell ref="C16:C17"/>
    <mergeCell ref="D16:D17"/>
    <mergeCell ref="E16:E17"/>
    <mergeCell ref="A2:F2"/>
    <mergeCell ref="G14:G15"/>
    <mergeCell ref="F79:F80"/>
    <mergeCell ref="G79:G80"/>
    <mergeCell ref="A14:A15"/>
    <mergeCell ref="B14:B15"/>
    <mergeCell ref="C14:C15"/>
    <mergeCell ref="D14:D15"/>
    <mergeCell ref="E14:E15"/>
    <mergeCell ref="G16:G17"/>
    <mergeCell ref="G57:G58"/>
  </mergeCells>
  <hyperlinks>
    <hyperlink ref="D50" r:id="rId1" display="https://www.medicare.gov/coverage/durable-medical-equipment-coverage.html" xr:uid="{00000000-0004-0000-0500-000000000000}"/>
  </hyperlinks>
  <pageMargins left="0.25" right="0.25" top="0.5" bottom="0.75" header="0.3" footer="0.3"/>
  <pageSetup scale="75"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82"/>
  <sheetViews>
    <sheetView zoomScale="60" zoomScaleNormal="60" workbookViewId="0"/>
  </sheetViews>
  <sheetFormatPr defaultColWidth="8.5703125" defaultRowHeight="13.15"/>
  <cols>
    <col min="1" max="1" width="56.5703125" style="185" customWidth="1"/>
    <col min="2" max="2" width="24.5703125" style="185" customWidth="1"/>
    <col min="3" max="3" width="18.5703125" style="185" customWidth="1"/>
    <col min="4" max="4" width="17.42578125" style="185" customWidth="1"/>
    <col min="5" max="5" width="16.5703125" style="185" customWidth="1"/>
    <col min="6" max="6" width="16.42578125" style="185" customWidth="1"/>
    <col min="7" max="7" width="13.42578125" style="185" customWidth="1"/>
    <col min="8" max="8" width="11.42578125" style="185" customWidth="1"/>
    <col min="9" max="16384" width="8.5703125" style="185"/>
  </cols>
  <sheetData>
    <row r="1" spans="1:8" ht="22.9">
      <c r="A1" s="545" t="s">
        <v>1162</v>
      </c>
      <c r="B1"/>
      <c r="C1"/>
      <c r="D1"/>
      <c r="E1"/>
      <c r="F1"/>
      <c r="G1"/>
    </row>
    <row r="2" spans="1:8" ht="125.85" customHeight="1" thickBot="1">
      <c r="A2" s="925" t="s">
        <v>1163</v>
      </c>
      <c r="B2" s="925"/>
      <c r="C2" s="925"/>
      <c r="D2" s="925"/>
      <c r="E2" s="925"/>
      <c r="F2" s="925"/>
    </row>
    <row r="3" spans="1:8" ht="53.45" thickBot="1">
      <c r="A3" s="546" t="s">
        <v>1164</v>
      </c>
      <c r="B3" s="547" t="s">
        <v>1165</v>
      </c>
      <c r="C3" s="547" t="s">
        <v>1166</v>
      </c>
      <c r="D3" s="547" t="s">
        <v>1167</v>
      </c>
      <c r="E3" s="547" t="s">
        <v>1168</v>
      </c>
      <c r="F3" s="547" t="s">
        <v>1169</v>
      </c>
      <c r="G3" s="575" t="s">
        <v>482</v>
      </c>
      <c r="H3" s="575" t="s">
        <v>1170</v>
      </c>
    </row>
    <row r="4" spans="1:8" ht="13.9" thickBot="1">
      <c r="A4" s="555" t="s">
        <v>588</v>
      </c>
      <c r="B4" s="556"/>
      <c r="C4" s="556"/>
      <c r="D4" s="556"/>
      <c r="E4" s="556"/>
      <c r="F4" s="557"/>
      <c r="G4" s="557"/>
      <c r="H4" s="557"/>
    </row>
    <row r="5" spans="1:8">
      <c r="A5" s="548" t="s">
        <v>1171</v>
      </c>
      <c r="B5" s="746" t="s">
        <v>1172</v>
      </c>
      <c r="C5" s="749"/>
      <c r="D5" s="549" t="s">
        <v>1173</v>
      </c>
      <c r="E5" s="749"/>
      <c r="F5" s="744" t="s">
        <v>1174</v>
      </c>
      <c r="G5" s="745">
        <v>2</v>
      </c>
      <c r="H5" s="745">
        <v>14</v>
      </c>
    </row>
    <row r="6" spans="1:8">
      <c r="A6" s="548" t="s">
        <v>1175</v>
      </c>
      <c r="B6" s="746"/>
      <c r="C6" s="749"/>
      <c r="D6" s="549"/>
      <c r="E6" s="749"/>
      <c r="F6" s="744"/>
      <c r="G6" s="746"/>
      <c r="H6" s="746"/>
    </row>
    <row r="7" spans="1:8" ht="39.6">
      <c r="A7" s="548" t="s">
        <v>1176</v>
      </c>
      <c r="B7" s="746"/>
      <c r="C7" s="749"/>
      <c r="D7" s="549" t="s">
        <v>1177</v>
      </c>
      <c r="E7" s="749"/>
      <c r="F7" s="744"/>
      <c r="G7" s="746"/>
      <c r="H7" s="746"/>
    </row>
    <row r="8" spans="1:8">
      <c r="A8" s="548" t="s">
        <v>1178</v>
      </c>
      <c r="B8" s="746"/>
      <c r="C8" s="749"/>
      <c r="D8" s="550"/>
      <c r="E8" s="749"/>
      <c r="F8" s="744"/>
      <c r="G8" s="746"/>
      <c r="H8" s="746"/>
    </row>
    <row r="9" spans="1:8" ht="27" thickBot="1">
      <c r="A9" s="551" t="s">
        <v>1179</v>
      </c>
      <c r="B9" s="747"/>
      <c r="C9" s="750"/>
      <c r="D9" s="926"/>
      <c r="E9" s="750"/>
      <c r="F9" s="734"/>
      <c r="G9" s="747"/>
      <c r="H9" s="747"/>
    </row>
    <row r="10" spans="1:8">
      <c r="A10" s="548" t="s">
        <v>1171</v>
      </c>
      <c r="B10" s="745" t="s">
        <v>1180</v>
      </c>
      <c r="C10" s="748"/>
      <c r="D10" s="549" t="s">
        <v>1181</v>
      </c>
      <c r="E10" s="748"/>
      <c r="F10" s="733" t="s">
        <v>1182</v>
      </c>
      <c r="G10" s="745">
        <v>1</v>
      </c>
      <c r="H10" s="745">
        <v>13</v>
      </c>
    </row>
    <row r="11" spans="1:8">
      <c r="A11" s="548" t="s">
        <v>1175</v>
      </c>
      <c r="B11" s="746"/>
      <c r="C11" s="749"/>
      <c r="D11" s="549" t="s">
        <v>1173</v>
      </c>
      <c r="E11" s="749"/>
      <c r="F11" s="744"/>
      <c r="G11" s="746"/>
      <c r="H11" s="746"/>
    </row>
    <row r="12" spans="1:8" ht="13.9" thickBot="1">
      <c r="A12" s="551" t="s">
        <v>1178</v>
      </c>
      <c r="B12" s="747"/>
      <c r="C12" s="750"/>
      <c r="D12" s="927" t="s">
        <v>1183</v>
      </c>
      <c r="E12" s="750"/>
      <c r="F12" s="734"/>
      <c r="G12" s="747"/>
      <c r="H12" s="747"/>
    </row>
    <row r="13" spans="1:8" ht="27" thickBot="1">
      <c r="A13" s="551" t="s">
        <v>1184</v>
      </c>
      <c r="B13" s="927" t="s">
        <v>1185</v>
      </c>
      <c r="C13" s="927" t="s">
        <v>1186</v>
      </c>
      <c r="D13" s="928"/>
      <c r="E13" s="928"/>
      <c r="F13" s="909" t="s">
        <v>214</v>
      </c>
      <c r="G13" s="909">
        <v>13</v>
      </c>
      <c r="H13" s="909">
        <v>27</v>
      </c>
    </row>
    <row r="14" spans="1:8" ht="13.9" thickBot="1">
      <c r="A14" s="551" t="s">
        <v>1187</v>
      </c>
      <c r="B14" s="927" t="s">
        <v>1188</v>
      </c>
      <c r="C14" s="927">
        <v>17</v>
      </c>
      <c r="D14" s="927"/>
      <c r="E14" s="927"/>
      <c r="F14" s="909" t="s">
        <v>223</v>
      </c>
      <c r="G14" s="909">
        <v>22</v>
      </c>
      <c r="H14" s="909">
        <v>36</v>
      </c>
    </row>
    <row r="15" spans="1:8" ht="13.9" thickBot="1">
      <c r="A15" s="555" t="s">
        <v>1189</v>
      </c>
      <c r="B15" s="556"/>
      <c r="C15" s="556"/>
      <c r="D15" s="556"/>
      <c r="E15" s="556"/>
      <c r="F15" s="557"/>
      <c r="G15" s="557"/>
      <c r="H15" s="557"/>
    </row>
    <row r="16" spans="1:8">
      <c r="A16" s="548" t="s">
        <v>1190</v>
      </c>
      <c r="B16" s="745" t="s">
        <v>1191</v>
      </c>
      <c r="C16" s="748"/>
      <c r="D16" s="745"/>
      <c r="E16" s="745" t="s">
        <v>1192</v>
      </c>
      <c r="F16" s="733" t="s">
        <v>1193</v>
      </c>
      <c r="G16" s="745">
        <v>3</v>
      </c>
      <c r="H16" s="745">
        <v>15</v>
      </c>
    </row>
    <row r="17" spans="1:8">
      <c r="A17" s="548" t="s">
        <v>1194</v>
      </c>
      <c r="B17" s="746"/>
      <c r="C17" s="749"/>
      <c r="D17" s="746"/>
      <c r="E17" s="746"/>
      <c r="F17" s="744"/>
      <c r="G17" s="746"/>
      <c r="H17" s="746"/>
    </row>
    <row r="18" spans="1:8" ht="13.9" thickBot="1">
      <c r="A18" s="551" t="s">
        <v>1195</v>
      </c>
      <c r="B18" s="747"/>
      <c r="C18" s="750"/>
      <c r="D18" s="747"/>
      <c r="E18" s="747"/>
      <c r="F18" s="734"/>
      <c r="G18" s="747"/>
      <c r="H18" s="747"/>
    </row>
    <row r="19" spans="1:8" ht="40.15" thickBot="1">
      <c r="A19" s="552" t="s">
        <v>1196</v>
      </c>
      <c r="B19" s="927" t="s">
        <v>1191</v>
      </c>
      <c r="C19" s="928"/>
      <c r="D19" s="928"/>
      <c r="E19" s="927" t="s">
        <v>1197</v>
      </c>
      <c r="F19" s="909" t="s">
        <v>1198</v>
      </c>
      <c r="G19" s="927">
        <v>4</v>
      </c>
      <c r="H19" s="927">
        <v>16</v>
      </c>
    </row>
    <row r="20" spans="1:8">
      <c r="A20" s="548" t="s">
        <v>1199</v>
      </c>
      <c r="B20" s="745" t="s">
        <v>1200</v>
      </c>
      <c r="C20" s="748"/>
      <c r="D20" s="549" t="s">
        <v>1201</v>
      </c>
      <c r="E20" s="745" t="s">
        <v>1202</v>
      </c>
      <c r="F20" s="929" t="s">
        <v>1198</v>
      </c>
      <c r="G20" s="745">
        <v>4</v>
      </c>
      <c r="H20" s="745">
        <v>16</v>
      </c>
    </row>
    <row r="21" spans="1:8" ht="39.6">
      <c r="A21" s="548" t="s">
        <v>1203</v>
      </c>
      <c r="B21" s="746"/>
      <c r="C21" s="749"/>
      <c r="D21" s="549" t="s">
        <v>1204</v>
      </c>
      <c r="E21" s="746"/>
      <c r="F21" s="751"/>
      <c r="G21" s="746"/>
      <c r="H21" s="746"/>
    </row>
    <row r="22" spans="1:8">
      <c r="A22" s="548" t="s">
        <v>1194</v>
      </c>
      <c r="B22" s="746"/>
      <c r="C22" s="749"/>
      <c r="D22" s="550"/>
      <c r="E22" s="746"/>
      <c r="F22" s="751"/>
      <c r="G22" s="746"/>
      <c r="H22" s="746"/>
    </row>
    <row r="23" spans="1:8">
      <c r="A23" s="548" t="s">
        <v>1195</v>
      </c>
      <c r="B23" s="746"/>
      <c r="C23" s="749"/>
      <c r="D23" s="550"/>
      <c r="E23" s="746"/>
      <c r="F23" s="751"/>
      <c r="G23" s="746"/>
      <c r="H23" s="746"/>
    </row>
    <row r="24" spans="1:8" ht="13.9" thickBot="1">
      <c r="A24" s="548" t="s">
        <v>1205</v>
      </c>
      <c r="B24" s="747"/>
      <c r="C24" s="750"/>
      <c r="D24" s="550"/>
      <c r="E24" s="747"/>
      <c r="F24" s="752"/>
      <c r="G24" s="747"/>
      <c r="H24" s="747"/>
    </row>
    <row r="25" spans="1:8">
      <c r="A25" s="553" t="s">
        <v>1206</v>
      </c>
      <c r="B25" s="745" t="s">
        <v>1191</v>
      </c>
      <c r="C25" s="748"/>
      <c r="D25" s="745" t="s">
        <v>1207</v>
      </c>
      <c r="E25" s="745" t="s">
        <v>1208</v>
      </c>
      <c r="F25" s="929" t="s">
        <v>1193</v>
      </c>
      <c r="G25" s="746">
        <v>3</v>
      </c>
      <c r="H25" s="746">
        <v>15</v>
      </c>
    </row>
    <row r="26" spans="1:8">
      <c r="A26" s="548" t="s">
        <v>1190</v>
      </c>
      <c r="B26" s="746"/>
      <c r="C26" s="749"/>
      <c r="D26" s="746"/>
      <c r="E26" s="746"/>
      <c r="F26" s="751"/>
      <c r="G26" s="746"/>
      <c r="H26" s="746"/>
    </row>
    <row r="27" spans="1:8">
      <c r="A27" s="548" t="s">
        <v>1209</v>
      </c>
      <c r="B27" s="746"/>
      <c r="C27" s="749"/>
      <c r="D27" s="746"/>
      <c r="E27" s="746"/>
      <c r="F27" s="751"/>
      <c r="G27" s="746"/>
      <c r="H27" s="746"/>
    </row>
    <row r="28" spans="1:8">
      <c r="A28" s="548" t="s">
        <v>1194</v>
      </c>
      <c r="B28" s="746"/>
      <c r="C28" s="749"/>
      <c r="D28" s="746"/>
      <c r="E28" s="746"/>
      <c r="F28" s="751"/>
      <c r="G28" s="746"/>
      <c r="H28" s="746"/>
    </row>
    <row r="29" spans="1:8" ht="13.9" thickBot="1">
      <c r="A29" s="551" t="s">
        <v>1195</v>
      </c>
      <c r="B29" s="747"/>
      <c r="C29" s="750"/>
      <c r="D29" s="747"/>
      <c r="E29" s="747"/>
      <c r="F29" s="752"/>
      <c r="G29" s="747"/>
      <c r="H29" s="747"/>
    </row>
    <row r="30" spans="1:8" ht="13.9" thickBot="1">
      <c r="A30" s="555" t="s">
        <v>1210</v>
      </c>
      <c r="B30" s="556"/>
      <c r="C30" s="556"/>
      <c r="D30" s="556"/>
      <c r="E30" s="556"/>
      <c r="F30" s="557"/>
      <c r="G30" s="577"/>
      <c r="H30" s="577"/>
    </row>
    <row r="31" spans="1:8">
      <c r="A31" s="548" t="s">
        <v>1211</v>
      </c>
      <c r="B31" s="745"/>
      <c r="C31" s="745" t="s">
        <v>1212</v>
      </c>
      <c r="D31" s="549" t="s">
        <v>1201</v>
      </c>
      <c r="E31" s="748"/>
      <c r="F31" s="733" t="s">
        <v>1198</v>
      </c>
      <c r="G31" s="745">
        <v>4</v>
      </c>
      <c r="H31" s="745">
        <v>16</v>
      </c>
    </row>
    <row r="32" spans="1:8" ht="40.15" thickBot="1">
      <c r="A32" s="551" t="s">
        <v>1213</v>
      </c>
      <c r="B32" s="747"/>
      <c r="C32" s="747"/>
      <c r="D32" s="927" t="s">
        <v>1204</v>
      </c>
      <c r="E32" s="750"/>
      <c r="F32" s="734"/>
      <c r="G32" s="747"/>
      <c r="H32" s="747"/>
    </row>
    <row r="33" spans="1:8">
      <c r="A33" s="548" t="s">
        <v>1214</v>
      </c>
      <c r="B33" s="745"/>
      <c r="C33" s="745" t="s">
        <v>1215</v>
      </c>
      <c r="D33" s="748"/>
      <c r="E33" s="748"/>
      <c r="F33" s="733" t="s">
        <v>1198</v>
      </c>
      <c r="G33" s="745">
        <v>4</v>
      </c>
      <c r="H33" s="745">
        <v>16</v>
      </c>
    </row>
    <row r="34" spans="1:8">
      <c r="A34" s="548" t="s">
        <v>1216</v>
      </c>
      <c r="B34" s="746"/>
      <c r="C34" s="746"/>
      <c r="D34" s="749"/>
      <c r="E34" s="749"/>
      <c r="F34" s="744"/>
      <c r="G34" s="746"/>
      <c r="H34" s="746"/>
    </row>
    <row r="35" spans="1:8">
      <c r="A35" s="548" t="s">
        <v>1217</v>
      </c>
      <c r="B35" s="746"/>
      <c r="C35" s="746"/>
      <c r="D35" s="749"/>
      <c r="E35" s="749"/>
      <c r="F35" s="744"/>
      <c r="G35" s="746"/>
      <c r="H35" s="746"/>
    </row>
    <row r="36" spans="1:8" ht="13.9" thickBot="1">
      <c r="A36" s="551" t="s">
        <v>1218</v>
      </c>
      <c r="B36" s="747"/>
      <c r="C36" s="747"/>
      <c r="D36" s="750"/>
      <c r="E36" s="750"/>
      <c r="F36" s="734"/>
      <c r="G36" s="747"/>
      <c r="H36" s="747"/>
    </row>
    <row r="37" spans="1:8" ht="39.6">
      <c r="A37" s="548" t="s">
        <v>1219</v>
      </c>
      <c r="B37" s="745"/>
      <c r="C37" s="549" t="s">
        <v>1220</v>
      </c>
      <c r="D37" s="753" t="s">
        <v>1221</v>
      </c>
      <c r="E37" s="748"/>
      <c r="F37" s="733" t="s">
        <v>202</v>
      </c>
      <c r="G37" s="745">
        <v>5</v>
      </c>
      <c r="H37" s="745">
        <v>17</v>
      </c>
    </row>
    <row r="38" spans="1:8">
      <c r="A38" s="548" t="s">
        <v>1222</v>
      </c>
      <c r="B38" s="746"/>
      <c r="C38" s="549" t="s">
        <v>1223</v>
      </c>
      <c r="D38" s="754"/>
      <c r="E38" s="749"/>
      <c r="F38" s="744"/>
      <c r="G38" s="746"/>
      <c r="H38" s="746"/>
    </row>
    <row r="39" spans="1:8" ht="26.45">
      <c r="A39" s="548" t="s">
        <v>1224</v>
      </c>
      <c r="B39" s="746"/>
      <c r="C39" s="549" t="s">
        <v>1225</v>
      </c>
      <c r="D39" s="754"/>
      <c r="E39" s="749"/>
      <c r="F39" s="744"/>
      <c r="G39" s="746"/>
      <c r="H39" s="746"/>
    </row>
    <row r="40" spans="1:8">
      <c r="A40" s="548" t="s">
        <v>1226</v>
      </c>
      <c r="B40" s="746"/>
      <c r="C40" s="549" t="s">
        <v>1227</v>
      </c>
      <c r="D40" s="754"/>
      <c r="E40" s="749"/>
      <c r="F40" s="744"/>
      <c r="G40" s="746"/>
      <c r="H40" s="746"/>
    </row>
    <row r="41" spans="1:8">
      <c r="A41" s="548" t="s">
        <v>1228</v>
      </c>
      <c r="B41" s="746"/>
      <c r="C41" s="549" t="s">
        <v>1229</v>
      </c>
      <c r="D41" s="754"/>
      <c r="E41" s="749"/>
      <c r="F41" s="744"/>
      <c r="G41" s="746"/>
      <c r="H41" s="746"/>
    </row>
    <row r="42" spans="1:8">
      <c r="A42" s="548" t="s">
        <v>1213</v>
      </c>
      <c r="B42" s="746"/>
      <c r="C42" s="550"/>
      <c r="D42" s="754"/>
      <c r="E42" s="749"/>
      <c r="F42" s="744"/>
      <c r="G42" s="746"/>
      <c r="H42" s="746"/>
    </row>
    <row r="43" spans="1:8" ht="26.45">
      <c r="A43" s="548" t="s">
        <v>1230</v>
      </c>
      <c r="B43" s="746"/>
      <c r="C43" s="550"/>
      <c r="D43" s="754"/>
      <c r="E43" s="749"/>
      <c r="F43" s="744"/>
      <c r="G43" s="746"/>
      <c r="H43" s="746"/>
    </row>
    <row r="44" spans="1:8" ht="13.9" thickBot="1">
      <c r="A44" s="551" t="s">
        <v>1231</v>
      </c>
      <c r="B44" s="747"/>
      <c r="C44" s="926"/>
      <c r="D44" s="755"/>
      <c r="E44" s="750"/>
      <c r="F44" s="734"/>
      <c r="G44" s="747"/>
      <c r="H44" s="747"/>
    </row>
    <row r="45" spans="1:8" ht="13.9" thickBot="1">
      <c r="A45" s="555" t="s">
        <v>1232</v>
      </c>
      <c r="B45" s="556"/>
      <c r="C45" s="556"/>
      <c r="D45" s="556"/>
      <c r="E45" s="556"/>
      <c r="F45" s="557"/>
      <c r="G45" s="557"/>
      <c r="H45" s="557"/>
    </row>
    <row r="46" spans="1:8" ht="27" thickBot="1">
      <c r="A46" s="551" t="s">
        <v>1233</v>
      </c>
      <c r="B46" s="927"/>
      <c r="C46" s="927" t="s">
        <v>1234</v>
      </c>
      <c r="D46" s="928"/>
      <c r="E46" s="928"/>
      <c r="F46" s="909" t="s">
        <v>611</v>
      </c>
      <c r="G46" s="927" t="s">
        <v>1235</v>
      </c>
      <c r="H46" s="909" t="s">
        <v>1236</v>
      </c>
    </row>
    <row r="47" spans="1:8">
      <c r="A47" s="548" t="s">
        <v>1237</v>
      </c>
      <c r="B47" s="745"/>
      <c r="C47" s="745" t="s">
        <v>1238</v>
      </c>
      <c r="D47" s="748"/>
      <c r="E47" s="748"/>
      <c r="F47" s="733" t="s">
        <v>222</v>
      </c>
      <c r="G47" s="733">
        <v>21</v>
      </c>
      <c r="H47" s="733">
        <v>35</v>
      </c>
    </row>
    <row r="48" spans="1:8">
      <c r="A48" s="548" t="s">
        <v>1239</v>
      </c>
      <c r="B48" s="746"/>
      <c r="C48" s="746"/>
      <c r="D48" s="749"/>
      <c r="E48" s="749"/>
      <c r="F48" s="744"/>
      <c r="G48" s="744"/>
      <c r="H48" s="744"/>
    </row>
    <row r="49" spans="1:8">
      <c r="A49" s="548" t="s">
        <v>1240</v>
      </c>
      <c r="B49" s="746"/>
      <c r="C49" s="746"/>
      <c r="D49" s="749"/>
      <c r="E49" s="749"/>
      <c r="F49" s="744"/>
      <c r="G49" s="744"/>
      <c r="H49" s="744"/>
    </row>
    <row r="50" spans="1:8">
      <c r="A50" s="548" t="s">
        <v>1241</v>
      </c>
      <c r="B50" s="746"/>
      <c r="C50" s="746"/>
      <c r="D50" s="749"/>
      <c r="E50" s="749"/>
      <c r="F50" s="744"/>
      <c r="G50" s="744"/>
      <c r="H50" s="744"/>
    </row>
    <row r="51" spans="1:8">
      <c r="A51" s="548" t="s">
        <v>1242</v>
      </c>
      <c r="B51" s="746"/>
      <c r="C51" s="746"/>
      <c r="D51" s="749"/>
      <c r="E51" s="749"/>
      <c r="F51" s="744"/>
      <c r="G51" s="744"/>
      <c r="H51" s="744"/>
    </row>
    <row r="52" spans="1:8" ht="13.9" thickBot="1">
      <c r="A52" s="554" t="s">
        <v>1243</v>
      </c>
      <c r="B52" s="747"/>
      <c r="C52" s="747"/>
      <c r="D52" s="750"/>
      <c r="E52" s="750"/>
      <c r="F52" s="734"/>
      <c r="G52" s="734"/>
      <c r="H52" s="734"/>
    </row>
    <row r="53" spans="1:8" ht="13.35" customHeight="1">
      <c r="A53" s="553" t="s">
        <v>1244</v>
      </c>
      <c r="B53" s="578"/>
      <c r="C53" s="930" t="s">
        <v>1245</v>
      </c>
      <c r="D53" s="706"/>
      <c r="E53" s="706"/>
      <c r="F53" s="733" t="s">
        <v>203</v>
      </c>
      <c r="G53" s="733">
        <v>6</v>
      </c>
      <c r="H53" s="733">
        <v>18</v>
      </c>
    </row>
    <row r="54" spans="1:8">
      <c r="A54" s="548" t="s">
        <v>1246</v>
      </c>
      <c r="B54" s="579"/>
      <c r="C54" s="549" t="s">
        <v>1247</v>
      </c>
      <c r="D54" s="707"/>
      <c r="E54" s="707"/>
      <c r="F54" s="744"/>
      <c r="G54" s="744"/>
      <c r="H54" s="744"/>
    </row>
    <row r="55" spans="1:8" ht="27" thickBot="1">
      <c r="A55" s="551" t="s">
        <v>1248</v>
      </c>
      <c r="B55" s="552"/>
      <c r="C55" s="927" t="s">
        <v>1249</v>
      </c>
      <c r="D55" s="708"/>
      <c r="E55" s="708"/>
      <c r="F55" s="734"/>
      <c r="G55" s="734"/>
      <c r="H55" s="734"/>
    </row>
    <row r="56" spans="1:8">
      <c r="A56" s="553" t="s">
        <v>1250</v>
      </c>
      <c r="B56" s="578"/>
      <c r="C56" s="931"/>
      <c r="D56" s="706"/>
      <c r="E56" s="706"/>
      <c r="F56" s="733" t="s">
        <v>204</v>
      </c>
      <c r="G56" s="733">
        <v>7</v>
      </c>
      <c r="H56" s="733">
        <v>19</v>
      </c>
    </row>
    <row r="57" spans="1:8">
      <c r="A57" s="548" t="s">
        <v>1251</v>
      </c>
      <c r="B57" s="579"/>
      <c r="C57" s="550"/>
      <c r="D57" s="707"/>
      <c r="E57" s="707"/>
      <c r="F57" s="744"/>
      <c r="G57" s="744"/>
      <c r="H57" s="744"/>
    </row>
    <row r="58" spans="1:8">
      <c r="A58" s="548" t="s">
        <v>1252</v>
      </c>
      <c r="B58" s="579"/>
      <c r="C58" s="550"/>
      <c r="D58" s="707"/>
      <c r="E58" s="707"/>
      <c r="F58" s="744"/>
      <c r="G58" s="744"/>
      <c r="H58" s="744"/>
    </row>
    <row r="59" spans="1:8" ht="13.9" thickBot="1">
      <c r="A59" s="551" t="s">
        <v>1253</v>
      </c>
      <c r="B59" s="552"/>
      <c r="C59" s="926"/>
      <c r="D59" s="708"/>
      <c r="E59" s="708"/>
      <c r="F59" s="734"/>
      <c r="G59" s="734"/>
      <c r="H59" s="734"/>
    </row>
    <row r="60" spans="1:8">
      <c r="A60" s="553" t="s">
        <v>1254</v>
      </c>
      <c r="B60" s="578"/>
      <c r="C60" s="931"/>
      <c r="D60" s="706"/>
      <c r="E60" s="706"/>
      <c r="F60" s="733" t="s">
        <v>205</v>
      </c>
      <c r="G60" s="733">
        <v>8</v>
      </c>
      <c r="H60" s="733">
        <v>20</v>
      </c>
    </row>
    <row r="61" spans="1:8" ht="13.9" thickBot="1">
      <c r="A61" s="551" t="s">
        <v>1255</v>
      </c>
      <c r="B61" s="552"/>
      <c r="C61" s="926"/>
      <c r="D61" s="708"/>
      <c r="E61" s="708"/>
      <c r="F61" s="734"/>
      <c r="G61" s="734"/>
      <c r="H61" s="734"/>
    </row>
    <row r="62" spans="1:8">
      <c r="A62" s="553" t="s">
        <v>1256</v>
      </c>
      <c r="B62" s="578"/>
      <c r="C62" s="931"/>
      <c r="D62" s="706"/>
      <c r="E62" s="706"/>
      <c r="F62" s="733" t="s">
        <v>202</v>
      </c>
      <c r="G62" s="733">
        <v>5</v>
      </c>
      <c r="H62" s="733">
        <v>17</v>
      </c>
    </row>
    <row r="63" spans="1:8" ht="13.9" thickBot="1">
      <c r="A63" s="551" t="s">
        <v>1257</v>
      </c>
      <c r="B63" s="552"/>
      <c r="C63" s="926"/>
      <c r="D63" s="708"/>
      <c r="E63" s="708"/>
      <c r="F63" s="734"/>
      <c r="G63" s="734"/>
      <c r="H63" s="734"/>
    </row>
    <row r="64" spans="1:8">
      <c r="A64" s="548" t="s">
        <v>1258</v>
      </c>
      <c r="B64" s="579"/>
      <c r="C64" s="550"/>
      <c r="D64" s="707"/>
      <c r="E64" s="707"/>
      <c r="F64" s="733" t="s">
        <v>226</v>
      </c>
      <c r="G64" s="733">
        <v>25</v>
      </c>
      <c r="H64" s="733">
        <v>39</v>
      </c>
    </row>
    <row r="65" spans="1:8">
      <c r="A65" s="548" t="s">
        <v>1259</v>
      </c>
      <c r="B65" s="579"/>
      <c r="C65" s="550"/>
      <c r="D65" s="707"/>
      <c r="E65" s="707"/>
      <c r="F65" s="744"/>
      <c r="G65" s="744"/>
      <c r="H65" s="744"/>
    </row>
    <row r="66" spans="1:8">
      <c r="A66" s="548" t="s">
        <v>1260</v>
      </c>
      <c r="B66" s="579"/>
      <c r="C66" s="550"/>
      <c r="D66" s="707"/>
      <c r="E66" s="707"/>
      <c r="F66" s="744"/>
      <c r="G66" s="744"/>
      <c r="H66" s="744"/>
    </row>
    <row r="67" spans="1:8">
      <c r="A67" s="548" t="s">
        <v>1261</v>
      </c>
      <c r="B67" s="579"/>
      <c r="C67" s="550"/>
      <c r="D67" s="707"/>
      <c r="E67" s="707"/>
      <c r="F67" s="744"/>
      <c r="G67" s="744"/>
      <c r="H67" s="744"/>
    </row>
    <row r="68" spans="1:8">
      <c r="A68" s="548" t="s">
        <v>1262</v>
      </c>
      <c r="B68" s="579"/>
      <c r="C68" s="550"/>
      <c r="D68" s="707"/>
      <c r="E68" s="707"/>
      <c r="F68" s="744"/>
      <c r="G68" s="744"/>
      <c r="H68" s="744"/>
    </row>
    <row r="69" spans="1:8">
      <c r="A69" s="548" t="s">
        <v>1263</v>
      </c>
      <c r="B69" s="579"/>
      <c r="C69" s="550"/>
      <c r="D69" s="707"/>
      <c r="E69" s="707"/>
      <c r="F69" s="744"/>
      <c r="G69" s="744"/>
      <c r="H69" s="744"/>
    </row>
    <row r="70" spans="1:8" ht="13.9" thickBot="1">
      <c r="A70" s="551" t="s">
        <v>1264</v>
      </c>
      <c r="B70" s="552"/>
      <c r="C70" s="926"/>
      <c r="D70" s="708"/>
      <c r="E70" s="708"/>
      <c r="F70" s="734"/>
      <c r="G70" s="734"/>
      <c r="H70" s="734"/>
    </row>
    <row r="71" spans="1:8" ht="19.350000000000001" customHeight="1" thickBot="1">
      <c r="A71" s="551" t="s">
        <v>1265</v>
      </c>
      <c r="B71" s="927"/>
      <c r="C71" s="927">
        <v>59</v>
      </c>
      <c r="D71" s="928"/>
      <c r="E71" s="928"/>
      <c r="F71" s="909" t="s">
        <v>1266</v>
      </c>
      <c r="G71" s="909">
        <v>20</v>
      </c>
      <c r="H71" s="909">
        <v>34</v>
      </c>
    </row>
    <row r="72" spans="1:8" ht="31.9" customHeight="1" thickBot="1">
      <c r="A72" s="551" t="s">
        <v>1267</v>
      </c>
      <c r="B72" s="927"/>
      <c r="C72" s="927">
        <v>80</v>
      </c>
      <c r="D72" s="928"/>
      <c r="E72" s="928"/>
      <c r="F72" s="909" t="s">
        <v>224</v>
      </c>
      <c r="G72" s="649">
        <v>23</v>
      </c>
      <c r="H72" s="649">
        <v>37</v>
      </c>
    </row>
    <row r="73" spans="1:8">
      <c r="A73" s="548" t="s">
        <v>1268</v>
      </c>
      <c r="B73" s="745" t="s">
        <v>1269</v>
      </c>
      <c r="C73" s="745" t="s">
        <v>1270</v>
      </c>
      <c r="D73" s="748"/>
      <c r="E73" s="748"/>
      <c r="F73" s="733" t="s">
        <v>1271</v>
      </c>
      <c r="G73" s="733" t="s">
        <v>1272</v>
      </c>
      <c r="H73" s="733" t="s">
        <v>1273</v>
      </c>
    </row>
    <row r="74" spans="1:8">
      <c r="A74" s="548" t="s">
        <v>1274</v>
      </c>
      <c r="B74" s="746"/>
      <c r="C74" s="746"/>
      <c r="D74" s="749"/>
      <c r="E74" s="749"/>
      <c r="F74" s="744"/>
      <c r="G74" s="744"/>
      <c r="H74" s="744"/>
    </row>
    <row r="75" spans="1:8">
      <c r="A75" s="548" t="s">
        <v>1275</v>
      </c>
      <c r="B75" s="746"/>
      <c r="C75" s="746"/>
      <c r="D75" s="749"/>
      <c r="E75" s="749"/>
      <c r="F75" s="744"/>
      <c r="G75" s="744"/>
      <c r="H75" s="744"/>
    </row>
    <row r="76" spans="1:8">
      <c r="A76" s="548" t="s">
        <v>1276</v>
      </c>
      <c r="B76" s="746"/>
      <c r="C76" s="746"/>
      <c r="D76" s="749"/>
      <c r="E76" s="749"/>
      <c r="F76" s="744"/>
      <c r="G76" s="744"/>
      <c r="H76" s="744"/>
    </row>
    <row r="77" spans="1:8">
      <c r="A77" s="548" t="s">
        <v>1277</v>
      </c>
      <c r="B77" s="746"/>
      <c r="C77" s="746"/>
      <c r="D77" s="749"/>
      <c r="E77" s="749"/>
      <c r="F77" s="744"/>
      <c r="G77" s="744"/>
      <c r="H77" s="744"/>
    </row>
    <row r="78" spans="1:8" ht="26.45">
      <c r="A78" s="548" t="s">
        <v>1278</v>
      </c>
      <c r="B78" s="746"/>
      <c r="C78" s="746"/>
      <c r="D78" s="749"/>
      <c r="E78" s="749"/>
      <c r="F78" s="744"/>
      <c r="G78" s="744"/>
      <c r="H78" s="744"/>
    </row>
    <row r="79" spans="1:8">
      <c r="A79" s="548" t="s">
        <v>1279</v>
      </c>
      <c r="B79" s="746"/>
      <c r="C79" s="746"/>
      <c r="D79" s="749"/>
      <c r="E79" s="749"/>
      <c r="F79" s="744"/>
      <c r="G79" s="744"/>
      <c r="H79" s="744"/>
    </row>
    <row r="80" spans="1:8">
      <c r="A80" s="548" t="s">
        <v>1280</v>
      </c>
      <c r="B80" s="746"/>
      <c r="C80" s="746"/>
      <c r="D80" s="749"/>
      <c r="E80" s="749"/>
      <c r="F80" s="744"/>
      <c r="G80" s="744"/>
      <c r="H80" s="744"/>
    </row>
    <row r="81" spans="1:8">
      <c r="A81" s="548" t="s">
        <v>1281</v>
      </c>
      <c r="B81" s="746"/>
      <c r="C81" s="746"/>
      <c r="D81" s="749"/>
      <c r="E81" s="749"/>
      <c r="F81" s="744"/>
      <c r="G81" s="744"/>
      <c r="H81" s="744"/>
    </row>
    <row r="82" spans="1:8" ht="13.9" thickBot="1">
      <c r="A82" s="551" t="s">
        <v>1282</v>
      </c>
      <c r="B82" s="747"/>
      <c r="C82" s="747"/>
      <c r="D82" s="750"/>
      <c r="E82" s="750"/>
      <c r="F82" s="734"/>
      <c r="G82" s="734"/>
      <c r="H82" s="734"/>
    </row>
  </sheetData>
  <sheetProtection algorithmName="SHA-512" hashValue="J1ivri0E6lImctOOC2em5GRQuXnAzPJvk/SnbWT7lK+JqQp0CT+IE6e7kNmw7NNVTpAUvRfMpaNb4TUxec+rPQ==" saltValue="vIk8s0E7pIyddqy9InEeig==" spinCount="100000" sheet="1" formatColumns="0" formatRows="0"/>
  <autoFilter ref="A3:H82" xr:uid="{00000000-0009-0000-0000-000006000000}"/>
  <mergeCells count="81">
    <mergeCell ref="B37:B44"/>
    <mergeCell ref="D37:D44"/>
    <mergeCell ref="E37:E44"/>
    <mergeCell ref="F37:F44"/>
    <mergeCell ref="G37:G44"/>
    <mergeCell ref="F33:F36"/>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F10:F12"/>
    <mergeCell ref="G10:G12"/>
    <mergeCell ref="B5:B9"/>
    <mergeCell ref="C5:C9"/>
    <mergeCell ref="E5:E9"/>
    <mergeCell ref="F5:F9"/>
    <mergeCell ref="B73:B82"/>
    <mergeCell ref="C73:C82"/>
    <mergeCell ref="D73:D82"/>
    <mergeCell ref="E73:E82"/>
    <mergeCell ref="F73:F82"/>
    <mergeCell ref="A2:F2"/>
    <mergeCell ref="G47:G52"/>
    <mergeCell ref="G53:G55"/>
    <mergeCell ref="G56:G59"/>
    <mergeCell ref="F47:F52"/>
    <mergeCell ref="B25:B29"/>
    <mergeCell ref="B47:B52"/>
    <mergeCell ref="C47:C52"/>
    <mergeCell ref="D47:D52"/>
    <mergeCell ref="E47:E52"/>
    <mergeCell ref="D33:D36"/>
    <mergeCell ref="E33:E36"/>
    <mergeCell ref="G5:G9"/>
    <mergeCell ref="B10:B12"/>
    <mergeCell ref="C10:C12"/>
    <mergeCell ref="E10:E12"/>
    <mergeCell ref="G64:G70"/>
    <mergeCell ref="G73:G82"/>
    <mergeCell ref="F53:F55"/>
    <mergeCell ref="F56:F59"/>
    <mergeCell ref="F60:F61"/>
    <mergeCell ref="F62:F63"/>
    <mergeCell ref="F64:F70"/>
    <mergeCell ref="H5:H9"/>
    <mergeCell ref="H10:H12"/>
    <mergeCell ref="H16:H18"/>
    <mergeCell ref="G60:G61"/>
    <mergeCell ref="G62:G63"/>
    <mergeCell ref="G16:G18"/>
    <mergeCell ref="G31:G32"/>
    <mergeCell ref="G33:G36"/>
    <mergeCell ref="H33:H36"/>
    <mergeCell ref="H37:H44"/>
    <mergeCell ref="H47:H52"/>
    <mergeCell ref="H20:H24"/>
    <mergeCell ref="H25:H29"/>
    <mergeCell ref="H31:H32"/>
    <mergeCell ref="H62:H63"/>
    <mergeCell ref="H64:H70"/>
    <mergeCell ref="H73:H82"/>
    <mergeCell ref="H53:H55"/>
    <mergeCell ref="H56:H59"/>
    <mergeCell ref="H60:H61"/>
  </mergeCells>
  <hyperlinks>
    <hyperlink ref="D50" r:id="rId1" display="https://www.medicare.gov/coverage/durable-medical-equipment-coverage.html" xr:uid="{00000000-0004-0000-0600-000000000000}"/>
  </hyperlinks>
  <pageMargins left="0.25" right="0.25" top="0.5" bottom="0.75" header="0.3" footer="0.3"/>
  <pageSetup scale="75"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43"/>
  <sheetViews>
    <sheetView zoomScale="80" zoomScaleNormal="80" workbookViewId="0">
      <selection activeCell="E13" sqref="E13"/>
    </sheetView>
  </sheetViews>
  <sheetFormatPr defaultColWidth="9" defaultRowHeight="13.15"/>
  <cols>
    <col min="1" max="1" width="3.5703125" style="95" customWidth="1"/>
    <col min="2" max="2" width="5.42578125" style="95" customWidth="1"/>
    <col min="3" max="3" width="26.28515625" style="95" customWidth="1"/>
    <col min="4" max="12" width="14.42578125" style="95" customWidth="1"/>
    <col min="13" max="14" width="9" style="95" customWidth="1"/>
    <col min="15" max="16384" width="9" style="95"/>
  </cols>
  <sheetData>
    <row r="1" spans="2:13" ht="15.6">
      <c r="B1" s="17" t="s">
        <v>1283</v>
      </c>
      <c r="C1" s="14"/>
      <c r="D1" s="14"/>
      <c r="E1" s="14"/>
      <c r="F1" s="14"/>
      <c r="G1" s="14"/>
    </row>
    <row r="2" spans="2:13" ht="15.6">
      <c r="B2" s="181"/>
      <c r="C2" s="139" t="s">
        <v>1284</v>
      </c>
      <c r="D2" s="397" t="str">
        <f>'Schedule 2_Balance Sheet'!C2</f>
        <v>Tufts Associated Health Plans, Inc. (TAHMO)</v>
      </c>
      <c r="E2" s="398"/>
      <c r="F2" s="398"/>
      <c r="G2" s="398"/>
      <c r="H2" s="399"/>
    </row>
    <row r="3" spans="2:13" ht="15.6">
      <c r="B3" s="181"/>
      <c r="C3" s="139" t="s">
        <v>1285</v>
      </c>
      <c r="D3" s="520" t="str">
        <f>'Schedule 2_Balance Sheet'!C3</f>
        <v>01/01/2024 - 12/31/2024</v>
      </c>
      <c r="E3" s="521"/>
      <c r="F3" s="521"/>
      <c r="G3" s="521"/>
      <c r="H3" s="522"/>
    </row>
    <row r="4" spans="2:13" ht="15.6">
      <c r="B4" s="181"/>
      <c r="C4" s="139" t="s">
        <v>1286</v>
      </c>
      <c r="D4" s="401">
        <f>'Schedule 2_Balance Sheet'!C4</f>
        <v>45657</v>
      </c>
      <c r="E4" s="398"/>
      <c r="F4" s="398"/>
      <c r="G4" s="398"/>
      <c r="H4" s="399"/>
    </row>
    <row r="5" spans="2:13" ht="15.6">
      <c r="B5" s="181"/>
      <c r="C5" s="139" t="s">
        <v>1287</v>
      </c>
      <c r="D5" s="397" t="str">
        <f>'Schedule 2_Balance Sheet'!C5</f>
        <v>Roshni Parikh</v>
      </c>
      <c r="E5" s="398"/>
      <c r="F5" s="398"/>
      <c r="G5" s="398"/>
      <c r="H5" s="399"/>
    </row>
    <row r="6" spans="2:13" ht="15.6">
      <c r="B6" s="181"/>
      <c r="C6" s="139" t="s">
        <v>1288</v>
      </c>
      <c r="D6" s="401">
        <f>'Schedule 2_Balance Sheet'!C6</f>
        <v>45657</v>
      </c>
      <c r="E6" s="398"/>
      <c r="F6" s="398"/>
      <c r="G6" s="398"/>
      <c r="H6" s="399"/>
    </row>
    <row r="7" spans="2:13">
      <c r="C7" s="181" t="s">
        <v>1289</v>
      </c>
      <c r="D7" s="181"/>
      <c r="E7" s="179"/>
      <c r="F7" s="179"/>
      <c r="G7" s="179"/>
      <c r="H7" s="179"/>
    </row>
    <row r="8" spans="2:13" ht="15.6">
      <c r="B8" s="17"/>
      <c r="C8" s="17"/>
      <c r="D8" s="17"/>
      <c r="E8" s="17"/>
      <c r="F8" s="17"/>
      <c r="G8" s="17"/>
      <c r="H8" s="17"/>
      <c r="I8" s="17"/>
      <c r="J8" s="17"/>
      <c r="K8" s="17"/>
      <c r="L8" s="17"/>
      <c r="M8" s="103"/>
    </row>
    <row r="9" spans="2:13" ht="11.25" customHeight="1">
      <c r="B9" s="103"/>
      <c r="C9" s="103"/>
      <c r="D9" s="213" t="s">
        <v>1290</v>
      </c>
      <c r="E9" s="214"/>
      <c r="F9" s="213"/>
      <c r="G9" s="214"/>
      <c r="H9" s="213"/>
      <c r="I9" s="214"/>
      <c r="J9" s="213"/>
      <c r="K9" s="214"/>
      <c r="L9" s="215"/>
      <c r="M9" s="103"/>
    </row>
    <row r="10" spans="2:13">
      <c r="B10" s="97" t="s">
        <v>1291</v>
      </c>
      <c r="C10" s="98"/>
      <c r="D10" s="211" t="s">
        <v>404</v>
      </c>
      <c r="E10" s="212"/>
      <c r="F10" s="756" t="s">
        <v>409</v>
      </c>
      <c r="G10" s="757"/>
      <c r="H10" s="211" t="s">
        <v>411</v>
      </c>
      <c r="I10" s="212"/>
      <c r="J10" s="211" t="s">
        <v>1292</v>
      </c>
      <c r="K10" s="212"/>
      <c r="L10" s="98"/>
      <c r="M10" s="103"/>
    </row>
    <row r="11" spans="2:13" ht="52.9">
      <c r="B11" s="99"/>
      <c r="C11" s="619" t="s">
        <v>1293</v>
      </c>
      <c r="D11" s="620" t="s">
        <v>42</v>
      </c>
      <c r="E11" s="620" t="s">
        <v>45</v>
      </c>
      <c r="F11" s="620" t="s">
        <v>42</v>
      </c>
      <c r="G11" s="620" t="s">
        <v>45</v>
      </c>
      <c r="H11" s="620" t="s">
        <v>42</v>
      </c>
      <c r="I11" s="620" t="s">
        <v>45</v>
      </c>
      <c r="J11" s="620" t="s">
        <v>42</v>
      </c>
      <c r="K11" s="620" t="s">
        <v>45</v>
      </c>
      <c r="L11" s="620" t="s">
        <v>48</v>
      </c>
      <c r="M11" s="229"/>
    </row>
    <row r="12" spans="2:13">
      <c r="B12" s="250">
        <v>1</v>
      </c>
      <c r="C12" s="96" t="s">
        <v>1294</v>
      </c>
      <c r="D12" s="595">
        <v>1211</v>
      </c>
      <c r="E12" s="595">
        <v>5031</v>
      </c>
      <c r="F12" s="595">
        <v>64</v>
      </c>
      <c r="G12" s="595">
        <v>990</v>
      </c>
      <c r="H12" s="595">
        <v>4055</v>
      </c>
      <c r="I12" s="595">
        <v>16144</v>
      </c>
      <c r="J12" s="595">
        <v>28</v>
      </c>
      <c r="K12" s="595">
        <v>553</v>
      </c>
      <c r="L12" s="596">
        <f>SUM(D12:K12)</f>
        <v>28076</v>
      </c>
    </row>
    <row r="13" spans="2:13">
      <c r="B13" s="250">
        <v>2</v>
      </c>
      <c r="C13" s="96" t="s">
        <v>1295</v>
      </c>
      <c r="D13" s="595">
        <v>55</v>
      </c>
      <c r="E13" s="595">
        <v>430</v>
      </c>
      <c r="F13" s="595">
        <v>0</v>
      </c>
      <c r="G13" s="595">
        <v>124</v>
      </c>
      <c r="H13" s="595">
        <v>298</v>
      </c>
      <c r="I13" s="595">
        <v>1083</v>
      </c>
      <c r="J13" s="595">
        <v>3</v>
      </c>
      <c r="K13" s="595">
        <v>52</v>
      </c>
      <c r="L13" s="596">
        <f>SUM(D13:K13)</f>
        <v>2045</v>
      </c>
    </row>
    <row r="14" spans="2:13">
      <c r="B14" s="250">
        <v>3</v>
      </c>
      <c r="C14" s="96" t="s">
        <v>1296</v>
      </c>
      <c r="D14" s="597">
        <v>109</v>
      </c>
      <c r="E14" s="597">
        <v>938</v>
      </c>
      <c r="F14" s="597">
        <v>6</v>
      </c>
      <c r="G14" s="597">
        <v>311</v>
      </c>
      <c r="H14" s="597">
        <v>469</v>
      </c>
      <c r="I14" s="597">
        <v>3550</v>
      </c>
      <c r="J14" s="597">
        <v>6</v>
      </c>
      <c r="K14" s="597">
        <v>155</v>
      </c>
      <c r="L14" s="596">
        <f>SUM(D14:K14)</f>
        <v>5544</v>
      </c>
    </row>
    <row r="15" spans="2:13">
      <c r="B15" s="251">
        <v>4</v>
      </c>
      <c r="C15" s="100" t="s">
        <v>1297</v>
      </c>
      <c r="D15" s="598">
        <f>SUM(D12:D14)</f>
        <v>1375</v>
      </c>
      <c r="E15" s="598">
        <f t="shared" ref="E15:K15" si="0">SUM(E12:E14)</f>
        <v>6399</v>
      </c>
      <c r="F15" s="598">
        <f t="shared" si="0"/>
        <v>70</v>
      </c>
      <c r="G15" s="598">
        <f t="shared" si="0"/>
        <v>1425</v>
      </c>
      <c r="H15" s="598">
        <f t="shared" si="0"/>
        <v>4822</v>
      </c>
      <c r="I15" s="598">
        <f t="shared" si="0"/>
        <v>20777</v>
      </c>
      <c r="J15" s="598">
        <f t="shared" si="0"/>
        <v>37</v>
      </c>
      <c r="K15" s="598">
        <f t="shared" si="0"/>
        <v>760</v>
      </c>
      <c r="L15" s="598">
        <f>SUM(L12:L14)</f>
        <v>35665</v>
      </c>
    </row>
    <row r="17" spans="2:13">
      <c r="B17" s="97" t="s">
        <v>1298</v>
      </c>
      <c r="C17" s="98"/>
      <c r="D17" s="756" t="s">
        <v>404</v>
      </c>
      <c r="E17" s="757"/>
      <c r="F17" s="756" t="s">
        <v>409</v>
      </c>
      <c r="G17" s="757"/>
      <c r="H17" s="756" t="s">
        <v>411</v>
      </c>
      <c r="I17" s="757"/>
      <c r="J17" s="756" t="s">
        <v>1292</v>
      </c>
      <c r="K17" s="757"/>
      <c r="L17" s="98"/>
      <c r="M17" s="103"/>
    </row>
    <row r="18" spans="2:13" ht="52.9">
      <c r="B18" s="99"/>
      <c r="C18" s="619" t="s">
        <v>1293</v>
      </c>
      <c r="D18" s="620" t="s">
        <v>42</v>
      </c>
      <c r="E18" s="620" t="s">
        <v>45</v>
      </c>
      <c r="F18" s="620" t="s">
        <v>42</v>
      </c>
      <c r="G18" s="620" t="s">
        <v>45</v>
      </c>
      <c r="H18" s="620" t="s">
        <v>42</v>
      </c>
      <c r="I18" s="620" t="s">
        <v>45</v>
      </c>
      <c r="J18" s="620" t="s">
        <v>42</v>
      </c>
      <c r="K18" s="620" t="s">
        <v>45</v>
      </c>
      <c r="L18" s="620" t="s">
        <v>48</v>
      </c>
      <c r="M18" s="229"/>
    </row>
    <row r="19" spans="2:13">
      <c r="B19" s="250">
        <v>1</v>
      </c>
      <c r="C19" s="96" t="s">
        <v>1294</v>
      </c>
      <c r="D19" s="595">
        <v>1674</v>
      </c>
      <c r="E19" s="595">
        <v>6707</v>
      </c>
      <c r="F19" s="595">
        <v>48</v>
      </c>
      <c r="G19" s="595">
        <v>858</v>
      </c>
      <c r="H19" s="595">
        <v>3996</v>
      </c>
      <c r="I19" s="595">
        <v>15632</v>
      </c>
      <c r="J19" s="595">
        <v>29</v>
      </c>
      <c r="K19" s="595">
        <v>518</v>
      </c>
      <c r="L19" s="596">
        <f>SUM(D19:K19)</f>
        <v>29462</v>
      </c>
    </row>
    <row r="20" spans="2:13">
      <c r="B20" s="250">
        <v>2</v>
      </c>
      <c r="C20" s="96" t="s">
        <v>1295</v>
      </c>
      <c r="D20" s="595">
        <v>81</v>
      </c>
      <c r="E20" s="595">
        <v>592</v>
      </c>
      <c r="F20" s="595">
        <v>2</v>
      </c>
      <c r="G20" s="595">
        <v>92</v>
      </c>
      <c r="H20" s="595">
        <v>301</v>
      </c>
      <c r="I20" s="595">
        <v>1059</v>
      </c>
      <c r="J20" s="595">
        <v>3</v>
      </c>
      <c r="K20" s="595">
        <v>43</v>
      </c>
      <c r="L20" s="596">
        <f>SUM(D20:K20)</f>
        <v>2173</v>
      </c>
    </row>
    <row r="21" spans="2:13">
      <c r="B21" s="250">
        <v>3</v>
      </c>
      <c r="C21" s="96" t="s">
        <v>1296</v>
      </c>
      <c r="D21" s="597">
        <v>198</v>
      </c>
      <c r="E21" s="597">
        <v>1287</v>
      </c>
      <c r="F21" s="597">
        <v>6</v>
      </c>
      <c r="G21" s="597">
        <v>267</v>
      </c>
      <c r="H21" s="597">
        <v>437</v>
      </c>
      <c r="I21" s="597">
        <v>3345</v>
      </c>
      <c r="J21" s="597">
        <v>3</v>
      </c>
      <c r="K21" s="597">
        <v>149</v>
      </c>
      <c r="L21" s="596">
        <f>SUM(D21:K21)</f>
        <v>5692</v>
      </c>
    </row>
    <row r="22" spans="2:13">
      <c r="B22" s="251">
        <v>4</v>
      </c>
      <c r="C22" s="100" t="s">
        <v>1297</v>
      </c>
      <c r="D22" s="598">
        <f>SUM(D19:D21)</f>
        <v>1953</v>
      </c>
      <c r="E22" s="598">
        <f t="shared" ref="E22:K22" si="1">SUM(E19:E21)</f>
        <v>8586</v>
      </c>
      <c r="F22" s="598">
        <f t="shared" si="1"/>
        <v>56</v>
      </c>
      <c r="G22" s="598">
        <f t="shared" si="1"/>
        <v>1217</v>
      </c>
      <c r="H22" s="598">
        <f t="shared" si="1"/>
        <v>4734</v>
      </c>
      <c r="I22" s="598">
        <f t="shared" si="1"/>
        <v>20036</v>
      </c>
      <c r="J22" s="598">
        <f t="shared" si="1"/>
        <v>35</v>
      </c>
      <c r="K22" s="598">
        <f t="shared" si="1"/>
        <v>710</v>
      </c>
      <c r="L22" s="598">
        <f>SUM(L19:L21)</f>
        <v>37327</v>
      </c>
    </row>
    <row r="23" spans="2:13">
      <c r="D23" s="426"/>
      <c r="E23" s="426"/>
      <c r="F23" s="426"/>
      <c r="G23" s="426"/>
      <c r="H23" s="426"/>
      <c r="I23" s="426"/>
      <c r="J23" s="426"/>
      <c r="K23" s="426"/>
      <c r="L23" s="426"/>
    </row>
    <row r="24" spans="2:13">
      <c r="B24" s="97" t="s">
        <v>1299</v>
      </c>
      <c r="C24" s="98"/>
      <c r="D24" s="756" t="s">
        <v>404</v>
      </c>
      <c r="E24" s="757"/>
      <c r="F24" s="756" t="s">
        <v>409</v>
      </c>
      <c r="G24" s="757"/>
      <c r="H24" s="756" t="s">
        <v>411</v>
      </c>
      <c r="I24" s="757"/>
      <c r="J24" s="756" t="s">
        <v>1292</v>
      </c>
      <c r="K24" s="757"/>
      <c r="L24" s="98"/>
      <c r="M24" s="103"/>
    </row>
    <row r="25" spans="2:13" ht="52.9">
      <c r="B25" s="99"/>
      <c r="C25" s="619" t="s">
        <v>1293</v>
      </c>
      <c r="D25" s="620" t="s">
        <v>42</v>
      </c>
      <c r="E25" s="620" t="s">
        <v>45</v>
      </c>
      <c r="F25" s="620" t="s">
        <v>42</v>
      </c>
      <c r="G25" s="620" t="s">
        <v>45</v>
      </c>
      <c r="H25" s="620" t="s">
        <v>42</v>
      </c>
      <c r="I25" s="620" t="s">
        <v>45</v>
      </c>
      <c r="J25" s="620" t="s">
        <v>42</v>
      </c>
      <c r="K25" s="620" t="s">
        <v>45</v>
      </c>
      <c r="L25" s="620" t="s">
        <v>48</v>
      </c>
      <c r="M25" s="229"/>
    </row>
    <row r="26" spans="2:13">
      <c r="B26" s="250">
        <v>1</v>
      </c>
      <c r="C26" s="96" t="s">
        <v>1294</v>
      </c>
      <c r="D26" s="595">
        <v>1689</v>
      </c>
      <c r="E26" s="595">
        <v>6395</v>
      </c>
      <c r="F26" s="595">
        <v>55</v>
      </c>
      <c r="G26" s="595">
        <v>881</v>
      </c>
      <c r="H26" s="595">
        <v>4395</v>
      </c>
      <c r="I26" s="595">
        <v>16822</v>
      </c>
      <c r="J26" s="595">
        <v>38</v>
      </c>
      <c r="K26" s="595">
        <v>544</v>
      </c>
      <c r="L26" s="596">
        <f>SUM(D26:K26)</f>
        <v>30819</v>
      </c>
    </row>
    <row r="27" spans="2:13">
      <c r="B27" s="250">
        <v>2</v>
      </c>
      <c r="C27" s="96" t="s">
        <v>1295</v>
      </c>
      <c r="D27" s="595">
        <v>98</v>
      </c>
      <c r="E27" s="595">
        <v>606</v>
      </c>
      <c r="F27" s="595">
        <v>8</v>
      </c>
      <c r="G27" s="595">
        <v>91</v>
      </c>
      <c r="H27" s="595">
        <v>330</v>
      </c>
      <c r="I27" s="595">
        <v>1209</v>
      </c>
      <c r="J27" s="595">
        <v>2</v>
      </c>
      <c r="K27" s="595">
        <v>49</v>
      </c>
      <c r="L27" s="596">
        <f>SUM(D27:K27)</f>
        <v>2393</v>
      </c>
    </row>
    <row r="28" spans="2:13">
      <c r="B28" s="250">
        <v>3</v>
      </c>
      <c r="C28" s="96" t="s">
        <v>1296</v>
      </c>
      <c r="D28" s="597">
        <v>217</v>
      </c>
      <c r="E28" s="597">
        <v>1190</v>
      </c>
      <c r="F28" s="597">
        <v>6</v>
      </c>
      <c r="G28" s="597">
        <v>276</v>
      </c>
      <c r="H28" s="597">
        <v>508</v>
      </c>
      <c r="I28" s="597">
        <v>3512</v>
      </c>
      <c r="J28" s="597">
        <v>4</v>
      </c>
      <c r="K28" s="597">
        <v>162</v>
      </c>
      <c r="L28" s="596">
        <f>SUM(D28:K28)</f>
        <v>5875</v>
      </c>
    </row>
    <row r="29" spans="2:13">
      <c r="B29" s="251">
        <v>4</v>
      </c>
      <c r="C29" s="100" t="s">
        <v>1297</v>
      </c>
      <c r="D29" s="598">
        <f>SUM(D26:D28)</f>
        <v>2004</v>
      </c>
      <c r="E29" s="598">
        <f t="shared" ref="E29:K29" si="2">SUM(E26:E28)</f>
        <v>8191</v>
      </c>
      <c r="F29" s="598">
        <f t="shared" si="2"/>
        <v>69</v>
      </c>
      <c r="G29" s="598">
        <f t="shared" si="2"/>
        <v>1248</v>
      </c>
      <c r="H29" s="598">
        <f t="shared" si="2"/>
        <v>5233</v>
      </c>
      <c r="I29" s="598">
        <f t="shared" si="2"/>
        <v>21543</v>
      </c>
      <c r="J29" s="598">
        <f t="shared" si="2"/>
        <v>44</v>
      </c>
      <c r="K29" s="598">
        <f t="shared" si="2"/>
        <v>755</v>
      </c>
      <c r="L29" s="598">
        <f>SUM(L26:L28)</f>
        <v>39087</v>
      </c>
    </row>
    <row r="30" spans="2:13">
      <c r="D30" s="426"/>
      <c r="E30" s="426"/>
      <c r="F30" s="426"/>
      <c r="G30" s="426"/>
      <c r="H30" s="426"/>
      <c r="I30" s="426"/>
      <c r="J30" s="426"/>
      <c r="K30" s="426"/>
      <c r="L30" s="426"/>
    </row>
    <row r="31" spans="2:13">
      <c r="B31" s="97" t="s">
        <v>1300</v>
      </c>
      <c r="C31" s="98"/>
      <c r="D31" s="756" t="s">
        <v>404</v>
      </c>
      <c r="E31" s="757"/>
      <c r="F31" s="756" t="s">
        <v>409</v>
      </c>
      <c r="G31" s="757"/>
      <c r="H31" s="756" t="s">
        <v>411</v>
      </c>
      <c r="I31" s="757"/>
      <c r="J31" s="756" t="s">
        <v>1292</v>
      </c>
      <c r="K31" s="757"/>
      <c r="L31" s="98"/>
      <c r="M31" s="103"/>
    </row>
    <row r="32" spans="2:13" ht="52.9">
      <c r="B32" s="99"/>
      <c r="C32" s="619" t="s">
        <v>1293</v>
      </c>
      <c r="D32" s="620" t="s">
        <v>42</v>
      </c>
      <c r="E32" s="620" t="s">
        <v>45</v>
      </c>
      <c r="F32" s="620" t="s">
        <v>42</v>
      </c>
      <c r="G32" s="620" t="s">
        <v>45</v>
      </c>
      <c r="H32" s="620" t="s">
        <v>42</v>
      </c>
      <c r="I32" s="620" t="s">
        <v>45</v>
      </c>
      <c r="J32" s="620" t="s">
        <v>42</v>
      </c>
      <c r="K32" s="620" t="s">
        <v>45</v>
      </c>
      <c r="L32" s="620" t="s">
        <v>48</v>
      </c>
      <c r="M32" s="229"/>
    </row>
    <row r="33" spans="2:12">
      <c r="B33" s="250">
        <v>1</v>
      </c>
      <c r="C33" s="96" t="s">
        <v>1294</v>
      </c>
      <c r="D33" s="595">
        <v>1512</v>
      </c>
      <c r="E33" s="595">
        <v>5790</v>
      </c>
      <c r="F33" s="595">
        <v>68</v>
      </c>
      <c r="G33" s="595">
        <v>924</v>
      </c>
      <c r="H33" s="595">
        <v>4964</v>
      </c>
      <c r="I33" s="595">
        <v>18310</v>
      </c>
      <c r="J33" s="595">
        <v>49</v>
      </c>
      <c r="K33" s="595">
        <v>599</v>
      </c>
      <c r="L33" s="596">
        <f>SUM(D33:K33)</f>
        <v>32216</v>
      </c>
    </row>
    <row r="34" spans="2:12">
      <c r="B34" s="250">
        <v>2</v>
      </c>
      <c r="C34" s="96" t="s">
        <v>1295</v>
      </c>
      <c r="D34" s="595">
        <v>90</v>
      </c>
      <c r="E34" s="595">
        <v>588</v>
      </c>
      <c r="F34" s="595">
        <v>9</v>
      </c>
      <c r="G34" s="595">
        <v>94</v>
      </c>
      <c r="H34" s="595">
        <v>370</v>
      </c>
      <c r="I34" s="595">
        <v>1387</v>
      </c>
      <c r="J34" s="595">
        <v>0</v>
      </c>
      <c r="K34" s="595">
        <v>43</v>
      </c>
      <c r="L34" s="596">
        <f>SUM(D34:K34)</f>
        <v>2581</v>
      </c>
    </row>
    <row r="35" spans="2:12">
      <c r="B35" s="250">
        <v>3</v>
      </c>
      <c r="C35" s="96" t="s">
        <v>1296</v>
      </c>
      <c r="D35" s="597">
        <v>192</v>
      </c>
      <c r="E35" s="597">
        <v>1077</v>
      </c>
      <c r="F35" s="597">
        <v>9</v>
      </c>
      <c r="G35" s="597">
        <v>297</v>
      </c>
      <c r="H35" s="597">
        <v>578</v>
      </c>
      <c r="I35" s="597">
        <v>3723</v>
      </c>
      <c r="J35" s="597">
        <v>7</v>
      </c>
      <c r="K35" s="597">
        <v>181</v>
      </c>
      <c r="L35" s="596">
        <f>SUM(D35:K35)</f>
        <v>6064</v>
      </c>
    </row>
    <row r="36" spans="2:12">
      <c r="B36" s="251">
        <v>4</v>
      </c>
      <c r="C36" s="100" t="s">
        <v>1297</v>
      </c>
      <c r="D36" s="598">
        <f>SUM(D33:D35)</f>
        <v>1794</v>
      </c>
      <c r="E36" s="598">
        <f t="shared" ref="E36:K36" si="3">SUM(E33:E35)</f>
        <v>7455</v>
      </c>
      <c r="F36" s="598">
        <f t="shared" si="3"/>
        <v>86</v>
      </c>
      <c r="G36" s="598">
        <f t="shared" si="3"/>
        <v>1315</v>
      </c>
      <c r="H36" s="598">
        <f t="shared" si="3"/>
        <v>5912</v>
      </c>
      <c r="I36" s="598">
        <f t="shared" si="3"/>
        <v>23420</v>
      </c>
      <c r="J36" s="598">
        <f t="shared" si="3"/>
        <v>56</v>
      </c>
      <c r="K36" s="598">
        <f t="shared" si="3"/>
        <v>823</v>
      </c>
      <c r="L36" s="598">
        <f>SUM(L33:L35)</f>
        <v>40861</v>
      </c>
    </row>
    <row r="38" spans="2:12">
      <c r="B38" s="97" t="s">
        <v>1301</v>
      </c>
      <c r="C38" s="98"/>
      <c r="D38" s="756" t="s">
        <v>404</v>
      </c>
      <c r="E38" s="757"/>
      <c r="F38" s="756" t="s">
        <v>409</v>
      </c>
      <c r="G38" s="757"/>
      <c r="H38" s="756" t="s">
        <v>411</v>
      </c>
      <c r="I38" s="757"/>
      <c r="J38" s="756" t="s">
        <v>1292</v>
      </c>
      <c r="K38" s="757"/>
      <c r="L38" s="98"/>
    </row>
    <row r="39" spans="2:12" ht="52.9">
      <c r="B39" s="99"/>
      <c r="C39" s="619" t="s">
        <v>1293</v>
      </c>
      <c r="D39" s="620" t="s">
        <v>42</v>
      </c>
      <c r="E39" s="620" t="s">
        <v>45</v>
      </c>
      <c r="F39" s="620" t="s">
        <v>42</v>
      </c>
      <c r="G39" s="620" t="s">
        <v>45</v>
      </c>
      <c r="H39" s="620" t="s">
        <v>42</v>
      </c>
      <c r="I39" s="620" t="s">
        <v>45</v>
      </c>
      <c r="J39" s="620" t="s">
        <v>42</v>
      </c>
      <c r="K39" s="620" t="s">
        <v>45</v>
      </c>
      <c r="L39" s="620" t="s">
        <v>48</v>
      </c>
    </row>
    <row r="40" spans="2:12">
      <c r="B40" s="250">
        <v>1</v>
      </c>
      <c r="C40" s="96" t="s">
        <v>1294</v>
      </c>
      <c r="D40" s="598">
        <f>D12+D19+D26+D33</f>
        <v>6086</v>
      </c>
      <c r="E40" s="598">
        <f t="shared" ref="E40:L40" si="4">E12+E19+E26+E33</f>
        <v>23923</v>
      </c>
      <c r="F40" s="598">
        <f t="shared" si="4"/>
        <v>235</v>
      </c>
      <c r="G40" s="598">
        <f t="shared" si="4"/>
        <v>3653</v>
      </c>
      <c r="H40" s="598">
        <f t="shared" si="4"/>
        <v>17410</v>
      </c>
      <c r="I40" s="598">
        <f t="shared" si="4"/>
        <v>66908</v>
      </c>
      <c r="J40" s="598">
        <f t="shared" si="4"/>
        <v>144</v>
      </c>
      <c r="K40" s="598">
        <f t="shared" si="4"/>
        <v>2214</v>
      </c>
      <c r="L40" s="596">
        <f t="shared" si="4"/>
        <v>120573</v>
      </c>
    </row>
    <row r="41" spans="2:12">
      <c r="B41" s="250">
        <v>2</v>
      </c>
      <c r="C41" s="96" t="s">
        <v>1295</v>
      </c>
      <c r="D41" s="598">
        <f>D13+D20+D27+D34</f>
        <v>324</v>
      </c>
      <c r="E41" s="598">
        <f t="shared" ref="E41:L41" si="5">E13+E20+E27+E34</f>
        <v>2216</v>
      </c>
      <c r="F41" s="598">
        <f t="shared" si="5"/>
        <v>19</v>
      </c>
      <c r="G41" s="598">
        <f t="shared" si="5"/>
        <v>401</v>
      </c>
      <c r="H41" s="598">
        <f t="shared" si="5"/>
        <v>1299</v>
      </c>
      <c r="I41" s="598">
        <f t="shared" si="5"/>
        <v>4738</v>
      </c>
      <c r="J41" s="598">
        <f t="shared" si="5"/>
        <v>8</v>
      </c>
      <c r="K41" s="598">
        <f t="shared" si="5"/>
        <v>187</v>
      </c>
      <c r="L41" s="598">
        <f t="shared" si="5"/>
        <v>9192</v>
      </c>
    </row>
    <row r="42" spans="2:12">
      <c r="B42" s="250">
        <v>3</v>
      </c>
      <c r="C42" s="96" t="s">
        <v>1296</v>
      </c>
      <c r="D42" s="598">
        <f t="shared" ref="D42:L42" si="6">D14+D21+D28+D35</f>
        <v>716</v>
      </c>
      <c r="E42" s="598">
        <f t="shared" si="6"/>
        <v>4492</v>
      </c>
      <c r="F42" s="598">
        <f t="shared" si="6"/>
        <v>27</v>
      </c>
      <c r="G42" s="598">
        <f t="shared" si="6"/>
        <v>1151</v>
      </c>
      <c r="H42" s="598">
        <f t="shared" si="6"/>
        <v>1992</v>
      </c>
      <c r="I42" s="598">
        <f t="shared" si="6"/>
        <v>14130</v>
      </c>
      <c r="J42" s="598">
        <f t="shared" si="6"/>
        <v>20</v>
      </c>
      <c r="K42" s="598">
        <f t="shared" si="6"/>
        <v>647</v>
      </c>
      <c r="L42" s="596">
        <f t="shared" si="6"/>
        <v>23175</v>
      </c>
    </row>
    <row r="43" spans="2:12">
      <c r="B43" s="251">
        <v>4</v>
      </c>
      <c r="C43" s="100" t="s">
        <v>1297</v>
      </c>
      <c r="D43" s="598">
        <f t="shared" ref="D43:L43" si="7">D15+D22+D29+D36</f>
        <v>7126</v>
      </c>
      <c r="E43" s="598">
        <f t="shared" si="7"/>
        <v>30631</v>
      </c>
      <c r="F43" s="598">
        <f t="shared" si="7"/>
        <v>281</v>
      </c>
      <c r="G43" s="598">
        <f t="shared" si="7"/>
        <v>5205</v>
      </c>
      <c r="H43" s="598">
        <f t="shared" si="7"/>
        <v>20701</v>
      </c>
      <c r="I43" s="598">
        <f t="shared" si="7"/>
        <v>85776</v>
      </c>
      <c r="J43" s="598">
        <f t="shared" si="7"/>
        <v>172</v>
      </c>
      <c r="K43" s="598">
        <f t="shared" si="7"/>
        <v>3048</v>
      </c>
      <c r="L43" s="598">
        <f t="shared" si="7"/>
        <v>152940</v>
      </c>
    </row>
  </sheetData>
  <sheetProtection formatColumns="0" formatRows="0"/>
  <mergeCells count="17">
    <mergeCell ref="D24:E24"/>
    <mergeCell ref="F24:G24"/>
    <mergeCell ref="H24:I24"/>
    <mergeCell ref="J24:K24"/>
    <mergeCell ref="F10:G10"/>
    <mergeCell ref="D17:E17"/>
    <mergeCell ref="F17:G17"/>
    <mergeCell ref="H17:I17"/>
    <mergeCell ref="J17:K17"/>
    <mergeCell ref="D38:E38"/>
    <mergeCell ref="F38:G38"/>
    <mergeCell ref="H38:I38"/>
    <mergeCell ref="J38:K38"/>
    <mergeCell ref="D31:E31"/>
    <mergeCell ref="F31:G31"/>
    <mergeCell ref="H31:I31"/>
    <mergeCell ref="J31:K31"/>
  </mergeCells>
  <dataValidations count="2">
    <dataValidation type="whole" allowBlank="1" showInputMessage="1" showErrorMessage="1" errorTitle="Invalid Data" error="Please only enter whole numbers." sqref="L26:L28 L19:L21 L33:L35 L42 L40 L12:L14"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12:K14 D26:K28 D19:K21 D33:K35" xr:uid="{00000000-0002-0000-0700-000001000000}">
      <formula1>-0.5</formula1>
    </dataValidation>
  </dataValidations>
  <pageMargins left="0.7" right="0.7" top="0.75" bottom="0.75" header="0.3" footer="0.3"/>
  <pageSetup scale="7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75" zoomScale="90" zoomScaleNormal="90" workbookViewId="0">
      <selection activeCell="I3" sqref="I3"/>
    </sheetView>
  </sheetViews>
  <sheetFormatPr defaultColWidth="9.42578125" defaultRowHeight="13.15"/>
  <cols>
    <col min="1" max="1" width="67" style="136" customWidth="1"/>
    <col min="2" max="2" width="9.5703125" style="136" customWidth="1"/>
    <col min="3" max="6" width="16.5703125" style="136" customWidth="1"/>
    <col min="7" max="7" width="12" style="136" bestFit="1" customWidth="1"/>
    <col min="8" max="8" width="14" style="136" bestFit="1" customWidth="1"/>
    <col min="9" max="19" width="11.5703125" style="136" bestFit="1" customWidth="1"/>
    <col min="20" max="20" width="10.42578125" style="136" bestFit="1" customWidth="1"/>
    <col min="21" max="24" width="11.5703125" style="136" bestFit="1" customWidth="1"/>
    <col min="25" max="16384" width="9.42578125" style="136"/>
  </cols>
  <sheetData>
    <row r="1" spans="1:17" s="179" customFormat="1" ht="21" customHeight="1">
      <c r="A1" s="15" t="s">
        <v>1302</v>
      </c>
      <c r="B1" s="230"/>
      <c r="E1" s="759"/>
      <c r="F1" s="759"/>
      <c r="G1" s="758"/>
      <c r="H1" s="758"/>
    </row>
    <row r="2" spans="1:17" s="179" customFormat="1" ht="21" customHeight="1">
      <c r="A2" s="15" t="s">
        <v>1303</v>
      </c>
      <c r="B2" s="230"/>
      <c r="C2" s="766" t="s">
        <v>1304</v>
      </c>
      <c r="D2" s="767"/>
      <c r="E2" s="767"/>
      <c r="F2" s="768"/>
      <c r="G2" s="709"/>
      <c r="H2" s="709"/>
    </row>
    <row r="3" spans="1:17" s="179" customFormat="1" ht="21" customHeight="1">
      <c r="A3" s="15" t="s">
        <v>1285</v>
      </c>
      <c r="B3" s="230"/>
      <c r="C3" s="760" t="s">
        <v>1305</v>
      </c>
      <c r="D3" s="761"/>
      <c r="E3" s="761"/>
      <c r="F3" s="762"/>
      <c r="G3" s="709"/>
      <c r="H3" s="709"/>
    </row>
    <row r="4" spans="1:17" s="179" customFormat="1" ht="21" customHeight="1">
      <c r="A4" s="15" t="s">
        <v>1306</v>
      </c>
      <c r="B4" s="230"/>
      <c r="C4" s="763">
        <v>45657</v>
      </c>
      <c r="D4" s="764"/>
      <c r="E4" s="764"/>
      <c r="F4" s="765"/>
      <c r="G4" s="709"/>
      <c r="H4" s="709"/>
    </row>
    <row r="5" spans="1:17" s="179" customFormat="1" ht="21" customHeight="1">
      <c r="A5" s="15" t="s">
        <v>1307</v>
      </c>
      <c r="B5" s="230"/>
      <c r="C5" s="766" t="s">
        <v>1308</v>
      </c>
      <c r="D5" s="767"/>
      <c r="E5" s="767"/>
      <c r="F5" s="768"/>
      <c r="G5" s="709"/>
      <c r="H5" s="709"/>
    </row>
    <row r="6" spans="1:17" s="179" customFormat="1" ht="21" customHeight="1">
      <c r="A6" s="15" t="s">
        <v>1288</v>
      </c>
      <c r="B6" s="230"/>
      <c r="C6" s="763">
        <f>C4</f>
        <v>45657</v>
      </c>
      <c r="D6" s="764"/>
      <c r="E6" s="764"/>
      <c r="F6" s="765"/>
      <c r="G6" s="758"/>
      <c r="H6" s="758"/>
      <c r="J6" s="181"/>
      <c r="O6" s="181"/>
      <c r="Q6" s="181"/>
    </row>
    <row r="7" spans="1:17" s="179" customFormat="1">
      <c r="A7" s="230" t="s">
        <v>1309</v>
      </c>
      <c r="B7" s="230"/>
      <c r="C7" s="181"/>
      <c r="E7" s="709"/>
      <c r="F7" s="709"/>
      <c r="G7" s="709"/>
      <c r="H7" s="709"/>
      <c r="J7" s="181"/>
      <c r="O7" s="181"/>
      <c r="Q7" s="181"/>
    </row>
    <row r="8" spans="1:17" ht="19.5" customHeight="1">
      <c r="A8" s="26"/>
      <c r="B8" s="26"/>
      <c r="C8" s="711" t="s">
        <v>1291</v>
      </c>
      <c r="D8" s="711" t="s">
        <v>1298</v>
      </c>
      <c r="E8" s="711" t="s">
        <v>1299</v>
      </c>
      <c r="F8" s="711" t="s">
        <v>1300</v>
      </c>
    </row>
    <row r="10" spans="1:17" ht="15.75" customHeight="1">
      <c r="A10" s="298" t="s">
        <v>1310</v>
      </c>
      <c r="B10" s="16"/>
    </row>
    <row r="11" spans="1:17" ht="15.75" customHeight="1">
      <c r="A11" s="299" t="s">
        <v>59</v>
      </c>
      <c r="B11" s="300">
        <v>1</v>
      </c>
      <c r="C11" s="623">
        <v>90833825.569999993</v>
      </c>
      <c r="D11" s="623">
        <v>126055854.11000001</v>
      </c>
      <c r="E11" s="623">
        <v>113979520.31</v>
      </c>
      <c r="F11" s="623">
        <v>65738917.060000002</v>
      </c>
    </row>
    <row r="12" spans="1:17" ht="15.75" customHeight="1">
      <c r="A12" s="299" t="s">
        <v>61</v>
      </c>
      <c r="B12" s="300">
        <v>2</v>
      </c>
      <c r="C12" s="623"/>
      <c r="D12" s="623"/>
      <c r="E12" s="623"/>
      <c r="F12" s="623"/>
    </row>
    <row r="13" spans="1:17" ht="15.75" customHeight="1">
      <c r="A13" s="299" t="s">
        <v>63</v>
      </c>
      <c r="B13" s="300">
        <v>3</v>
      </c>
      <c r="C13" s="623">
        <v>17800733.210000001</v>
      </c>
      <c r="D13" s="623">
        <v>6633487.2100000009</v>
      </c>
      <c r="E13" s="623">
        <v>6756649.8700000001</v>
      </c>
      <c r="F13" s="623">
        <v>4584929.3</v>
      </c>
    </row>
    <row r="14" spans="1:17" ht="15.75" customHeight="1">
      <c r="A14" s="299" t="s">
        <v>65</v>
      </c>
      <c r="B14" s="300">
        <v>4</v>
      </c>
      <c r="C14" s="623"/>
      <c r="D14" s="623"/>
      <c r="E14" s="623"/>
      <c r="F14" s="623"/>
    </row>
    <row r="15" spans="1:17" ht="15.75" customHeight="1">
      <c r="A15" s="299" t="s">
        <v>67</v>
      </c>
      <c r="B15" s="300">
        <v>5</v>
      </c>
      <c r="C15" s="623"/>
      <c r="D15" s="623"/>
      <c r="E15" s="623"/>
      <c r="F15" s="623"/>
    </row>
    <row r="16" spans="1:17" ht="15.75" customHeight="1">
      <c r="A16" s="299" t="s">
        <v>69</v>
      </c>
      <c r="B16" s="300">
        <v>6</v>
      </c>
      <c r="C16" s="623">
        <v>0</v>
      </c>
      <c r="D16" s="623"/>
      <c r="E16" s="623"/>
      <c r="F16" s="623">
        <v>0</v>
      </c>
    </row>
    <row r="17" spans="1:6" ht="15.75" customHeight="1">
      <c r="A17" s="301" t="s">
        <v>1311</v>
      </c>
      <c r="B17" s="300">
        <v>7</v>
      </c>
      <c r="C17" s="623">
        <v>8205005.0199999996</v>
      </c>
      <c r="D17" s="623">
        <v>7248413.8499999996</v>
      </c>
      <c r="E17" s="623">
        <v>8380321.60201333</v>
      </c>
      <c r="F17" s="623">
        <v>486491.21000000043</v>
      </c>
    </row>
    <row r="18" spans="1:6" ht="15.75" customHeight="1">
      <c r="A18" s="301" t="s">
        <v>1312</v>
      </c>
      <c r="B18" s="300">
        <v>8</v>
      </c>
      <c r="C18" s="623">
        <v>0</v>
      </c>
      <c r="D18" s="623">
        <v>0</v>
      </c>
      <c r="E18" s="623">
        <v>3000000</v>
      </c>
      <c r="F18" s="623">
        <f>3200000+4500000</f>
        <v>7700000</v>
      </c>
    </row>
    <row r="19" spans="1:6" ht="15.75" customHeight="1">
      <c r="A19" s="301" t="s">
        <v>1313</v>
      </c>
      <c r="B19" s="300">
        <v>9</v>
      </c>
      <c r="C19" s="623">
        <v>18220163</v>
      </c>
      <c r="D19" s="623">
        <v>7404720</v>
      </c>
      <c r="E19" s="623">
        <v>7404720</v>
      </c>
      <c r="F19" s="623">
        <v>11169640</v>
      </c>
    </row>
    <row r="20" spans="1:6" ht="15.75" customHeight="1">
      <c r="A20" s="301" t="s">
        <v>1314</v>
      </c>
      <c r="B20" s="300">
        <v>10</v>
      </c>
      <c r="C20" s="623">
        <v>1277659.23</v>
      </c>
      <c r="D20" s="623">
        <v>654028.07999999996</v>
      </c>
      <c r="E20" s="623">
        <v>1238704.4400000002</v>
      </c>
      <c r="F20" s="623">
        <v>114623.17000000003</v>
      </c>
    </row>
    <row r="21" spans="1:6" ht="15.75" customHeight="1">
      <c r="A21" s="185"/>
      <c r="C21" s="303" t="s">
        <v>1315</v>
      </c>
      <c r="D21" s="303" t="s">
        <v>1315</v>
      </c>
      <c r="E21" s="303" t="s">
        <v>1315</v>
      </c>
      <c r="F21" s="303" t="s">
        <v>1315</v>
      </c>
    </row>
    <row r="22" spans="1:6" ht="15.75" customHeight="1">
      <c r="A22" s="298" t="s">
        <v>74</v>
      </c>
      <c r="B22" s="300">
        <v>11</v>
      </c>
      <c r="C22" s="624">
        <f>SUM(C11:C20)</f>
        <v>136337386.03</v>
      </c>
      <c r="D22" s="624">
        <f>SUM(D11:D20)</f>
        <v>147996503.25000003</v>
      </c>
      <c r="E22" s="624">
        <f>SUM(E11:E20)</f>
        <v>140759916.22201335</v>
      </c>
      <c r="F22" s="624">
        <f>SUM(F11:F20)</f>
        <v>89794600.739999995</v>
      </c>
    </row>
    <row r="23" spans="1:6" ht="15.75" customHeight="1">
      <c r="A23" s="302"/>
      <c r="B23" s="135"/>
      <c r="C23" s="184"/>
      <c r="D23" s="184"/>
      <c r="E23" s="184"/>
      <c r="F23" s="184"/>
    </row>
    <row r="24" spans="1:6" ht="15.75" customHeight="1">
      <c r="A24" s="304" t="s">
        <v>1316</v>
      </c>
      <c r="B24" s="14"/>
      <c r="C24" s="184"/>
      <c r="D24" s="184"/>
      <c r="E24" s="184"/>
      <c r="F24" s="184"/>
    </row>
    <row r="25" spans="1:6" ht="15.75" customHeight="1">
      <c r="A25" s="299" t="s">
        <v>76</v>
      </c>
      <c r="B25" s="300">
        <v>12</v>
      </c>
      <c r="C25" s="623"/>
      <c r="D25" s="623"/>
      <c r="E25" s="623"/>
      <c r="F25" s="623"/>
    </row>
    <row r="26" spans="1:6" ht="15.75" customHeight="1">
      <c r="A26" s="299" t="s">
        <v>78</v>
      </c>
      <c r="B26" s="300">
        <v>13</v>
      </c>
      <c r="C26" s="623"/>
      <c r="D26" s="623"/>
      <c r="E26" s="623"/>
      <c r="F26" s="623"/>
    </row>
    <row r="27" spans="1:6" ht="15.75" customHeight="1">
      <c r="A27" s="299" t="s">
        <v>80</v>
      </c>
      <c r="B27" s="300">
        <v>14</v>
      </c>
      <c r="C27" s="623"/>
      <c r="D27" s="623"/>
      <c r="E27" s="623"/>
      <c r="F27" s="623"/>
    </row>
    <row r="28" spans="1:6" ht="15.75" customHeight="1">
      <c r="A28" s="299" t="s">
        <v>82</v>
      </c>
      <c r="B28" s="300">
        <v>15</v>
      </c>
      <c r="C28" s="623"/>
      <c r="D28" s="623"/>
      <c r="E28" s="623"/>
      <c r="F28" s="623"/>
    </row>
    <row r="29" spans="1:6" ht="15.75" customHeight="1">
      <c r="A29" s="299" t="s">
        <v>84</v>
      </c>
      <c r="B29" s="300">
        <v>16</v>
      </c>
      <c r="C29" s="623"/>
      <c r="D29" s="623"/>
      <c r="E29" s="623"/>
      <c r="F29" s="623"/>
    </row>
    <row r="30" spans="1:6" ht="15.75" customHeight="1">
      <c r="A30" s="299" t="s">
        <v>86</v>
      </c>
      <c r="B30" s="300">
        <v>17</v>
      </c>
      <c r="C30" s="623"/>
      <c r="D30" s="623"/>
      <c r="E30" s="623"/>
      <c r="F30" s="623"/>
    </row>
    <row r="31" spans="1:6" ht="15.75" customHeight="1">
      <c r="A31" s="301" t="s">
        <v>1317</v>
      </c>
      <c r="B31" s="300">
        <v>18</v>
      </c>
      <c r="C31" s="623"/>
      <c r="D31" s="623"/>
      <c r="E31" s="623"/>
      <c r="F31" s="623"/>
    </row>
    <row r="32" spans="1:6" ht="15.75" customHeight="1">
      <c r="A32" s="301" t="s">
        <v>1318</v>
      </c>
      <c r="B32" s="300">
        <v>19</v>
      </c>
      <c r="C32" s="623"/>
      <c r="D32" s="623"/>
      <c r="E32" s="623"/>
      <c r="F32" s="623"/>
    </row>
    <row r="33" spans="1:6" ht="15.75" customHeight="1">
      <c r="A33" s="299" t="s">
        <v>1318</v>
      </c>
      <c r="B33" s="300">
        <v>20</v>
      </c>
      <c r="C33" s="623"/>
      <c r="D33" s="623"/>
      <c r="E33" s="623"/>
      <c r="F33" s="623"/>
    </row>
    <row r="34" spans="1:6" ht="15.75" customHeight="1">
      <c r="A34" s="302"/>
      <c r="B34" s="135"/>
      <c r="C34" s="303" t="s">
        <v>1315</v>
      </c>
      <c r="D34" s="303" t="s">
        <v>1315</v>
      </c>
      <c r="E34" s="303" t="s">
        <v>1315</v>
      </c>
      <c r="F34" s="303" t="s">
        <v>1315</v>
      </c>
    </row>
    <row r="35" spans="1:6" ht="15.75" customHeight="1">
      <c r="A35" s="298" t="s">
        <v>91</v>
      </c>
      <c r="B35" s="300">
        <v>21</v>
      </c>
      <c r="C35" s="624">
        <f>SUM(C25:C33)</f>
        <v>0</v>
      </c>
      <c r="D35" s="624">
        <f>SUM(D25:D33)</f>
        <v>0</v>
      </c>
      <c r="E35" s="624">
        <f>SUM(E25:E33)</f>
        <v>0</v>
      </c>
      <c r="F35" s="624">
        <f>SUM(F25:F33)</f>
        <v>0</v>
      </c>
    </row>
    <row r="36" spans="1:6" ht="15.75" customHeight="1">
      <c r="A36" s="298" t="s">
        <v>1319</v>
      </c>
      <c r="B36" s="16"/>
      <c r="C36" s="184"/>
      <c r="D36" s="184"/>
      <c r="E36" s="184"/>
      <c r="F36" s="184"/>
    </row>
    <row r="37" spans="1:6" ht="15.75" customHeight="1">
      <c r="A37" s="299" t="s">
        <v>93</v>
      </c>
      <c r="B37" s="300">
        <v>22</v>
      </c>
      <c r="C37" s="623"/>
      <c r="D37" s="623"/>
      <c r="E37" s="623"/>
      <c r="F37" s="623"/>
    </row>
    <row r="38" spans="1:6" ht="15.75" customHeight="1">
      <c r="A38" s="299" t="s">
        <v>95</v>
      </c>
      <c r="B38" s="300">
        <v>23</v>
      </c>
      <c r="C38" s="623"/>
      <c r="D38" s="623"/>
      <c r="E38" s="623"/>
      <c r="F38" s="623"/>
    </row>
    <row r="39" spans="1:6" ht="15.75" customHeight="1">
      <c r="A39" s="299" t="s">
        <v>97</v>
      </c>
      <c r="B39" s="300">
        <v>24</v>
      </c>
      <c r="C39" s="623"/>
      <c r="D39" s="623"/>
      <c r="E39" s="623"/>
      <c r="F39" s="623"/>
    </row>
    <row r="40" spans="1:6" ht="15.75" customHeight="1">
      <c r="A40" s="299" t="s">
        <v>99</v>
      </c>
      <c r="B40" s="300">
        <v>25</v>
      </c>
      <c r="C40" s="623"/>
      <c r="D40" s="623"/>
      <c r="E40" s="623"/>
      <c r="F40" s="623"/>
    </row>
    <row r="41" spans="1:6" ht="15.75" customHeight="1">
      <c r="A41" s="299" t="s">
        <v>101</v>
      </c>
      <c r="B41" s="300">
        <v>26</v>
      </c>
      <c r="C41" s="623"/>
      <c r="D41" s="623"/>
      <c r="E41" s="623"/>
      <c r="F41" s="623"/>
    </row>
    <row r="42" spans="1:6" ht="15.75" customHeight="1">
      <c r="A42" s="301" t="s">
        <v>104</v>
      </c>
      <c r="B42" s="300">
        <v>27</v>
      </c>
      <c r="C42" s="623"/>
      <c r="D42" s="623"/>
      <c r="E42" s="623"/>
      <c r="F42" s="623"/>
    </row>
    <row r="43" spans="1:6" ht="15.75" customHeight="1">
      <c r="A43" s="301" t="s">
        <v>1318</v>
      </c>
      <c r="B43" s="300">
        <v>28</v>
      </c>
      <c r="C43" s="623"/>
      <c r="D43" s="623"/>
      <c r="E43" s="623"/>
      <c r="F43" s="623"/>
    </row>
    <row r="44" spans="1:6" ht="15.75" customHeight="1">
      <c r="A44" s="301" t="s">
        <v>1318</v>
      </c>
      <c r="B44" s="300">
        <v>29</v>
      </c>
      <c r="C44" s="623"/>
      <c r="D44" s="623"/>
      <c r="E44" s="623"/>
      <c r="F44" s="623"/>
    </row>
    <row r="45" spans="1:6" ht="15.75" customHeight="1">
      <c r="A45" s="298"/>
      <c r="B45" s="16"/>
      <c r="C45" s="303" t="s">
        <v>1315</v>
      </c>
      <c r="D45" s="303" t="s">
        <v>1315</v>
      </c>
      <c r="E45" s="303" t="s">
        <v>1315</v>
      </c>
      <c r="F45" s="303" t="s">
        <v>1315</v>
      </c>
    </row>
    <row r="46" spans="1:6" ht="15.75" customHeight="1">
      <c r="A46" s="298" t="s">
        <v>106</v>
      </c>
      <c r="B46" s="300">
        <v>30</v>
      </c>
      <c r="C46" s="624">
        <f>SUM(C37:C44)</f>
        <v>0</v>
      </c>
      <c r="D46" s="624">
        <f>SUM(D37:D44)</f>
        <v>0</v>
      </c>
      <c r="E46" s="624">
        <f>SUM(E37:E44)</f>
        <v>0</v>
      </c>
      <c r="F46" s="624">
        <f>SUM(F37:F44)</f>
        <v>0</v>
      </c>
    </row>
    <row r="47" spans="1:6" ht="15.75" customHeight="1">
      <c r="A47" s="185"/>
      <c r="C47" s="305" t="s">
        <v>1315</v>
      </c>
      <c r="D47" s="305" t="s">
        <v>1315</v>
      </c>
      <c r="E47" s="305" t="s">
        <v>1315</v>
      </c>
      <c r="F47" s="306" t="s">
        <v>1315</v>
      </c>
    </row>
    <row r="48" spans="1:6" ht="15.75" customHeight="1">
      <c r="A48" s="298" t="s">
        <v>108</v>
      </c>
      <c r="B48" s="300">
        <v>31</v>
      </c>
      <c r="C48" s="624">
        <f>C22+C35+C46</f>
        <v>136337386.03</v>
      </c>
      <c r="D48" s="624">
        <f>D22+D35+D46</f>
        <v>147996503.25000003</v>
      </c>
      <c r="E48" s="624">
        <f>E22+E35+E46</f>
        <v>140759916.22201335</v>
      </c>
      <c r="F48" s="624">
        <f>F22+F35+F46</f>
        <v>89794600.739999995</v>
      </c>
    </row>
    <row r="49" spans="1:24" ht="15.75" customHeight="1">
      <c r="A49" s="185"/>
      <c r="C49" s="306" t="s">
        <v>1320</v>
      </c>
      <c r="D49" s="306" t="s">
        <v>1320</v>
      </c>
      <c r="E49" s="306" t="s">
        <v>1320</v>
      </c>
      <c r="F49" s="306" t="s">
        <v>1320</v>
      </c>
    </row>
    <row r="50" spans="1:24" ht="15.75" customHeight="1">
      <c r="A50" s="298" t="s">
        <v>110</v>
      </c>
      <c r="B50" s="16"/>
    </row>
    <row r="51" spans="1:24" ht="15.75" customHeight="1">
      <c r="A51" s="185"/>
    </row>
    <row r="52" spans="1:24" ht="15.75" customHeight="1">
      <c r="A52" s="298" t="s">
        <v>1321</v>
      </c>
      <c r="B52" s="16"/>
    </row>
    <row r="53" spans="1:24" ht="15.75" customHeight="1">
      <c r="A53" s="299" t="s">
        <v>111</v>
      </c>
      <c r="B53" s="300">
        <v>32</v>
      </c>
      <c r="C53" s="623"/>
      <c r="D53" s="623"/>
      <c r="E53" s="623"/>
      <c r="F53" s="623"/>
    </row>
    <row r="54" spans="1:24" ht="15.75" customHeight="1">
      <c r="A54" s="299" t="s">
        <v>113</v>
      </c>
      <c r="B54" s="300">
        <v>33</v>
      </c>
      <c r="C54" s="623">
        <v>55422234.289999999</v>
      </c>
      <c r="D54" s="623">
        <v>63662391.07</v>
      </c>
      <c r="E54" s="623">
        <v>62654805.969999999</v>
      </c>
      <c r="F54" s="623">
        <v>3251951</v>
      </c>
    </row>
    <row r="55" spans="1:24" ht="15.75" customHeight="1">
      <c r="A55" s="299" t="s">
        <v>115</v>
      </c>
      <c r="B55" s="300">
        <v>34</v>
      </c>
      <c r="C55" s="623"/>
      <c r="D55" s="623"/>
      <c r="E55" s="623"/>
      <c r="F55" s="623"/>
      <c r="H55" s="104"/>
      <c r="I55" s="104"/>
    </row>
    <row r="56" spans="1:24" ht="15.75" customHeight="1">
      <c r="A56" s="299" t="s">
        <v>117</v>
      </c>
      <c r="B56" s="300">
        <v>35</v>
      </c>
      <c r="C56" s="623"/>
      <c r="D56" s="623"/>
      <c r="E56" s="623"/>
      <c r="F56" s="623"/>
      <c r="G56" s="307"/>
      <c r="H56" s="307"/>
      <c r="I56" s="307"/>
      <c r="J56" s="307"/>
      <c r="K56" s="307"/>
      <c r="L56" s="307"/>
      <c r="M56" s="307"/>
      <c r="N56" s="307"/>
      <c r="O56" s="307"/>
      <c r="P56" s="307"/>
      <c r="Q56" s="307"/>
      <c r="R56" s="307"/>
      <c r="S56" s="307"/>
      <c r="T56" s="307"/>
      <c r="U56" s="307"/>
      <c r="V56" s="307"/>
      <c r="W56" s="307"/>
      <c r="X56" s="307">
        <f>L56+L57</f>
        <v>0</v>
      </c>
    </row>
    <row r="57" spans="1:24" ht="15.75" customHeight="1">
      <c r="A57" s="299" t="s">
        <v>119</v>
      </c>
      <c r="B57" s="300">
        <v>36</v>
      </c>
      <c r="C57" s="623"/>
      <c r="D57" s="623"/>
      <c r="E57" s="623"/>
      <c r="F57" s="623"/>
    </row>
    <row r="58" spans="1:24" ht="15.75" customHeight="1">
      <c r="A58" s="299" t="s">
        <v>121</v>
      </c>
      <c r="B58" s="300">
        <v>37</v>
      </c>
      <c r="C58" s="623">
        <v>2001366.9100000001</v>
      </c>
      <c r="D58" s="623">
        <v>6493788.0499999998</v>
      </c>
      <c r="E58" s="623">
        <v>1038307.58</v>
      </c>
      <c r="F58" s="623">
        <v>6347</v>
      </c>
    </row>
    <row r="59" spans="1:24" ht="15.75" customHeight="1">
      <c r="A59" s="299" t="s">
        <v>123</v>
      </c>
      <c r="B59" s="300">
        <v>38</v>
      </c>
      <c r="C59" s="623">
        <v>290320.07000000007</v>
      </c>
      <c r="D59" s="623">
        <v>-304397.26999999996</v>
      </c>
      <c r="E59" s="623">
        <v>1103234.7</v>
      </c>
      <c r="F59" s="623">
        <v>-679151.27</v>
      </c>
    </row>
    <row r="60" spans="1:24" ht="15.75" customHeight="1">
      <c r="A60" s="299" t="s">
        <v>125</v>
      </c>
      <c r="B60" s="300">
        <v>39</v>
      </c>
      <c r="C60" s="623">
        <v>875875.21</v>
      </c>
      <c r="D60" s="623">
        <v>875875.21</v>
      </c>
      <c r="E60" s="623">
        <v>1164542</v>
      </c>
      <c r="F60" s="623">
        <v>2081295.81</v>
      </c>
      <c r="H60" s="308"/>
    </row>
    <row r="61" spans="1:24" ht="15.75" customHeight="1">
      <c r="A61" s="299" t="s">
        <v>127</v>
      </c>
      <c r="B61" s="300">
        <v>40</v>
      </c>
      <c r="C61" s="623"/>
      <c r="D61" s="623"/>
      <c r="E61" s="623"/>
      <c r="F61" s="623"/>
      <c r="G61" s="104"/>
    </row>
    <row r="62" spans="1:24" ht="15.75" customHeight="1">
      <c r="A62" s="301" t="s">
        <v>1322</v>
      </c>
      <c r="B62" s="300">
        <v>41</v>
      </c>
      <c r="C62" s="623">
        <v>1328565.27</v>
      </c>
      <c r="D62" s="623">
        <v>871247.46</v>
      </c>
      <c r="E62" s="623">
        <v>197065.65</v>
      </c>
      <c r="F62" s="623">
        <v>3138719.27</v>
      </c>
      <c r="G62" s="307"/>
      <c r="H62" s="307"/>
      <c r="I62" s="307"/>
      <c r="J62" s="307"/>
      <c r="K62" s="307"/>
      <c r="L62" s="307"/>
      <c r="M62" s="307"/>
      <c r="N62" s="307"/>
      <c r="O62" s="307"/>
      <c r="P62" s="307"/>
      <c r="Q62" s="307"/>
      <c r="R62" s="307"/>
    </row>
    <row r="63" spans="1:24" ht="15.75" customHeight="1">
      <c r="A63" s="301" t="s">
        <v>1318</v>
      </c>
      <c r="B63" s="300">
        <v>42</v>
      </c>
      <c r="C63" s="623">
        <v>1530000</v>
      </c>
      <c r="D63" s="623">
        <v>1530000</v>
      </c>
      <c r="E63" s="623">
        <v>0</v>
      </c>
      <c r="F63" s="623">
        <v>0</v>
      </c>
      <c r="G63" s="307"/>
      <c r="H63" s="307"/>
      <c r="I63" s="307"/>
      <c r="J63" s="307"/>
      <c r="K63" s="307"/>
      <c r="L63" s="307"/>
      <c r="M63" s="307"/>
      <c r="N63" s="307"/>
      <c r="O63" s="307"/>
      <c r="P63" s="307"/>
      <c r="Q63" s="307"/>
      <c r="R63" s="307"/>
    </row>
    <row r="64" spans="1:24" ht="15.75" customHeight="1">
      <c r="A64" s="301" t="s">
        <v>1318</v>
      </c>
      <c r="B64" s="300">
        <v>43</v>
      </c>
      <c r="C64" s="623"/>
      <c r="D64" s="623"/>
      <c r="E64" s="623"/>
      <c r="F64" s="623"/>
      <c r="G64" s="307"/>
      <c r="H64" s="307"/>
      <c r="I64" s="307"/>
      <c r="J64" s="307"/>
      <c r="K64" s="307"/>
      <c r="L64" s="307"/>
      <c r="M64" s="307"/>
      <c r="N64" s="307"/>
      <c r="O64" s="307"/>
      <c r="P64" s="307"/>
      <c r="Q64" s="307"/>
      <c r="R64" s="307"/>
    </row>
    <row r="65" spans="1:8" ht="15.75" customHeight="1">
      <c r="A65" s="299" t="s">
        <v>1318</v>
      </c>
      <c r="B65" s="300">
        <v>44</v>
      </c>
      <c r="C65" s="623"/>
      <c r="D65" s="623"/>
      <c r="E65" s="623"/>
      <c r="F65" s="623"/>
    </row>
    <row r="66" spans="1:8" ht="15.75" customHeight="1">
      <c r="A66" s="185"/>
      <c r="C66" s="305" t="s">
        <v>1315</v>
      </c>
      <c r="D66" s="305" t="s">
        <v>1315</v>
      </c>
      <c r="E66" s="305" t="s">
        <v>1315</v>
      </c>
      <c r="F66" s="306" t="s">
        <v>1315</v>
      </c>
    </row>
    <row r="67" spans="1:8" ht="15.75" customHeight="1">
      <c r="A67" s="298" t="s">
        <v>132</v>
      </c>
      <c r="B67" s="300">
        <v>45</v>
      </c>
      <c r="C67" s="624">
        <f>SUM(C53:C65)</f>
        <v>61448361.750000007</v>
      </c>
      <c r="D67" s="624">
        <f>SUM(D53:D65)</f>
        <v>73128904.519999996</v>
      </c>
      <c r="E67" s="624">
        <f>SUM(E53:E65)</f>
        <v>66157955.899999999</v>
      </c>
      <c r="F67" s="624">
        <f>SUM(F53:F65)</f>
        <v>7799161.8100000005</v>
      </c>
      <c r="H67" s="178"/>
    </row>
    <row r="68" spans="1:8" ht="15.75" customHeight="1">
      <c r="A68" s="298" t="s">
        <v>1323</v>
      </c>
      <c r="B68" s="16"/>
    </row>
    <row r="69" spans="1:8" ht="15.75" customHeight="1">
      <c r="A69" s="299" t="s">
        <v>134</v>
      </c>
      <c r="B69" s="300">
        <v>46</v>
      </c>
      <c r="C69" s="623"/>
      <c r="D69" s="623"/>
      <c r="E69" s="623"/>
      <c r="F69" s="623"/>
    </row>
    <row r="70" spans="1:8" ht="15.75" customHeight="1">
      <c r="A70" s="299" t="s">
        <v>136</v>
      </c>
      <c r="B70" s="300">
        <v>47</v>
      </c>
      <c r="C70" s="623">
        <v>133217.21000000834</v>
      </c>
      <c r="D70" s="623">
        <v>137966.21999999881</v>
      </c>
      <c r="E70" s="623">
        <v>169947.39999997616</v>
      </c>
      <c r="F70" s="623">
        <v>156881.01999998093</v>
      </c>
    </row>
    <row r="71" spans="1:8" ht="15.75" customHeight="1">
      <c r="A71" s="301" t="s">
        <v>139</v>
      </c>
      <c r="B71" s="300">
        <v>48</v>
      </c>
      <c r="C71" s="623"/>
      <c r="D71" s="623"/>
      <c r="E71" s="623"/>
      <c r="F71" s="623"/>
    </row>
    <row r="72" spans="1:8" ht="15.75" customHeight="1">
      <c r="A72" s="301" t="s">
        <v>1318</v>
      </c>
      <c r="B72" s="300">
        <v>49</v>
      </c>
      <c r="C72" s="623"/>
      <c r="D72" s="623"/>
      <c r="E72" s="623"/>
      <c r="F72" s="623"/>
    </row>
    <row r="73" spans="1:8" ht="15.75" customHeight="1">
      <c r="A73" s="301" t="s">
        <v>1318</v>
      </c>
      <c r="B73" s="300">
        <v>50</v>
      </c>
      <c r="C73" s="623"/>
      <c r="D73" s="623"/>
      <c r="E73" s="623"/>
      <c r="F73" s="623"/>
    </row>
    <row r="74" spans="1:8" ht="15.75" customHeight="1">
      <c r="A74" s="299" t="s">
        <v>1318</v>
      </c>
      <c r="B74" s="300">
        <v>51</v>
      </c>
      <c r="C74" s="623"/>
      <c r="D74" s="623"/>
      <c r="E74" s="623"/>
      <c r="F74" s="623"/>
    </row>
    <row r="75" spans="1:8" ht="15.75" customHeight="1">
      <c r="A75" s="302"/>
      <c r="B75" s="135"/>
      <c r="C75" s="305" t="s">
        <v>1315</v>
      </c>
      <c r="D75" s="305" t="s">
        <v>1315</v>
      </c>
      <c r="E75" s="305" t="s">
        <v>1315</v>
      </c>
      <c r="F75" s="305" t="s">
        <v>1315</v>
      </c>
    </row>
    <row r="76" spans="1:8" ht="15.75" customHeight="1">
      <c r="A76" s="298" t="s">
        <v>141</v>
      </c>
      <c r="B76" s="300">
        <v>52</v>
      </c>
      <c r="C76" s="624">
        <f>SUM(C69:C74)</f>
        <v>133217.21000000834</v>
      </c>
      <c r="D76" s="624">
        <f>SUM(D69:D74)</f>
        <v>137966.21999999881</v>
      </c>
      <c r="E76" s="624">
        <f>SUM(E69:E74)</f>
        <v>169947.39999997616</v>
      </c>
      <c r="F76" s="624">
        <f>SUM(F69:F74)</f>
        <v>156881.01999998093</v>
      </c>
      <c r="G76" s="104"/>
      <c r="H76" s="104"/>
    </row>
    <row r="77" spans="1:8" ht="15.75" customHeight="1">
      <c r="A77" s="185"/>
      <c r="C77" s="305" t="s">
        <v>1315</v>
      </c>
      <c r="D77" s="305" t="s">
        <v>1315</v>
      </c>
      <c r="E77" s="305" t="s">
        <v>1315</v>
      </c>
      <c r="F77" s="305" t="s">
        <v>1315</v>
      </c>
    </row>
    <row r="78" spans="1:8" ht="15.75" customHeight="1">
      <c r="A78" s="298" t="s">
        <v>143</v>
      </c>
      <c r="B78" s="300">
        <v>53</v>
      </c>
      <c r="C78" s="624">
        <f>C67+C76</f>
        <v>61581578.960000016</v>
      </c>
      <c r="D78" s="624">
        <f>D67+D76</f>
        <v>73266870.739999995</v>
      </c>
      <c r="E78" s="624">
        <f>E67+E76</f>
        <v>66327903.299999975</v>
      </c>
      <c r="F78" s="624">
        <f>F67+F76</f>
        <v>7956042.8299999814</v>
      </c>
    </row>
    <row r="79" spans="1:8" ht="15.75" customHeight="1">
      <c r="A79" s="185"/>
      <c r="C79" s="305" t="s">
        <v>1320</v>
      </c>
      <c r="D79" s="305" t="s">
        <v>1320</v>
      </c>
      <c r="E79" s="305" t="s">
        <v>1320</v>
      </c>
      <c r="F79" s="305" t="s">
        <v>1320</v>
      </c>
    </row>
    <row r="80" spans="1:8" ht="15.75" customHeight="1">
      <c r="A80" s="298" t="s">
        <v>145</v>
      </c>
      <c r="B80" s="16"/>
      <c r="C80" s="308"/>
      <c r="D80" s="308"/>
      <c r="E80" s="308"/>
    </row>
    <row r="81" spans="1:8" ht="15.75" customHeight="1">
      <c r="A81" s="299" t="s">
        <v>146</v>
      </c>
      <c r="B81" s="300">
        <v>54</v>
      </c>
      <c r="C81" s="623"/>
      <c r="D81" s="623"/>
      <c r="E81" s="623">
        <f>E18</f>
        <v>3000000</v>
      </c>
      <c r="F81" s="623">
        <f>F18</f>
        <v>7700000</v>
      </c>
    </row>
    <row r="82" spans="1:8" ht="15.75" customHeight="1">
      <c r="A82" s="299" t="s">
        <v>148</v>
      </c>
      <c r="B82" s="300">
        <v>55</v>
      </c>
      <c r="C82" s="623">
        <f>+C22-C78</f>
        <v>74755807.069999993</v>
      </c>
      <c r="D82" s="623">
        <f>+D22-D78</f>
        <v>74729632.510000035</v>
      </c>
      <c r="E82" s="623">
        <f>+E22-E78</f>
        <v>74432012.922013372</v>
      </c>
      <c r="F82" s="623">
        <f>+F22-F78</f>
        <v>81838557.910000011</v>
      </c>
    </row>
    <row r="83" spans="1:8" ht="15.75" customHeight="1">
      <c r="A83" s="299" t="s">
        <v>150</v>
      </c>
      <c r="B83" s="300">
        <v>56</v>
      </c>
      <c r="C83" s="623"/>
      <c r="D83" s="623"/>
      <c r="E83" s="623"/>
      <c r="F83" s="623"/>
      <c r="H83" s="104"/>
    </row>
    <row r="84" spans="1:8" ht="15.75" customHeight="1">
      <c r="A84" s="299" t="s">
        <v>152</v>
      </c>
      <c r="B84" s="300">
        <v>57</v>
      </c>
      <c r="C84" s="623"/>
      <c r="D84" s="623"/>
      <c r="E84" s="623"/>
      <c r="F84" s="623"/>
    </row>
    <row r="85" spans="1:8" ht="15.75" customHeight="1">
      <c r="A85" s="301" t="s">
        <v>1324</v>
      </c>
      <c r="B85" s="300">
        <v>58</v>
      </c>
      <c r="C85" s="623"/>
      <c r="D85" s="623"/>
      <c r="E85" s="623"/>
      <c r="F85" s="623"/>
    </row>
    <row r="86" spans="1:8" ht="15.75" customHeight="1">
      <c r="A86" s="301" t="s">
        <v>1318</v>
      </c>
      <c r="B86" s="300">
        <v>59</v>
      </c>
      <c r="C86" s="623"/>
      <c r="D86" s="623"/>
      <c r="E86" s="623"/>
      <c r="F86" s="623"/>
    </row>
    <row r="87" spans="1:8" ht="15.75" customHeight="1">
      <c r="A87" s="301" t="s">
        <v>1318</v>
      </c>
      <c r="B87" s="300">
        <v>60</v>
      </c>
      <c r="C87" s="623"/>
      <c r="D87" s="623"/>
      <c r="E87" s="623"/>
      <c r="F87" s="623"/>
    </row>
    <row r="88" spans="1:8" ht="15.75" customHeight="1">
      <c r="A88" s="301" t="s">
        <v>1318</v>
      </c>
      <c r="B88" s="300">
        <v>61</v>
      </c>
      <c r="C88" s="623"/>
      <c r="D88" s="623"/>
      <c r="E88" s="623"/>
      <c r="F88" s="623"/>
    </row>
    <row r="89" spans="1:8" ht="15.75" customHeight="1">
      <c r="A89" s="299" t="s">
        <v>157</v>
      </c>
      <c r="B89" s="300">
        <v>62</v>
      </c>
      <c r="C89" s="623"/>
      <c r="D89" s="623"/>
      <c r="E89" s="623"/>
      <c r="F89" s="623"/>
      <c r="H89" s="104"/>
    </row>
    <row r="90" spans="1:8" ht="15.75" customHeight="1">
      <c r="A90" s="185"/>
      <c r="C90" s="305" t="s">
        <v>1315</v>
      </c>
      <c r="D90" s="305" t="s">
        <v>1315</v>
      </c>
      <c r="E90" s="305" t="s">
        <v>1315</v>
      </c>
      <c r="F90" s="305" t="s">
        <v>1315</v>
      </c>
    </row>
    <row r="91" spans="1:8" ht="15.75" customHeight="1">
      <c r="A91" s="298" t="s">
        <v>159</v>
      </c>
      <c r="B91" s="300">
        <v>63</v>
      </c>
      <c r="C91" s="624">
        <f>SUM(C81:C88)+C89</f>
        <v>74755807.069999993</v>
      </c>
      <c r="D91" s="624">
        <f>SUM(D81:D88)+D89</f>
        <v>74729632.510000035</v>
      </c>
      <c r="E91" s="624">
        <f>SUM(E81:E88)+E89</f>
        <v>77432012.922013372</v>
      </c>
      <c r="F91" s="624">
        <f>SUM(F81:F88)+F89</f>
        <v>89538557.910000011</v>
      </c>
      <c r="H91" s="104"/>
    </row>
    <row r="92" spans="1:8" ht="15.75" customHeight="1">
      <c r="A92" s="298" t="s">
        <v>161</v>
      </c>
      <c r="B92" s="300">
        <v>64</v>
      </c>
      <c r="C92" s="624">
        <f>C78+C91</f>
        <v>136337386.03</v>
      </c>
      <c r="D92" s="624">
        <f>D78+D91</f>
        <v>147996503.25000003</v>
      </c>
      <c r="E92" s="624">
        <f>E78+E91</f>
        <v>143759916.22201335</v>
      </c>
      <c r="F92" s="624">
        <f>F78+F91</f>
        <v>97494600.739999995</v>
      </c>
    </row>
    <row r="93" spans="1:8" ht="15.75" customHeight="1">
      <c r="A93" s="298" t="s">
        <v>163</v>
      </c>
      <c r="B93" s="300">
        <v>65</v>
      </c>
      <c r="C93" s="624">
        <f>C48-C78</f>
        <v>74755807.069999993</v>
      </c>
      <c r="D93" s="624">
        <f>D48-D78</f>
        <v>74729632.510000035</v>
      </c>
      <c r="E93" s="624">
        <f>E48-E78</f>
        <v>74432012.922013372</v>
      </c>
      <c r="F93" s="624">
        <f>F48-F78</f>
        <v>81838557.910000011</v>
      </c>
    </row>
    <row r="94" spans="1:8" ht="15.75" customHeight="1">
      <c r="A94" s="298" t="s">
        <v>165</v>
      </c>
      <c r="B94" s="300">
        <v>66</v>
      </c>
      <c r="C94" s="624">
        <f>C78+C93</f>
        <v>136337386.03</v>
      </c>
      <c r="D94" s="624">
        <f>D78+D93</f>
        <v>147996503.25000003</v>
      </c>
      <c r="E94" s="624">
        <f>E78+E93</f>
        <v>140759916.22201335</v>
      </c>
      <c r="F94" s="624">
        <f>F78+F93</f>
        <v>89794600.739999995</v>
      </c>
    </row>
    <row r="95" spans="1:8" ht="12" customHeight="1">
      <c r="C95" s="305" t="s">
        <v>1320</v>
      </c>
      <c r="D95" s="305" t="s">
        <v>1320</v>
      </c>
      <c r="E95" s="305" t="s">
        <v>1320</v>
      </c>
      <c r="F95" s="305" t="s">
        <v>1320</v>
      </c>
    </row>
    <row r="96" spans="1:8">
      <c r="C96" s="309"/>
      <c r="D96" s="309"/>
      <c r="E96" s="309"/>
      <c r="F96" s="310"/>
    </row>
    <row r="97" spans="3:6">
      <c r="F97" s="178"/>
    </row>
    <row r="98" spans="3:6">
      <c r="E98" s="178"/>
      <c r="F98" s="178"/>
    </row>
    <row r="100" spans="3:6">
      <c r="F100" s="178"/>
    </row>
    <row r="101" spans="3:6">
      <c r="D101" s="135"/>
      <c r="E101" s="135"/>
      <c r="F101" s="135"/>
    </row>
    <row r="102" spans="3:6">
      <c r="E102" s="311"/>
      <c r="F102" s="178"/>
    </row>
    <row r="103" spans="3:6">
      <c r="E103" s="311"/>
      <c r="F103" s="178"/>
    </row>
    <row r="106" spans="3:6">
      <c r="C106" s="308"/>
    </row>
    <row r="109" spans="3:6">
      <c r="C109" s="308"/>
      <c r="D109" s="308"/>
      <c r="E109" s="308"/>
      <c r="F109" s="308"/>
    </row>
  </sheetData>
  <sheetProtection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Props1.xml><?xml version="1.0" encoding="utf-8"?>
<ds:datastoreItem xmlns:ds="http://schemas.openxmlformats.org/officeDocument/2006/customXml" ds:itemID="{D8206214-AC4B-4A97-AEE6-53509575C056}"/>
</file>

<file path=customXml/itemProps2.xml><?xml version="1.0" encoding="utf-8"?>
<ds:datastoreItem xmlns:ds="http://schemas.openxmlformats.org/officeDocument/2006/customXml" ds:itemID="{1985D8F4-78DB-468D-BC1C-486359C61888}"/>
</file>

<file path=customXml/itemProps3.xml><?xml version="1.0" encoding="utf-8"?>
<ds:datastoreItem xmlns:ds="http://schemas.openxmlformats.org/officeDocument/2006/customXml" ds:itemID="{95743626-0BCA-4666-A8C4-2258D3893A90}"/>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Mock, Colin J (EHS)</cp:lastModifiedBy>
  <cp:revision/>
  <dcterms:created xsi:type="dcterms:W3CDTF">2012-07-31T22:32:51Z</dcterms:created>
  <dcterms:modified xsi:type="dcterms:W3CDTF">2025-08-27T15:01:49Z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MediaServiceImageTags">
    <vt:lpwstr/>
  </property>
  <property fmtid="{D5CDD505-2E9C-101B-9397-08002B2CF9AE}" pid="13" name="Order">
    <vt:r8>264500</vt:r8>
  </property>
  <property fmtid="{D5CDD505-2E9C-101B-9397-08002B2CF9AE}" pid="14" name="xd_Signature">
    <vt:bool>false</vt:bool>
  </property>
  <property fmtid="{D5CDD505-2E9C-101B-9397-08002B2CF9AE}" pid="15" name="xd_ProgID">
    <vt:lpwstr/>
  </property>
  <property fmtid="{D5CDD505-2E9C-101B-9397-08002B2CF9AE}" pid="16" name="_SourceUrl">
    <vt:lpwstr/>
  </property>
  <property fmtid="{D5CDD505-2E9C-101B-9397-08002B2CF9AE}" pid="17" name="_SharedFileIndex">
    <vt:lpwstr/>
  </property>
  <property fmtid="{D5CDD505-2E9C-101B-9397-08002B2CF9AE}" pid="18" name="ComplianceAssetId">
    <vt:lpwstr/>
  </property>
  <property fmtid="{D5CDD505-2E9C-101B-9397-08002B2CF9AE}" pid="19" name="TemplateUrl">
    <vt:lpwstr/>
  </property>
  <property fmtid="{D5CDD505-2E9C-101B-9397-08002B2CF9AE}" pid="20" name="_ExtendedDescription">
    <vt:lpwstr/>
  </property>
  <property fmtid="{D5CDD505-2E9C-101B-9397-08002B2CF9AE}" pid="21" name="TriggerFlowInfo">
    <vt:lpwstr/>
  </property>
</Properties>
</file>